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ulinch\Documents\DOSSIER IMPACT 64\A -SCENARIO DEC2022-08\"/>
    </mc:Choice>
  </mc:AlternateContent>
  <bookViews>
    <workbookView xWindow="0" yWindow="0" windowWidth="20400" windowHeight="7650" activeTab="1"/>
  </bookViews>
  <sheets>
    <sheet name="Intro Classeur" sheetId="13" r:id="rId1"/>
    <sheet name="Scénario" sheetId="28" r:id="rId2"/>
    <sheet name="Protection" sheetId="29" r:id="rId3"/>
    <sheet name="Travail" sheetId="30" r:id="rId4"/>
    <sheet name="Calcul éco" sheetId="31" r:id="rId5"/>
    <sheet name="Synthèse résultats" sheetId="33" r:id="rId6"/>
    <sheet name="Troupeau" sheetId="15" r:id="rId7"/>
    <sheet name="CdTrp1" sheetId="18" r:id="rId8"/>
    <sheet name="CdTrp2" sheetId="24" r:id="rId9"/>
    <sheet name="CdTrp3" sheetId="25" r:id="rId10"/>
    <sheet name="CdTrp4" sheetId="26" r:id="rId11"/>
    <sheet name="Conduite Trp" sheetId="22" r:id="rId12"/>
    <sheet name="Alim -Surf" sheetId="23" r:id="rId13"/>
    <sheet name="Vérif parcelles" sheetId="35" r:id="rId14"/>
    <sheet name="Parcellaire" sheetId="7" r:id="rId15"/>
    <sheet name="Parcellaire (2)" sheetId="34" r:id="rId16"/>
    <sheet name="fct trp bovin " sheetId="27" r:id="rId17"/>
  </sheets>
  <externalReferences>
    <externalReference r:id="rId18"/>
  </externalReferences>
  <calcPr calcId="162913"/>
  <pivotCaches>
    <pivotCache cacheId="24" r:id="rId19"/>
    <pivotCache cacheId="25" r:id="rId20"/>
  </pivotCaches>
</workbook>
</file>

<file path=xl/calcChain.xml><?xml version="1.0" encoding="utf-8"?>
<calcChain xmlns="http://schemas.openxmlformats.org/spreadsheetml/2006/main">
  <c r="F72" i="30" l="1"/>
  <c r="V18" i="18" l="1"/>
  <c r="W18" i="18"/>
  <c r="X18" i="18"/>
  <c r="Y18" i="18"/>
  <c r="U18" i="18"/>
  <c r="C18" i="18"/>
  <c r="D18" i="18"/>
  <c r="E18" i="18"/>
  <c r="F18" i="18"/>
  <c r="G18" i="18"/>
  <c r="B18" i="18"/>
  <c r="A30" i="18"/>
  <c r="AV4" i="29" l="1"/>
  <c r="AW4" i="29"/>
  <c r="BD4" i="29" s="1"/>
  <c r="AX4" i="29"/>
  <c r="AY4" i="29"/>
  <c r="AZ4" i="29"/>
  <c r="BA4" i="29"/>
  <c r="BB4" i="29"/>
  <c r="BC4" i="29"/>
  <c r="BE4" i="29"/>
  <c r="BF4" i="29" s="1"/>
  <c r="AV5" i="29"/>
  <c r="AW5" i="29"/>
  <c r="AX5" i="29"/>
  <c r="AY5" i="29"/>
  <c r="AZ5" i="29"/>
  <c r="BA5" i="29"/>
  <c r="BB5" i="29"/>
  <c r="BC5" i="29"/>
  <c r="BD5" i="29"/>
  <c r="BE5" i="29" s="1"/>
  <c r="BF5" i="29" s="1"/>
  <c r="AV6" i="29"/>
  <c r="AW6" i="29"/>
  <c r="AX6" i="29"/>
  <c r="AY6" i="29"/>
  <c r="AZ6" i="29"/>
  <c r="BA6" i="29"/>
  <c r="BB6" i="29"/>
  <c r="BC6" i="29"/>
  <c r="AV7" i="29"/>
  <c r="AW7" i="29"/>
  <c r="AX7" i="29"/>
  <c r="AY7" i="29"/>
  <c r="BD7" i="29" s="1"/>
  <c r="BE7" i="29" s="1"/>
  <c r="BF7" i="29" s="1"/>
  <c r="AZ7" i="29"/>
  <c r="BA7" i="29"/>
  <c r="BB7" i="29"/>
  <c r="BC7" i="29"/>
  <c r="AV8" i="29"/>
  <c r="AW8" i="29"/>
  <c r="AX8" i="29"/>
  <c r="AY8" i="29"/>
  <c r="AZ8" i="29"/>
  <c r="BA8" i="29"/>
  <c r="BB8" i="29"/>
  <c r="BC8" i="29"/>
  <c r="AV9" i="29"/>
  <c r="AW9" i="29"/>
  <c r="AX9" i="29"/>
  <c r="AY9" i="29"/>
  <c r="AZ9" i="29"/>
  <c r="BA9" i="29"/>
  <c r="BB9" i="29"/>
  <c r="BC9" i="29"/>
  <c r="AV10" i="29"/>
  <c r="AW10" i="29"/>
  <c r="AX10" i="29"/>
  <c r="AY10" i="29"/>
  <c r="AZ10" i="29"/>
  <c r="BA10" i="29"/>
  <c r="BB10" i="29"/>
  <c r="BC10" i="29"/>
  <c r="AV11" i="29"/>
  <c r="AW11" i="29"/>
  <c r="AX11" i="29"/>
  <c r="AY11" i="29"/>
  <c r="AZ11" i="29"/>
  <c r="BA11" i="29"/>
  <c r="BB11" i="29"/>
  <c r="BC11" i="29"/>
  <c r="BD11" i="29"/>
  <c r="BE11" i="29" s="1"/>
  <c r="BF11" i="29" s="1"/>
  <c r="AV12" i="29"/>
  <c r="AW12" i="29"/>
  <c r="BD12" i="29" s="1"/>
  <c r="BE12" i="29" s="1"/>
  <c r="BF12" i="29" s="1"/>
  <c r="AX12" i="29"/>
  <c r="AY12" i="29"/>
  <c r="AZ12" i="29"/>
  <c r="BA12" i="29"/>
  <c r="BB12" i="29"/>
  <c r="BC12" i="29"/>
  <c r="AV13" i="29"/>
  <c r="AW13" i="29"/>
  <c r="AX13" i="29"/>
  <c r="AY13" i="29"/>
  <c r="AZ13" i="29"/>
  <c r="BA13" i="29"/>
  <c r="BB13" i="29"/>
  <c r="BC13" i="29"/>
  <c r="BD13" i="29"/>
  <c r="BE13" i="29" s="1"/>
  <c r="BF13" i="29" s="1"/>
  <c r="AV14" i="29"/>
  <c r="AW14" i="29"/>
  <c r="AX14" i="29"/>
  <c r="AY14" i="29"/>
  <c r="AZ14" i="29"/>
  <c r="BA14" i="29"/>
  <c r="BB14" i="29"/>
  <c r="BC14" i="29"/>
  <c r="AV15" i="29"/>
  <c r="AW15" i="29"/>
  <c r="AX15" i="29"/>
  <c r="AY15" i="29"/>
  <c r="BD15" i="29" s="1"/>
  <c r="BE15" i="29" s="1"/>
  <c r="BF15" i="29" s="1"/>
  <c r="AZ15" i="29"/>
  <c r="BA15" i="29"/>
  <c r="BB15" i="29"/>
  <c r="BC15" i="29"/>
  <c r="AV16" i="29"/>
  <c r="AW16" i="29"/>
  <c r="AX16" i="29"/>
  <c r="AY16" i="29"/>
  <c r="AZ16" i="29"/>
  <c r="BA16" i="29"/>
  <c r="BB16" i="29"/>
  <c r="BC16" i="29"/>
  <c r="AV17" i="29"/>
  <c r="AW17" i="29"/>
  <c r="AX17" i="29"/>
  <c r="AY17" i="29"/>
  <c r="AZ17" i="29"/>
  <c r="BA17" i="29"/>
  <c r="BB17" i="29"/>
  <c r="BC17" i="29"/>
  <c r="AV18" i="29"/>
  <c r="AW18" i="29"/>
  <c r="AX18" i="29"/>
  <c r="AY18" i="29"/>
  <c r="AZ18" i="29"/>
  <c r="BA18" i="29"/>
  <c r="BB18" i="29"/>
  <c r="BC18" i="29"/>
  <c r="AV19" i="29"/>
  <c r="AW19" i="29"/>
  <c r="AX19" i="29"/>
  <c r="AY19" i="29"/>
  <c r="AZ19" i="29"/>
  <c r="BA19" i="29"/>
  <c r="BB19" i="29"/>
  <c r="BC19" i="29"/>
  <c r="BD19" i="29"/>
  <c r="BE19" i="29" s="1"/>
  <c r="BF19" i="29" s="1"/>
  <c r="AV20" i="29"/>
  <c r="AW20" i="29"/>
  <c r="AX20" i="29"/>
  <c r="AY20" i="29"/>
  <c r="AZ20" i="29"/>
  <c r="BA20" i="29"/>
  <c r="BB20" i="29"/>
  <c r="BC20" i="29"/>
  <c r="BD20" i="29"/>
  <c r="BE20" i="29" s="1"/>
  <c r="BF20" i="29" s="1"/>
  <c r="AV21" i="29"/>
  <c r="AW21" i="29"/>
  <c r="AX21" i="29"/>
  <c r="AY21" i="29"/>
  <c r="AZ21" i="29"/>
  <c r="BA21" i="29"/>
  <c r="BB21" i="29"/>
  <c r="BC21" i="29"/>
  <c r="BD21" i="29"/>
  <c r="BE21" i="29" s="1"/>
  <c r="BF21" i="29" s="1"/>
  <c r="AV22" i="29"/>
  <c r="AW22" i="29"/>
  <c r="AX22" i="29"/>
  <c r="AY22" i="29"/>
  <c r="AZ22" i="29"/>
  <c r="BA22" i="29"/>
  <c r="BB22" i="29"/>
  <c r="BC22" i="29"/>
  <c r="AV23" i="29"/>
  <c r="AW23" i="29"/>
  <c r="AX23" i="29"/>
  <c r="AY23" i="29"/>
  <c r="BD23" i="29" s="1"/>
  <c r="BE23" i="29" s="1"/>
  <c r="BF23" i="29" s="1"/>
  <c r="AZ23" i="29"/>
  <c r="BA23" i="29"/>
  <c r="BB23" i="29"/>
  <c r="BC23" i="29"/>
  <c r="BG23" i="29"/>
  <c r="BH23" i="29"/>
  <c r="BI23" i="29"/>
  <c r="BJ23" i="29"/>
  <c r="BK23" i="29"/>
  <c r="BL23" i="29"/>
  <c r="AV24" i="29"/>
  <c r="AW24" i="29"/>
  <c r="BI24" i="29" s="1"/>
  <c r="AX24" i="29"/>
  <c r="AY24" i="29"/>
  <c r="AZ24" i="29"/>
  <c r="BA24" i="29"/>
  <c r="BB24" i="29"/>
  <c r="BC24" i="29"/>
  <c r="BG24" i="29"/>
  <c r="BH24" i="29"/>
  <c r="BK24" i="29"/>
  <c r="AV25" i="29"/>
  <c r="AW25" i="29"/>
  <c r="BH25" i="29" s="1"/>
  <c r="AX25" i="29"/>
  <c r="AY25" i="29"/>
  <c r="AZ25" i="29"/>
  <c r="BA25" i="29"/>
  <c r="BB25" i="29"/>
  <c r="BC25" i="29"/>
  <c r="BG25" i="29"/>
  <c r="AV26" i="29"/>
  <c r="AW26" i="29"/>
  <c r="BG26" i="29" s="1"/>
  <c r="AX26" i="29"/>
  <c r="AY26" i="29"/>
  <c r="AZ26" i="29"/>
  <c r="BA26" i="29"/>
  <c r="BB26" i="29"/>
  <c r="BC26" i="29"/>
  <c r="AV27" i="29"/>
  <c r="AW27" i="29"/>
  <c r="BG27" i="29" s="1"/>
  <c r="AX27" i="29"/>
  <c r="AY27" i="29"/>
  <c r="AZ27" i="29"/>
  <c r="BA27" i="29"/>
  <c r="BB27" i="29"/>
  <c r="BC27" i="29"/>
  <c r="BD27" i="29"/>
  <c r="BE27" i="29" s="1"/>
  <c r="BF27" i="29" s="1"/>
  <c r="BL27" i="29"/>
  <c r="AV28" i="29"/>
  <c r="AW28" i="29"/>
  <c r="BH28" i="29" s="1"/>
  <c r="AX28" i="29"/>
  <c r="AY28" i="29"/>
  <c r="AZ28" i="29"/>
  <c r="BA28" i="29"/>
  <c r="BB28" i="29"/>
  <c r="BC28" i="29"/>
  <c r="BD28" i="29"/>
  <c r="BE28" i="29" s="1"/>
  <c r="BF28" i="29" s="1"/>
  <c r="BG28" i="29"/>
  <c r="BI28" i="29"/>
  <c r="BJ28" i="29"/>
  <c r="BK28" i="29"/>
  <c r="BL28" i="29"/>
  <c r="AV29" i="29"/>
  <c r="AW29" i="29"/>
  <c r="AX29" i="29"/>
  <c r="AY29" i="29"/>
  <c r="AZ29" i="29"/>
  <c r="BA29" i="29"/>
  <c r="BB29" i="29"/>
  <c r="BC29" i="29"/>
  <c r="BD29" i="29"/>
  <c r="BE29" i="29" s="1"/>
  <c r="BF29" i="29" s="1"/>
  <c r="BG29" i="29"/>
  <c r="BH29" i="29"/>
  <c r="BI29" i="29"/>
  <c r="BJ29" i="29"/>
  <c r="BK29" i="29"/>
  <c r="BL29" i="29"/>
  <c r="AV30" i="29"/>
  <c r="AW30" i="29"/>
  <c r="BK30" i="29" s="1"/>
  <c r="AX30" i="29"/>
  <c r="AY30" i="29"/>
  <c r="AZ30" i="29"/>
  <c r="BA30" i="29"/>
  <c r="BB30" i="29"/>
  <c r="BC30" i="29"/>
  <c r="BH30" i="29"/>
  <c r="BI30" i="29"/>
  <c r="BJ30" i="29"/>
  <c r="N21" i="7"/>
  <c r="K21" i="7"/>
  <c r="L21" i="7" s="1"/>
  <c r="M21" i="7" s="1"/>
  <c r="N20" i="7"/>
  <c r="K20" i="7"/>
  <c r="L20" i="7" s="1"/>
  <c r="M20" i="7" s="1"/>
  <c r="N19" i="7"/>
  <c r="K19" i="7"/>
  <c r="L19" i="7" s="1"/>
  <c r="M19" i="7" s="1"/>
  <c r="N18" i="7"/>
  <c r="K18" i="7"/>
  <c r="L18" i="7" s="1"/>
  <c r="M18" i="7" s="1"/>
  <c r="N17" i="7"/>
  <c r="K17" i="7"/>
  <c r="L17" i="7" s="1"/>
  <c r="M17" i="7" s="1"/>
  <c r="N16" i="7"/>
  <c r="K16" i="7"/>
  <c r="L16" i="7" s="1"/>
  <c r="M16" i="7" s="1"/>
  <c r="N15" i="7"/>
  <c r="K15" i="7"/>
  <c r="L15" i="7" s="1"/>
  <c r="M15" i="7" s="1"/>
  <c r="N14" i="7"/>
  <c r="K14" i="7"/>
  <c r="L14" i="7" s="1"/>
  <c r="M14" i="7" s="1"/>
  <c r="N13" i="7"/>
  <c r="K13" i="7"/>
  <c r="L13" i="7" s="1"/>
  <c r="M13" i="7" s="1"/>
  <c r="N12" i="7"/>
  <c r="K12" i="7"/>
  <c r="L12" i="7" s="1"/>
  <c r="M12" i="7" s="1"/>
  <c r="N11" i="7"/>
  <c r="K11" i="7"/>
  <c r="L11" i="7" s="1"/>
  <c r="M11" i="7" s="1"/>
  <c r="N10" i="7"/>
  <c r="L10" i="7"/>
  <c r="M10" i="7" s="1"/>
  <c r="K10" i="7"/>
  <c r="N9" i="7"/>
  <c r="K9" i="7"/>
  <c r="L9" i="7" s="1"/>
  <c r="M9" i="7" s="1"/>
  <c r="N8" i="7"/>
  <c r="K8" i="7"/>
  <c r="L8" i="7" s="1"/>
  <c r="M8" i="7" s="1"/>
  <c r="N7" i="7"/>
  <c r="K7" i="7"/>
  <c r="L7" i="7" s="1"/>
  <c r="M7" i="7" s="1"/>
  <c r="N6" i="7"/>
  <c r="K6" i="7"/>
  <c r="L6" i="7" s="1"/>
  <c r="M6" i="7" s="1"/>
  <c r="N5" i="7"/>
  <c r="K5" i="7"/>
  <c r="L5" i="7" s="1"/>
  <c r="M5" i="7" s="1"/>
  <c r="N4" i="7"/>
  <c r="K4" i="7"/>
  <c r="L4" i="7" s="1"/>
  <c r="M4" i="7" s="1"/>
  <c r="BK15" i="29" l="1"/>
  <c r="BI15" i="29"/>
  <c r="BJ15" i="29"/>
  <c r="BL15" i="29"/>
  <c r="BG15" i="29"/>
  <c r="BH15" i="29"/>
  <c r="BK21" i="29"/>
  <c r="BJ21" i="29"/>
  <c r="BL21" i="29"/>
  <c r="BI21" i="29"/>
  <c r="BG21" i="29"/>
  <c r="BH21" i="29"/>
  <c r="BH20" i="29"/>
  <c r="BG12" i="29"/>
  <c r="BJ12" i="29"/>
  <c r="BI12" i="29"/>
  <c r="BK12" i="29"/>
  <c r="BK19" i="29"/>
  <c r="BL19" i="29"/>
  <c r="BK13" i="29"/>
  <c r="BL13" i="29"/>
  <c r="BJ13" i="29"/>
  <c r="BI13" i="29"/>
  <c r="BG13" i="29"/>
  <c r="BH13" i="29"/>
  <c r="BG11" i="29"/>
  <c r="BI7" i="29"/>
  <c r="BL20" i="29"/>
  <c r="BK20" i="29"/>
  <c r="BG20" i="29"/>
  <c r="BI20" i="29"/>
  <c r="BJ20" i="29"/>
  <c r="BH11" i="29"/>
  <c r="BI11" i="29"/>
  <c r="BJ11" i="29"/>
  <c r="BK11" i="29"/>
  <c r="BL11" i="29"/>
  <c r="BG19" i="29"/>
  <c r="BJ7" i="29"/>
  <c r="BH7" i="29"/>
  <c r="BK7" i="29"/>
  <c r="BL7" i="29"/>
  <c r="BG7" i="29"/>
  <c r="BK5" i="29"/>
  <c r="BL5" i="29"/>
  <c r="BJ5" i="29"/>
  <c r="BG5" i="29"/>
  <c r="BH5" i="29"/>
  <c r="BI5" i="29"/>
  <c r="BK4" i="29"/>
  <c r="BG4" i="29"/>
  <c r="BJ4" i="29"/>
  <c r="BH4" i="29"/>
  <c r="BI4" i="29"/>
  <c r="BL26" i="29"/>
  <c r="BD26" i="29"/>
  <c r="BE26" i="29" s="1"/>
  <c r="BF26" i="29" s="1"/>
  <c r="BD10" i="29"/>
  <c r="BE10" i="29" s="1"/>
  <c r="BF10" i="29" s="1"/>
  <c r="BG10" i="29" s="1"/>
  <c r="BG30" i="29"/>
  <c r="BJ27" i="29"/>
  <c r="BK26" i="29"/>
  <c r="BL25" i="29"/>
  <c r="BD25" i="29"/>
  <c r="BE25" i="29" s="1"/>
  <c r="BF25" i="29" s="1"/>
  <c r="BJ19" i="29"/>
  <c r="BD17" i="29"/>
  <c r="BE17" i="29" s="1"/>
  <c r="BF17" i="29" s="1"/>
  <c r="BL17" i="29" s="1"/>
  <c r="BD9" i="29"/>
  <c r="BE9" i="29" s="1"/>
  <c r="BF9" i="29" s="1"/>
  <c r="BI27" i="29"/>
  <c r="BJ26" i="29"/>
  <c r="BK25" i="29"/>
  <c r="BL24" i="29"/>
  <c r="BD24" i="29"/>
  <c r="BE24" i="29" s="1"/>
  <c r="BF24" i="29" s="1"/>
  <c r="BI19" i="29"/>
  <c r="BD16" i="29"/>
  <c r="BE16" i="29" s="1"/>
  <c r="BF16" i="29" s="1"/>
  <c r="BH16" i="29" s="1"/>
  <c r="BH12" i="29"/>
  <c r="BD8" i="29"/>
  <c r="BE8" i="29" s="1"/>
  <c r="BF8" i="29" s="1"/>
  <c r="BH8" i="29" s="1"/>
  <c r="BK27" i="29"/>
  <c r="BD18" i="29"/>
  <c r="BE18" i="29" s="1"/>
  <c r="BF18" i="29" s="1"/>
  <c r="BH27" i="29"/>
  <c r="BI26" i="29"/>
  <c r="BJ25" i="29"/>
  <c r="BH19" i="29"/>
  <c r="BL30" i="29"/>
  <c r="BD30" i="29"/>
  <c r="BE30" i="29" s="1"/>
  <c r="BF30" i="29" s="1"/>
  <c r="BH26" i="29"/>
  <c r="BI25" i="29"/>
  <c r="BJ24" i="29"/>
  <c r="BD22" i="29"/>
  <c r="BE22" i="29" s="1"/>
  <c r="BF22" i="29" s="1"/>
  <c r="BL22" i="29" s="1"/>
  <c r="BD14" i="29"/>
  <c r="BE14" i="29" s="1"/>
  <c r="BF14" i="29" s="1"/>
  <c r="BL14" i="29" s="1"/>
  <c r="BD6" i="29"/>
  <c r="BE6" i="29" s="1"/>
  <c r="BF6" i="29" s="1"/>
  <c r="BK6" i="29" s="1"/>
  <c r="BL12" i="29"/>
  <c r="BL4" i="29"/>
  <c r="BL10" i="29" l="1"/>
  <c r="BK17" i="29"/>
  <c r="BJ8" i="29"/>
  <c r="BJ16" i="29"/>
  <c r="BI16" i="29"/>
  <c r="BI17" i="29"/>
  <c r="BJ17" i="29"/>
  <c r="BL8" i="29"/>
  <c r="BJ10" i="29"/>
  <c r="BI8" i="29"/>
  <c r="BH17" i="29"/>
  <c r="BI10" i="29"/>
  <c r="BJ18" i="29"/>
  <c r="BH18" i="29"/>
  <c r="BK18" i="29"/>
  <c r="BL18" i="29"/>
  <c r="BG18" i="29"/>
  <c r="BI18" i="29"/>
  <c r="BL9" i="29"/>
  <c r="BJ9" i="29"/>
  <c r="BH9" i="29"/>
  <c r="BG9" i="29"/>
  <c r="BK9" i="29"/>
  <c r="BI9" i="29"/>
  <c r="BH10" i="29"/>
  <c r="BK10" i="29"/>
  <c r="BJ6" i="29"/>
  <c r="BG17" i="29"/>
  <c r="BK16" i="29"/>
  <c r="BG16" i="29"/>
  <c r="BH14" i="29"/>
  <c r="BI14" i="29"/>
  <c r="BG14" i="29"/>
  <c r="BH6" i="29"/>
  <c r="BI6" i="29"/>
  <c r="BL16" i="29"/>
  <c r="BJ14" i="29"/>
  <c r="BL6" i="29"/>
  <c r="BG6" i="29"/>
  <c r="BK14" i="29"/>
  <c r="BJ22" i="29"/>
  <c r="BI22" i="29"/>
  <c r="BH22" i="29"/>
  <c r="BK8" i="29"/>
  <c r="BG8" i="29"/>
  <c r="BG22" i="29"/>
  <c r="BK22" i="29"/>
  <c r="K3" i="7" l="1"/>
  <c r="L3" i="7" s="1"/>
  <c r="M3" i="7" s="1"/>
  <c r="N3" i="7"/>
  <c r="K2" i="7"/>
  <c r="T38" i="31"/>
  <c r="C302" i="33"/>
  <c r="C299" i="33"/>
  <c r="C298" i="33"/>
  <c r="C297" i="33"/>
  <c r="C296" i="33"/>
  <c r="C295" i="33"/>
  <c r="AF4" i="18" l="1"/>
  <c r="AG46" i="18" s="1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G21" i="31"/>
  <c r="G20" i="31"/>
  <c r="G19" i="31"/>
  <c r="AG52" i="26"/>
  <c r="AG51" i="26"/>
  <c r="AG50" i="26"/>
  <c r="AG49" i="26"/>
  <c r="AG48" i="26"/>
  <c r="AG47" i="26"/>
  <c r="AG46" i="26"/>
  <c r="AG45" i="26"/>
  <c r="AG44" i="26"/>
  <c r="AG43" i="26"/>
  <c r="AG42" i="26"/>
  <c r="AG41" i="26"/>
  <c r="AG40" i="26"/>
  <c r="AG39" i="26"/>
  <c r="AG38" i="26"/>
  <c r="AG37" i="26"/>
  <c r="AG36" i="26"/>
  <c r="AG35" i="26"/>
  <c r="AG34" i="26"/>
  <c r="AG33" i="26"/>
  <c r="AG32" i="26"/>
  <c r="AG31" i="26"/>
  <c r="AG30" i="26"/>
  <c r="AG29" i="26"/>
  <c r="AG28" i="26"/>
  <c r="AG27" i="26"/>
  <c r="AG26" i="26"/>
  <c r="AG25" i="26"/>
  <c r="AG24" i="26"/>
  <c r="AG23" i="26"/>
  <c r="AG22" i="26"/>
  <c r="AG21" i="26"/>
  <c r="AG20" i="26"/>
  <c r="AG19" i="26"/>
  <c r="AG18" i="26"/>
  <c r="AF12" i="26"/>
  <c r="AF11" i="26"/>
  <c r="AF10" i="26"/>
  <c r="AF9" i="26"/>
  <c r="AF8" i="26"/>
  <c r="AF7" i="26"/>
  <c r="AF6" i="26"/>
  <c r="AF5" i="26"/>
  <c r="AG52" i="25"/>
  <c r="AG51" i="25"/>
  <c r="AG50" i="25"/>
  <c r="AG49" i="25"/>
  <c r="AG48" i="25"/>
  <c r="AG47" i="25"/>
  <c r="AG46" i="25"/>
  <c r="AG45" i="25"/>
  <c r="AG44" i="25"/>
  <c r="AG43" i="25"/>
  <c r="AG42" i="25"/>
  <c r="AG41" i="25"/>
  <c r="AG40" i="25"/>
  <c r="AG39" i="25"/>
  <c r="AG38" i="25"/>
  <c r="AG37" i="25"/>
  <c r="AG36" i="25"/>
  <c r="AG35" i="25"/>
  <c r="AG34" i="25"/>
  <c r="AG33" i="25"/>
  <c r="AG32" i="25"/>
  <c r="AG31" i="25"/>
  <c r="AG30" i="25"/>
  <c r="AG29" i="25"/>
  <c r="AG28" i="25"/>
  <c r="AG27" i="25"/>
  <c r="AG26" i="25"/>
  <c r="AG25" i="25"/>
  <c r="AG24" i="25"/>
  <c r="AG23" i="25"/>
  <c r="AG22" i="25"/>
  <c r="AG21" i="25"/>
  <c r="AG20" i="25"/>
  <c r="AG19" i="25"/>
  <c r="AG18" i="25"/>
  <c r="AF12" i="25"/>
  <c r="AF11" i="25"/>
  <c r="AF10" i="25"/>
  <c r="AF9" i="25"/>
  <c r="AF8" i="25"/>
  <c r="AF7" i="25"/>
  <c r="AF6" i="25"/>
  <c r="AF5" i="25"/>
  <c r="AG52" i="24"/>
  <c r="AG51" i="24"/>
  <c r="AG50" i="24"/>
  <c r="AG49" i="24"/>
  <c r="AG48" i="24"/>
  <c r="AG47" i="24"/>
  <c r="AG46" i="24"/>
  <c r="AG45" i="24"/>
  <c r="AG44" i="24"/>
  <c r="AG43" i="24"/>
  <c r="AG42" i="24"/>
  <c r="AG41" i="24"/>
  <c r="AG40" i="24"/>
  <c r="AG39" i="24"/>
  <c r="AG38" i="24"/>
  <c r="AG37" i="24"/>
  <c r="AG36" i="24"/>
  <c r="AG35" i="24"/>
  <c r="AG34" i="24"/>
  <c r="AG33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20" i="24"/>
  <c r="AG19" i="24"/>
  <c r="AG18" i="24"/>
  <c r="AF12" i="24"/>
  <c r="AF11" i="24"/>
  <c r="AF10" i="24"/>
  <c r="AF9" i="24"/>
  <c r="AF8" i="24"/>
  <c r="AF7" i="24"/>
  <c r="AF6" i="24"/>
  <c r="AF5" i="24"/>
  <c r="AG52" i="18"/>
  <c r="AG50" i="18"/>
  <c r="AG49" i="18"/>
  <c r="AG48" i="18"/>
  <c r="AG47" i="18"/>
  <c r="AG44" i="18"/>
  <c r="AG42" i="18"/>
  <c r="AG41" i="18"/>
  <c r="AG40" i="18"/>
  <c r="AG39" i="18"/>
  <c r="AG36" i="18"/>
  <c r="AG35" i="18"/>
  <c r="AG34" i="18"/>
  <c r="AG33" i="18"/>
  <c r="AG32" i="18"/>
  <c r="AG31" i="18"/>
  <c r="AG30" i="18"/>
  <c r="AG29" i="18"/>
  <c r="AG28" i="18"/>
  <c r="AG27" i="18"/>
  <c r="AG26" i="18"/>
  <c r="AG25" i="18"/>
  <c r="AG24" i="18"/>
  <c r="AG23" i="18"/>
  <c r="AG22" i="18"/>
  <c r="AG21" i="18"/>
  <c r="AG20" i="18"/>
  <c r="AG19" i="18"/>
  <c r="AG18" i="18"/>
  <c r="AF12" i="18"/>
  <c r="AF11" i="18"/>
  <c r="AF10" i="18"/>
  <c r="AF9" i="18"/>
  <c r="AF8" i="18"/>
  <c r="AF7" i="18"/>
  <c r="AF6" i="18"/>
  <c r="AF5" i="18"/>
  <c r="M106" i="15"/>
  <c r="L106" i="15"/>
  <c r="K106" i="15"/>
  <c r="J106" i="15"/>
  <c r="M105" i="15"/>
  <c r="L105" i="15"/>
  <c r="K105" i="15"/>
  <c r="J105" i="15"/>
  <c r="M104" i="15"/>
  <c r="L104" i="15"/>
  <c r="K104" i="15"/>
  <c r="J104" i="15"/>
  <c r="M103" i="15"/>
  <c r="L103" i="15"/>
  <c r="K103" i="15"/>
  <c r="J103" i="15"/>
  <c r="M102" i="15"/>
  <c r="L102" i="15"/>
  <c r="K102" i="15"/>
  <c r="J102" i="15"/>
  <c r="M101" i="15"/>
  <c r="L101" i="15"/>
  <c r="K101" i="15"/>
  <c r="J101" i="15"/>
  <c r="M100" i="15"/>
  <c r="L100" i="15"/>
  <c r="K100" i="15"/>
  <c r="J100" i="15"/>
  <c r="M99" i="15"/>
  <c r="L99" i="15"/>
  <c r="K99" i="15"/>
  <c r="J99" i="15"/>
  <c r="M98" i="15"/>
  <c r="L98" i="15"/>
  <c r="K98" i="15"/>
  <c r="J98" i="15"/>
  <c r="M97" i="15"/>
  <c r="L97" i="15"/>
  <c r="K97" i="15"/>
  <c r="J97" i="15"/>
  <c r="M96" i="15"/>
  <c r="L96" i="15"/>
  <c r="K96" i="15"/>
  <c r="J96" i="15"/>
  <c r="M95" i="15"/>
  <c r="L95" i="15"/>
  <c r="K95" i="15"/>
  <c r="J95" i="15"/>
  <c r="M94" i="15"/>
  <c r="L94" i="15"/>
  <c r="K94" i="15"/>
  <c r="J94" i="15"/>
  <c r="M93" i="15"/>
  <c r="L93" i="15"/>
  <c r="K93" i="15"/>
  <c r="J93" i="15"/>
  <c r="M92" i="15"/>
  <c r="L92" i="15"/>
  <c r="K92" i="15"/>
  <c r="J92" i="15"/>
  <c r="M91" i="15"/>
  <c r="L91" i="15"/>
  <c r="K91" i="15"/>
  <c r="J91" i="15"/>
  <c r="M90" i="15"/>
  <c r="L90" i="15"/>
  <c r="K90" i="15"/>
  <c r="J90" i="15"/>
  <c r="M89" i="15"/>
  <c r="L89" i="15"/>
  <c r="K89" i="15"/>
  <c r="J89" i="15"/>
  <c r="M88" i="15"/>
  <c r="L88" i="15"/>
  <c r="K88" i="15"/>
  <c r="J88" i="15"/>
  <c r="M87" i="15"/>
  <c r="L87" i="15"/>
  <c r="K87" i="15"/>
  <c r="J87" i="15"/>
  <c r="M86" i="15"/>
  <c r="L86" i="15"/>
  <c r="K86" i="15"/>
  <c r="J86" i="15"/>
  <c r="M85" i="15"/>
  <c r="L85" i="15"/>
  <c r="K85" i="15"/>
  <c r="J85" i="15"/>
  <c r="M84" i="15"/>
  <c r="L84" i="15"/>
  <c r="K84" i="15"/>
  <c r="J84" i="15"/>
  <c r="M83" i="15"/>
  <c r="L83" i="15"/>
  <c r="K83" i="15"/>
  <c r="J83" i="15"/>
  <c r="M82" i="15"/>
  <c r="L82" i="15"/>
  <c r="K82" i="15"/>
  <c r="J82" i="15"/>
  <c r="M81" i="15"/>
  <c r="L81" i="15"/>
  <c r="K81" i="15"/>
  <c r="J81" i="15"/>
  <c r="M80" i="15"/>
  <c r="L80" i="15"/>
  <c r="K80" i="15"/>
  <c r="J80" i="15"/>
  <c r="M79" i="15"/>
  <c r="L79" i="15"/>
  <c r="K79" i="15"/>
  <c r="J79" i="15"/>
  <c r="M78" i="15"/>
  <c r="L78" i="15"/>
  <c r="K78" i="15"/>
  <c r="J78" i="15"/>
  <c r="M77" i="15"/>
  <c r="L77" i="15"/>
  <c r="K77" i="15"/>
  <c r="J77" i="15"/>
  <c r="M76" i="15"/>
  <c r="L76" i="15"/>
  <c r="K76" i="15"/>
  <c r="J76" i="15"/>
  <c r="M75" i="15"/>
  <c r="L75" i="15"/>
  <c r="K75" i="15"/>
  <c r="J75" i="15"/>
  <c r="M74" i="15"/>
  <c r="L74" i="15"/>
  <c r="K74" i="15"/>
  <c r="J74" i="15"/>
  <c r="M73" i="15"/>
  <c r="L73" i="15"/>
  <c r="K73" i="15"/>
  <c r="J73" i="15"/>
  <c r="M72" i="15"/>
  <c r="L72" i="15"/>
  <c r="K72" i="15"/>
  <c r="J72" i="15"/>
  <c r="M67" i="15"/>
  <c r="L67" i="15"/>
  <c r="K67" i="15"/>
  <c r="J67" i="15"/>
  <c r="M66" i="15"/>
  <c r="L66" i="15"/>
  <c r="K66" i="15"/>
  <c r="J66" i="15"/>
  <c r="M65" i="15"/>
  <c r="L65" i="15"/>
  <c r="K65" i="15"/>
  <c r="J65" i="15"/>
  <c r="M61" i="15"/>
  <c r="L61" i="15"/>
  <c r="K61" i="15"/>
  <c r="J61" i="15"/>
  <c r="M60" i="15"/>
  <c r="L60" i="15"/>
  <c r="K60" i="15"/>
  <c r="J60" i="15"/>
  <c r="M59" i="15"/>
  <c r="L59" i="15"/>
  <c r="K59" i="15"/>
  <c r="J59" i="15"/>
  <c r="M58" i="15"/>
  <c r="L58" i="15"/>
  <c r="K58" i="15"/>
  <c r="J58" i="15"/>
  <c r="M57" i="15"/>
  <c r="L57" i="15"/>
  <c r="K57" i="15"/>
  <c r="J57" i="15"/>
  <c r="M56" i="15"/>
  <c r="L56" i="15"/>
  <c r="K56" i="15"/>
  <c r="J56" i="15"/>
  <c r="M55" i="15"/>
  <c r="L55" i="15"/>
  <c r="K55" i="15"/>
  <c r="J55" i="15"/>
  <c r="M54" i="15"/>
  <c r="L54" i="15"/>
  <c r="K54" i="15"/>
  <c r="J54" i="15"/>
  <c r="M53" i="15"/>
  <c r="L53" i="15"/>
  <c r="K53" i="15"/>
  <c r="J53" i="15"/>
  <c r="M52" i="15"/>
  <c r="L52" i="15"/>
  <c r="K52" i="15"/>
  <c r="J52" i="15"/>
  <c r="M51" i="15"/>
  <c r="L51" i="15"/>
  <c r="K51" i="15"/>
  <c r="J51" i="15"/>
  <c r="M50" i="15"/>
  <c r="L50" i="15"/>
  <c r="K50" i="15"/>
  <c r="J50" i="15"/>
  <c r="M37" i="15"/>
  <c r="L37" i="15"/>
  <c r="K37" i="15"/>
  <c r="J37" i="15"/>
  <c r="M36" i="15"/>
  <c r="L36" i="15"/>
  <c r="K36" i="15"/>
  <c r="J36" i="15"/>
  <c r="M35" i="15"/>
  <c r="L35" i="15"/>
  <c r="K35" i="15"/>
  <c r="J35" i="15"/>
  <c r="M28" i="15"/>
  <c r="L28" i="15"/>
  <c r="K28" i="15"/>
  <c r="J28" i="15"/>
  <c r="M27" i="15"/>
  <c r="L27" i="15"/>
  <c r="K27" i="15"/>
  <c r="J27" i="15"/>
  <c r="M26" i="15"/>
  <c r="L26" i="15"/>
  <c r="K26" i="15"/>
  <c r="J26" i="15"/>
  <c r="M25" i="15"/>
  <c r="L25" i="15"/>
  <c r="K25" i="15"/>
  <c r="J25" i="15"/>
  <c r="M24" i="15"/>
  <c r="L24" i="15"/>
  <c r="K24" i="15"/>
  <c r="J24" i="15"/>
  <c r="M23" i="15"/>
  <c r="L23" i="15"/>
  <c r="K23" i="15"/>
  <c r="J23" i="15"/>
  <c r="M22" i="15"/>
  <c r="L22" i="15"/>
  <c r="K22" i="15"/>
  <c r="J22" i="15"/>
  <c r="M21" i="15"/>
  <c r="L21" i="15"/>
  <c r="K21" i="15"/>
  <c r="J21" i="15"/>
  <c r="M20" i="15"/>
  <c r="L20" i="15"/>
  <c r="K20" i="15"/>
  <c r="J20" i="15"/>
  <c r="M19" i="15"/>
  <c r="L19" i="15"/>
  <c r="K19" i="15"/>
  <c r="J19" i="15"/>
  <c r="M18" i="15"/>
  <c r="L18" i="15"/>
  <c r="K18" i="15"/>
  <c r="J18" i="15"/>
  <c r="B177" i="31"/>
  <c r="C155" i="31"/>
  <c r="C154" i="31"/>
  <c r="C153" i="31"/>
  <c r="C152" i="31"/>
  <c r="C151" i="31"/>
  <c r="C150" i="31"/>
  <c r="C149" i="31"/>
  <c r="AA134" i="31"/>
  <c r="Y134" i="31"/>
  <c r="W134" i="31"/>
  <c r="AI145" i="31"/>
  <c r="AH145" i="31"/>
  <c r="AG145" i="31"/>
  <c r="AI142" i="31"/>
  <c r="AH142" i="31"/>
  <c r="AG142" i="31"/>
  <c r="AI139" i="31"/>
  <c r="AH139" i="31"/>
  <c r="AG139" i="31"/>
  <c r="AI136" i="31"/>
  <c r="AH136" i="31"/>
  <c r="AG136" i="31"/>
  <c r="AI133" i="31"/>
  <c r="AH133" i="31"/>
  <c r="AG133" i="31"/>
  <c r="AI130" i="31"/>
  <c r="AH130" i="31"/>
  <c r="AG130" i="31"/>
  <c r="AI127" i="31"/>
  <c r="AH127" i="31"/>
  <c r="AG127" i="31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Y107" i="31"/>
  <c r="W107" i="31"/>
  <c r="Y106" i="31"/>
  <c r="W106" i="31"/>
  <c r="Y105" i="31"/>
  <c r="W105" i="31"/>
  <c r="Y104" i="31"/>
  <c r="W104" i="31"/>
  <c r="Y103" i="31"/>
  <c r="W103" i="31"/>
  <c r="Y100" i="31"/>
  <c r="W100" i="31"/>
  <c r="Y99" i="31"/>
  <c r="W99" i="31"/>
  <c r="Y98" i="31"/>
  <c r="W98" i="31"/>
  <c r="Y97" i="31"/>
  <c r="W97" i="31"/>
  <c r="Y96" i="31"/>
  <c r="W96" i="31"/>
  <c r="Y93" i="31"/>
  <c r="W93" i="31"/>
  <c r="Y92" i="31"/>
  <c r="W92" i="31"/>
  <c r="Y91" i="31"/>
  <c r="W91" i="31"/>
  <c r="Y90" i="31"/>
  <c r="W90" i="31"/>
  <c r="Y89" i="31"/>
  <c r="W89" i="31"/>
  <c r="H16" i="31"/>
  <c r="G16" i="31"/>
  <c r="F16" i="31"/>
  <c r="H15" i="31"/>
  <c r="G15" i="31"/>
  <c r="F15" i="31"/>
  <c r="H14" i="31"/>
  <c r="G14" i="31"/>
  <c r="F14" i="31"/>
  <c r="H13" i="31"/>
  <c r="G13" i="31"/>
  <c r="F13" i="31"/>
  <c r="H12" i="31"/>
  <c r="G12" i="31"/>
  <c r="F12" i="31"/>
  <c r="H11" i="31"/>
  <c r="G11" i="31"/>
  <c r="F11" i="31"/>
  <c r="H10" i="31"/>
  <c r="G10" i="31"/>
  <c r="F10" i="31"/>
  <c r="H9" i="31"/>
  <c r="G9" i="31"/>
  <c r="F9" i="31"/>
  <c r="I221" i="33"/>
  <c r="Y209" i="33"/>
  <c r="K206" i="33"/>
  <c r="U199" i="33"/>
  <c r="U198" i="33"/>
  <c r="O199" i="33"/>
  <c r="O198" i="33"/>
  <c r="H200" i="33"/>
  <c r="H199" i="33"/>
  <c r="H198" i="33"/>
  <c r="AN191" i="33"/>
  <c r="AN190" i="33"/>
  <c r="W247" i="31"/>
  <c r="W246" i="31"/>
  <c r="C167" i="31"/>
  <c r="C166" i="31"/>
  <c r="B166" i="31"/>
  <c r="C119" i="31"/>
  <c r="C118" i="31"/>
  <c r="S55" i="31"/>
  <c r="AC40" i="31"/>
  <c r="U41" i="31"/>
  <c r="U40" i="31"/>
  <c r="U39" i="31"/>
  <c r="C44" i="31"/>
  <c r="C43" i="31"/>
  <c r="C42" i="31"/>
  <c r="C40" i="31"/>
  <c r="C39" i="31"/>
  <c r="D30" i="31"/>
  <c r="D29" i="31"/>
  <c r="AN28" i="31"/>
  <c r="AN27" i="31"/>
  <c r="AI27" i="31"/>
  <c r="AE28" i="31"/>
  <c r="AE27" i="31"/>
  <c r="AA29" i="31"/>
  <c r="AA28" i="31"/>
  <c r="AA27" i="31"/>
  <c r="F21" i="31"/>
  <c r="F20" i="31"/>
  <c r="F19" i="31"/>
  <c r="Y6" i="31"/>
  <c r="Y5" i="31"/>
  <c r="H5" i="31"/>
  <c r="G5" i="31"/>
  <c r="F5" i="31"/>
  <c r="F87" i="30"/>
  <c r="F86" i="30"/>
  <c r="L262" i="33"/>
  <c r="DD166" i="33"/>
  <c r="CA166" i="33"/>
  <c r="AU166" i="33"/>
  <c r="EB115" i="30"/>
  <c r="EA115" i="30"/>
  <c r="DZ115" i="30"/>
  <c r="DY115" i="30"/>
  <c r="DX115" i="30"/>
  <c r="DW115" i="30"/>
  <c r="DV115" i="30"/>
  <c r="DU115" i="30"/>
  <c r="DT115" i="30"/>
  <c r="DS115" i="30"/>
  <c r="DR115" i="30"/>
  <c r="DQ115" i="30"/>
  <c r="DP115" i="30"/>
  <c r="DO115" i="30"/>
  <c r="DN115" i="30"/>
  <c r="DM115" i="30"/>
  <c r="DL115" i="30"/>
  <c r="DK115" i="30"/>
  <c r="DJ115" i="30"/>
  <c r="DI115" i="30"/>
  <c r="DH115" i="30"/>
  <c r="DG115" i="30"/>
  <c r="DF115" i="30"/>
  <c r="DE115" i="30"/>
  <c r="EB114" i="30"/>
  <c r="EA114" i="30"/>
  <c r="DZ114" i="30"/>
  <c r="DY114" i="30"/>
  <c r="DX114" i="30"/>
  <c r="DW114" i="30"/>
  <c r="DV114" i="30"/>
  <c r="DU114" i="30"/>
  <c r="DT114" i="30"/>
  <c r="DS114" i="30"/>
  <c r="DR114" i="30"/>
  <c r="DQ114" i="30"/>
  <c r="DP114" i="30"/>
  <c r="DO114" i="30"/>
  <c r="DN114" i="30"/>
  <c r="DM114" i="30"/>
  <c r="DL114" i="30"/>
  <c r="DK114" i="30"/>
  <c r="DJ114" i="30"/>
  <c r="DI114" i="30"/>
  <c r="DH114" i="30"/>
  <c r="DG114" i="30"/>
  <c r="DF114" i="30"/>
  <c r="DE114" i="30"/>
  <c r="EB113" i="30"/>
  <c r="EA113" i="30"/>
  <c r="DZ113" i="30"/>
  <c r="DY113" i="30"/>
  <c r="DX113" i="30"/>
  <c r="DW113" i="30"/>
  <c r="DV113" i="30"/>
  <c r="DU113" i="30"/>
  <c r="DT113" i="30"/>
  <c r="DS113" i="30"/>
  <c r="DR113" i="30"/>
  <c r="DQ113" i="30"/>
  <c r="DP113" i="30"/>
  <c r="DO113" i="30"/>
  <c r="DN113" i="30"/>
  <c r="DM113" i="30"/>
  <c r="DL113" i="30"/>
  <c r="DK113" i="30"/>
  <c r="DJ113" i="30"/>
  <c r="DI113" i="30"/>
  <c r="DH113" i="30"/>
  <c r="DG113" i="30"/>
  <c r="DF113" i="30"/>
  <c r="DE113" i="30"/>
  <c r="EB112" i="30"/>
  <c r="EA112" i="30"/>
  <c r="DZ112" i="30"/>
  <c r="DY112" i="30"/>
  <c r="DX112" i="30"/>
  <c r="DW112" i="30"/>
  <c r="DV112" i="30"/>
  <c r="DU112" i="30"/>
  <c r="DT112" i="30"/>
  <c r="DS112" i="30"/>
  <c r="DR112" i="30"/>
  <c r="DQ112" i="30"/>
  <c r="DP112" i="30"/>
  <c r="DO112" i="30"/>
  <c r="DN112" i="30"/>
  <c r="DM112" i="30"/>
  <c r="DL112" i="30"/>
  <c r="DK112" i="30"/>
  <c r="DJ112" i="30"/>
  <c r="DI112" i="30"/>
  <c r="DH112" i="30"/>
  <c r="DG112" i="30"/>
  <c r="DF112" i="30"/>
  <c r="DE112" i="30"/>
  <c r="EB111" i="30"/>
  <c r="EA111" i="30"/>
  <c r="DZ111" i="30"/>
  <c r="DY111" i="30"/>
  <c r="DX111" i="30"/>
  <c r="DW111" i="30"/>
  <c r="DV111" i="30"/>
  <c r="DU111" i="30"/>
  <c r="DT111" i="30"/>
  <c r="DS111" i="30"/>
  <c r="DR111" i="30"/>
  <c r="DQ111" i="30"/>
  <c r="DP111" i="30"/>
  <c r="DO111" i="30"/>
  <c r="DN111" i="30"/>
  <c r="DM111" i="30"/>
  <c r="DL111" i="30"/>
  <c r="DK111" i="30"/>
  <c r="DJ111" i="30"/>
  <c r="DI111" i="30"/>
  <c r="DH111" i="30"/>
  <c r="DG111" i="30"/>
  <c r="DF111" i="30"/>
  <c r="DE111" i="30"/>
  <c r="EB110" i="30"/>
  <c r="EA110" i="30"/>
  <c r="DZ110" i="30"/>
  <c r="DY110" i="30"/>
  <c r="DX110" i="30"/>
  <c r="DW110" i="30"/>
  <c r="DV110" i="30"/>
  <c r="DU110" i="30"/>
  <c r="DT110" i="30"/>
  <c r="DS110" i="30"/>
  <c r="DR110" i="30"/>
  <c r="DQ110" i="30"/>
  <c r="DP110" i="30"/>
  <c r="DO110" i="30"/>
  <c r="DN110" i="30"/>
  <c r="DM110" i="30"/>
  <c r="DL110" i="30"/>
  <c r="DK110" i="30"/>
  <c r="DJ110" i="30"/>
  <c r="DI110" i="30"/>
  <c r="DH110" i="30"/>
  <c r="DG110" i="30"/>
  <c r="DF110" i="30"/>
  <c r="DE110" i="30"/>
  <c r="EB109" i="30"/>
  <c r="EA109" i="30"/>
  <c r="DZ109" i="30"/>
  <c r="DY109" i="30"/>
  <c r="DX109" i="30"/>
  <c r="DW109" i="30"/>
  <c r="DV109" i="30"/>
  <c r="DU109" i="30"/>
  <c r="DT109" i="30"/>
  <c r="DS109" i="30"/>
  <c r="DR109" i="30"/>
  <c r="DQ109" i="30"/>
  <c r="DP109" i="30"/>
  <c r="DO109" i="30"/>
  <c r="DN109" i="30"/>
  <c r="DM109" i="30"/>
  <c r="DL109" i="30"/>
  <c r="DK109" i="30"/>
  <c r="DJ109" i="30"/>
  <c r="DI109" i="30"/>
  <c r="DH109" i="30"/>
  <c r="DG109" i="30"/>
  <c r="DF109" i="30"/>
  <c r="DE109" i="30"/>
  <c r="EB108" i="30"/>
  <c r="EA108" i="30"/>
  <c r="DZ108" i="30"/>
  <c r="DY108" i="30"/>
  <c r="DX108" i="30"/>
  <c r="DW108" i="30"/>
  <c r="DV108" i="30"/>
  <c r="DU108" i="30"/>
  <c r="DT108" i="30"/>
  <c r="DS108" i="30"/>
  <c r="DR108" i="30"/>
  <c r="DQ108" i="30"/>
  <c r="DP108" i="30"/>
  <c r="DO108" i="30"/>
  <c r="DN108" i="30"/>
  <c r="DM108" i="30"/>
  <c r="DL108" i="30"/>
  <c r="DK108" i="30"/>
  <c r="DJ108" i="30"/>
  <c r="DI108" i="30"/>
  <c r="DH108" i="30"/>
  <c r="DG108" i="30"/>
  <c r="DF108" i="30"/>
  <c r="DE108" i="30"/>
  <c r="EB107" i="30"/>
  <c r="EA107" i="30"/>
  <c r="DZ107" i="30"/>
  <c r="DY107" i="30"/>
  <c r="DX107" i="30"/>
  <c r="DW107" i="30"/>
  <c r="DV107" i="30"/>
  <c r="DU107" i="30"/>
  <c r="DT107" i="30"/>
  <c r="DS107" i="30"/>
  <c r="DR107" i="30"/>
  <c r="DQ107" i="30"/>
  <c r="DP107" i="30"/>
  <c r="DO107" i="30"/>
  <c r="DN107" i="30"/>
  <c r="DM107" i="30"/>
  <c r="DL107" i="30"/>
  <c r="DK107" i="30"/>
  <c r="DJ107" i="30"/>
  <c r="DI107" i="30"/>
  <c r="DH107" i="30"/>
  <c r="DG107" i="30"/>
  <c r="DF107" i="30"/>
  <c r="DE107" i="30"/>
  <c r="EB106" i="30"/>
  <c r="EA106" i="30"/>
  <c r="DZ106" i="30"/>
  <c r="DY106" i="30"/>
  <c r="DX106" i="30"/>
  <c r="DW106" i="30"/>
  <c r="DV106" i="30"/>
  <c r="DU106" i="30"/>
  <c r="DT106" i="30"/>
  <c r="DS106" i="30"/>
  <c r="DR106" i="30"/>
  <c r="DQ106" i="30"/>
  <c r="DP106" i="30"/>
  <c r="DO106" i="30"/>
  <c r="DN106" i="30"/>
  <c r="DM106" i="30"/>
  <c r="DL106" i="30"/>
  <c r="DK106" i="30"/>
  <c r="DJ106" i="30"/>
  <c r="DI106" i="30"/>
  <c r="DH106" i="30"/>
  <c r="DG106" i="30"/>
  <c r="DF106" i="30"/>
  <c r="DE106" i="30"/>
  <c r="DD105" i="30"/>
  <c r="CY115" i="30"/>
  <c r="CX115" i="30"/>
  <c r="CW115" i="30"/>
  <c r="CV115" i="30"/>
  <c r="CU115" i="30"/>
  <c r="CT115" i="30"/>
  <c r="CS115" i="30"/>
  <c r="CR115" i="30"/>
  <c r="CQ115" i="30"/>
  <c r="CP115" i="30"/>
  <c r="CO115" i="30"/>
  <c r="CN115" i="30"/>
  <c r="CM115" i="30"/>
  <c r="CL115" i="30"/>
  <c r="CK115" i="30"/>
  <c r="CJ115" i="30"/>
  <c r="CI115" i="30"/>
  <c r="CH115" i="30"/>
  <c r="CG115" i="30"/>
  <c r="CF115" i="30"/>
  <c r="CE115" i="30"/>
  <c r="CD115" i="30"/>
  <c r="CC115" i="30"/>
  <c r="CB115" i="30"/>
  <c r="CY114" i="30"/>
  <c r="CX114" i="30"/>
  <c r="CW114" i="30"/>
  <c r="CV114" i="30"/>
  <c r="CU114" i="30"/>
  <c r="CT114" i="30"/>
  <c r="CS114" i="30"/>
  <c r="CR114" i="30"/>
  <c r="CQ114" i="30"/>
  <c r="CP114" i="30"/>
  <c r="CO114" i="30"/>
  <c r="CN114" i="30"/>
  <c r="CM114" i="30"/>
  <c r="CL114" i="30"/>
  <c r="CK114" i="30"/>
  <c r="CJ114" i="30"/>
  <c r="CI114" i="30"/>
  <c r="CH114" i="30"/>
  <c r="CG114" i="30"/>
  <c r="CF114" i="30"/>
  <c r="CE114" i="30"/>
  <c r="CD114" i="30"/>
  <c r="CC114" i="30"/>
  <c r="CB114" i="30"/>
  <c r="CY113" i="30"/>
  <c r="CX113" i="30"/>
  <c r="CW113" i="30"/>
  <c r="CV113" i="30"/>
  <c r="CU113" i="30"/>
  <c r="CT113" i="30"/>
  <c r="CS113" i="30"/>
  <c r="CR113" i="30"/>
  <c r="CQ113" i="30"/>
  <c r="CP113" i="30"/>
  <c r="CO113" i="30"/>
  <c r="CN113" i="30"/>
  <c r="CM113" i="30"/>
  <c r="CL113" i="30"/>
  <c r="CK113" i="30"/>
  <c r="CJ113" i="30"/>
  <c r="CI113" i="30"/>
  <c r="CH113" i="30"/>
  <c r="CG113" i="30"/>
  <c r="CF113" i="30"/>
  <c r="CE113" i="30"/>
  <c r="CD113" i="30"/>
  <c r="CC113" i="30"/>
  <c r="CB113" i="30"/>
  <c r="CY112" i="30"/>
  <c r="CX112" i="30"/>
  <c r="CW112" i="30"/>
  <c r="CV112" i="30"/>
  <c r="CU112" i="30"/>
  <c r="CT112" i="30"/>
  <c r="CS112" i="30"/>
  <c r="CR112" i="30"/>
  <c r="CQ112" i="30"/>
  <c r="CP112" i="30"/>
  <c r="CO112" i="30"/>
  <c r="CN112" i="30"/>
  <c r="CM112" i="30"/>
  <c r="CL112" i="30"/>
  <c r="CK112" i="30"/>
  <c r="CJ112" i="30"/>
  <c r="CI112" i="30"/>
  <c r="CH112" i="30"/>
  <c r="CG112" i="30"/>
  <c r="CF112" i="30"/>
  <c r="CE112" i="30"/>
  <c r="CD112" i="30"/>
  <c r="CC112" i="30"/>
  <c r="CB112" i="30"/>
  <c r="CY111" i="30"/>
  <c r="CX111" i="30"/>
  <c r="CW111" i="30"/>
  <c r="CV111" i="30"/>
  <c r="CU111" i="30"/>
  <c r="CT111" i="30"/>
  <c r="CS111" i="30"/>
  <c r="CR111" i="30"/>
  <c r="CQ111" i="30"/>
  <c r="CP111" i="30"/>
  <c r="CO111" i="30"/>
  <c r="CN111" i="30"/>
  <c r="CM111" i="30"/>
  <c r="CL111" i="30"/>
  <c r="CK111" i="30"/>
  <c r="CJ111" i="30"/>
  <c r="CI111" i="30"/>
  <c r="CH111" i="30"/>
  <c r="CG111" i="30"/>
  <c r="CF111" i="30"/>
  <c r="CE111" i="30"/>
  <c r="CD111" i="30"/>
  <c r="CC111" i="30"/>
  <c r="CB111" i="30"/>
  <c r="CY110" i="30"/>
  <c r="CX110" i="30"/>
  <c r="CW110" i="30"/>
  <c r="CV110" i="30"/>
  <c r="CU110" i="30"/>
  <c r="CT110" i="30"/>
  <c r="CS110" i="30"/>
  <c r="CR110" i="30"/>
  <c r="CQ110" i="30"/>
  <c r="CP110" i="30"/>
  <c r="CO110" i="30"/>
  <c r="CN110" i="30"/>
  <c r="CM110" i="30"/>
  <c r="CL110" i="30"/>
  <c r="CK110" i="30"/>
  <c r="CJ110" i="30"/>
  <c r="CI110" i="30"/>
  <c r="CH110" i="30"/>
  <c r="CG110" i="30"/>
  <c r="CF110" i="30"/>
  <c r="CE110" i="30"/>
  <c r="CD110" i="30"/>
  <c r="CC110" i="30"/>
  <c r="CB110" i="30"/>
  <c r="CY109" i="30"/>
  <c r="CX109" i="30"/>
  <c r="CW109" i="30"/>
  <c r="CV109" i="30"/>
  <c r="CU109" i="30"/>
  <c r="CT109" i="30"/>
  <c r="CS109" i="30"/>
  <c r="CR109" i="30"/>
  <c r="CQ109" i="30"/>
  <c r="CP109" i="30"/>
  <c r="CO109" i="30"/>
  <c r="CN109" i="30"/>
  <c r="CM109" i="30"/>
  <c r="CL109" i="30"/>
  <c r="CK109" i="30"/>
  <c r="CJ109" i="30"/>
  <c r="CI109" i="30"/>
  <c r="CH109" i="30"/>
  <c r="CG109" i="30"/>
  <c r="CF109" i="30"/>
  <c r="CE109" i="30"/>
  <c r="CD109" i="30"/>
  <c r="CC109" i="30"/>
  <c r="CB109" i="30"/>
  <c r="CY108" i="30"/>
  <c r="CX108" i="30"/>
  <c r="CW108" i="30"/>
  <c r="CV108" i="30"/>
  <c r="CU108" i="30"/>
  <c r="CT108" i="30"/>
  <c r="CS108" i="30"/>
  <c r="CR108" i="30"/>
  <c r="CQ108" i="30"/>
  <c r="CP108" i="30"/>
  <c r="CO108" i="30"/>
  <c r="CN108" i="30"/>
  <c r="CM108" i="30"/>
  <c r="CL108" i="30"/>
  <c r="CK108" i="30"/>
  <c r="CJ108" i="30"/>
  <c r="CI108" i="30"/>
  <c r="CH108" i="30"/>
  <c r="CG108" i="30"/>
  <c r="CF108" i="30"/>
  <c r="CE108" i="30"/>
  <c r="CD108" i="30"/>
  <c r="CC108" i="30"/>
  <c r="CB108" i="30"/>
  <c r="CY107" i="30"/>
  <c r="CX107" i="30"/>
  <c r="CW107" i="30"/>
  <c r="CV107" i="30"/>
  <c r="CU107" i="30"/>
  <c r="CT107" i="30"/>
  <c r="CS107" i="30"/>
  <c r="CR107" i="30"/>
  <c r="CQ107" i="30"/>
  <c r="CP107" i="30"/>
  <c r="CO107" i="30"/>
  <c r="CN107" i="30"/>
  <c r="CM107" i="30"/>
  <c r="CL107" i="30"/>
  <c r="CK107" i="30"/>
  <c r="CJ107" i="30"/>
  <c r="CI107" i="30"/>
  <c r="CH107" i="30"/>
  <c r="CG107" i="30"/>
  <c r="CF107" i="30"/>
  <c r="CE107" i="30"/>
  <c r="CD107" i="30"/>
  <c r="CC107" i="30"/>
  <c r="CB107" i="30"/>
  <c r="CY106" i="30"/>
  <c r="CX106" i="30"/>
  <c r="CW106" i="30"/>
  <c r="CV106" i="30"/>
  <c r="CU106" i="30"/>
  <c r="CT106" i="30"/>
  <c r="CS106" i="30"/>
  <c r="CR106" i="30"/>
  <c r="CQ106" i="30"/>
  <c r="CP106" i="30"/>
  <c r="CO106" i="30"/>
  <c r="CN106" i="30"/>
  <c r="CM106" i="30"/>
  <c r="CL106" i="30"/>
  <c r="CK106" i="30"/>
  <c r="CJ106" i="30"/>
  <c r="CI106" i="30"/>
  <c r="CH106" i="30"/>
  <c r="CG106" i="30"/>
  <c r="CF106" i="30"/>
  <c r="CE106" i="30"/>
  <c r="CD106" i="30"/>
  <c r="CC106" i="30"/>
  <c r="CB106" i="30"/>
  <c r="CA105" i="30"/>
  <c r="BS115" i="30"/>
  <c r="BR115" i="30"/>
  <c r="BQ115" i="30"/>
  <c r="BP115" i="30"/>
  <c r="BO115" i="30"/>
  <c r="BN115" i="30"/>
  <c r="BM115" i="30"/>
  <c r="BL115" i="30"/>
  <c r="BK115" i="30"/>
  <c r="BJ115" i="30"/>
  <c r="BI115" i="30"/>
  <c r="BH115" i="30"/>
  <c r="BG115" i="30"/>
  <c r="BF115" i="30"/>
  <c r="BE115" i="30"/>
  <c r="BD115" i="30"/>
  <c r="BC115" i="30"/>
  <c r="BB115" i="30"/>
  <c r="BA115" i="30"/>
  <c r="AZ115" i="30"/>
  <c r="AY115" i="30"/>
  <c r="AX115" i="30"/>
  <c r="AW115" i="30"/>
  <c r="AV115" i="30"/>
  <c r="BS114" i="30"/>
  <c r="BR114" i="30"/>
  <c r="BQ114" i="30"/>
  <c r="BP114" i="30"/>
  <c r="BO114" i="30"/>
  <c r="BN114" i="30"/>
  <c r="BM114" i="30"/>
  <c r="BL114" i="30"/>
  <c r="BK114" i="30"/>
  <c r="BJ114" i="30"/>
  <c r="BI114" i="30"/>
  <c r="BH114" i="30"/>
  <c r="BG114" i="30"/>
  <c r="BF114" i="30"/>
  <c r="BE114" i="30"/>
  <c r="BD114" i="30"/>
  <c r="BC114" i="30"/>
  <c r="BB114" i="30"/>
  <c r="BA114" i="30"/>
  <c r="AZ114" i="30"/>
  <c r="AY114" i="30"/>
  <c r="AX114" i="30"/>
  <c r="AW114" i="30"/>
  <c r="AV114" i="30"/>
  <c r="BS113" i="30"/>
  <c r="BR113" i="30"/>
  <c r="BQ113" i="30"/>
  <c r="BP113" i="30"/>
  <c r="BO113" i="30"/>
  <c r="BN113" i="30"/>
  <c r="BM113" i="30"/>
  <c r="BL113" i="30"/>
  <c r="BK113" i="30"/>
  <c r="BJ113" i="30"/>
  <c r="BI113" i="30"/>
  <c r="BH113" i="30"/>
  <c r="BG113" i="30"/>
  <c r="BF113" i="30"/>
  <c r="BE113" i="30"/>
  <c r="BD113" i="30"/>
  <c r="BC113" i="30"/>
  <c r="BB113" i="30"/>
  <c r="BA113" i="30"/>
  <c r="AZ113" i="30"/>
  <c r="AY113" i="30"/>
  <c r="AX113" i="30"/>
  <c r="AW113" i="30"/>
  <c r="AV113" i="30"/>
  <c r="BS112" i="30"/>
  <c r="BR112" i="30"/>
  <c r="BQ112" i="30"/>
  <c r="BP112" i="30"/>
  <c r="BO112" i="30"/>
  <c r="BN112" i="30"/>
  <c r="BM112" i="30"/>
  <c r="BL112" i="30"/>
  <c r="BK112" i="30"/>
  <c r="BJ112" i="30"/>
  <c r="BI112" i="30"/>
  <c r="BH112" i="30"/>
  <c r="BG112" i="30"/>
  <c r="BF112" i="30"/>
  <c r="BE112" i="30"/>
  <c r="BD112" i="30"/>
  <c r="BC112" i="30"/>
  <c r="BB112" i="30"/>
  <c r="BA112" i="30"/>
  <c r="AZ112" i="30"/>
  <c r="AY112" i="30"/>
  <c r="AX112" i="30"/>
  <c r="AW112" i="30"/>
  <c r="AV112" i="30"/>
  <c r="BS111" i="30"/>
  <c r="BR111" i="30"/>
  <c r="BQ111" i="30"/>
  <c r="BP111" i="30"/>
  <c r="BO111" i="30"/>
  <c r="BN111" i="30"/>
  <c r="BM111" i="30"/>
  <c r="BL111" i="30"/>
  <c r="BK111" i="30"/>
  <c r="BJ111" i="30"/>
  <c r="BI111" i="30"/>
  <c r="BH111" i="30"/>
  <c r="BG111" i="30"/>
  <c r="BF111" i="30"/>
  <c r="BE111" i="30"/>
  <c r="BD111" i="30"/>
  <c r="BC111" i="30"/>
  <c r="BB111" i="30"/>
  <c r="BA111" i="30"/>
  <c r="AZ111" i="30"/>
  <c r="AY111" i="30"/>
  <c r="AX111" i="30"/>
  <c r="AW111" i="30"/>
  <c r="AV111" i="30"/>
  <c r="BS107" i="30"/>
  <c r="BR107" i="30"/>
  <c r="BQ107" i="30"/>
  <c r="AY107" i="30"/>
  <c r="AX107" i="30"/>
  <c r="AW107" i="30"/>
  <c r="AV107" i="30"/>
  <c r="BS106" i="30"/>
  <c r="BR106" i="30"/>
  <c r="BQ106" i="30"/>
  <c r="BP106" i="30"/>
  <c r="AY106" i="30"/>
  <c r="AX106" i="30"/>
  <c r="AW106" i="30"/>
  <c r="AV106" i="30"/>
  <c r="AU105" i="30"/>
  <c r="EB87" i="30"/>
  <c r="EA87" i="30"/>
  <c r="DZ87" i="30"/>
  <c r="DY87" i="30"/>
  <c r="DX87" i="30"/>
  <c r="DW87" i="30"/>
  <c r="DV87" i="30"/>
  <c r="DU87" i="30"/>
  <c r="DT87" i="30"/>
  <c r="DS87" i="30"/>
  <c r="DR87" i="30"/>
  <c r="DQ87" i="30"/>
  <c r="DP87" i="30"/>
  <c r="DO87" i="30"/>
  <c r="DN87" i="30"/>
  <c r="DM87" i="30"/>
  <c r="DL87" i="30"/>
  <c r="DK87" i="30"/>
  <c r="DJ87" i="30"/>
  <c r="DI87" i="30"/>
  <c r="DH87" i="30"/>
  <c r="DG87" i="30"/>
  <c r="DF87" i="30"/>
  <c r="DE87" i="30"/>
  <c r="EB86" i="30"/>
  <c r="EA86" i="30"/>
  <c r="DZ86" i="30"/>
  <c r="DY86" i="30"/>
  <c r="DX86" i="30"/>
  <c r="DW86" i="30"/>
  <c r="DV86" i="30"/>
  <c r="DU86" i="30"/>
  <c r="DT86" i="30"/>
  <c r="DS86" i="30"/>
  <c r="DR86" i="30"/>
  <c r="DQ86" i="30"/>
  <c r="DP86" i="30"/>
  <c r="DO86" i="30"/>
  <c r="DN86" i="30"/>
  <c r="DM86" i="30"/>
  <c r="DL86" i="30"/>
  <c r="DK86" i="30"/>
  <c r="DJ86" i="30"/>
  <c r="DI86" i="30"/>
  <c r="DH86" i="30"/>
  <c r="DG86" i="30"/>
  <c r="DF86" i="30"/>
  <c r="DE86" i="30"/>
  <c r="CY87" i="30"/>
  <c r="CX87" i="30"/>
  <c r="CW87" i="30"/>
  <c r="CV87" i="30"/>
  <c r="CU87" i="30"/>
  <c r="CT87" i="30"/>
  <c r="CS87" i="30"/>
  <c r="CR87" i="30"/>
  <c r="CQ87" i="30"/>
  <c r="CP87" i="30"/>
  <c r="CO87" i="30"/>
  <c r="CN87" i="30"/>
  <c r="CM87" i="30"/>
  <c r="CL87" i="30"/>
  <c r="CK87" i="30"/>
  <c r="CJ87" i="30"/>
  <c r="CI87" i="30"/>
  <c r="CH87" i="30"/>
  <c r="CG87" i="30"/>
  <c r="CF87" i="30"/>
  <c r="CE87" i="30"/>
  <c r="CD87" i="30"/>
  <c r="CC87" i="30"/>
  <c r="CB87" i="30"/>
  <c r="CY86" i="30"/>
  <c r="CX86" i="30"/>
  <c r="CW86" i="30"/>
  <c r="CV86" i="30"/>
  <c r="CU86" i="30"/>
  <c r="CT86" i="30"/>
  <c r="CS86" i="30"/>
  <c r="CR86" i="30"/>
  <c r="CQ86" i="30"/>
  <c r="CP86" i="30"/>
  <c r="CO86" i="30"/>
  <c r="CN86" i="30"/>
  <c r="CM86" i="30"/>
  <c r="CL86" i="30"/>
  <c r="CK86" i="30"/>
  <c r="CJ86" i="30"/>
  <c r="CI86" i="30"/>
  <c r="CH86" i="30"/>
  <c r="CG86" i="30"/>
  <c r="CF86" i="30"/>
  <c r="CE86" i="30"/>
  <c r="CD86" i="30"/>
  <c r="CC86" i="30"/>
  <c r="CB86" i="30"/>
  <c r="F65" i="30"/>
  <c r="F64" i="30"/>
  <c r="F63" i="30"/>
  <c r="F62" i="30"/>
  <c r="F61" i="30"/>
  <c r="C59" i="30"/>
  <c r="D37" i="30"/>
  <c r="B37" i="30"/>
  <c r="D36" i="30"/>
  <c r="B36" i="30"/>
  <c r="D35" i="30"/>
  <c r="B35" i="30"/>
  <c r="D22" i="30"/>
  <c r="D21" i="30"/>
  <c r="D20" i="30"/>
  <c r="D18" i="30"/>
  <c r="D17" i="30"/>
  <c r="D16" i="30"/>
  <c r="AN231" i="33"/>
  <c r="AV231" i="33"/>
  <c r="AU231" i="33"/>
  <c r="AV228" i="33"/>
  <c r="AU228" i="33"/>
  <c r="AQ228" i="33"/>
  <c r="AN227" i="33"/>
  <c r="AN226" i="33"/>
  <c r="AN225" i="33"/>
  <c r="AN224" i="33"/>
  <c r="AM224" i="33"/>
  <c r="W275" i="31"/>
  <c r="AA260" i="31"/>
  <c r="AA259" i="31"/>
  <c r="AA258" i="31"/>
  <c r="AA257" i="31"/>
  <c r="AA256" i="31"/>
  <c r="U260" i="31"/>
  <c r="U259" i="31"/>
  <c r="U258" i="31"/>
  <c r="U257" i="31"/>
  <c r="U256" i="31"/>
  <c r="W240" i="31"/>
  <c r="AE240" i="31"/>
  <c r="AD240" i="31"/>
  <c r="AE237" i="31"/>
  <c r="AD237" i="31"/>
  <c r="Z237" i="31"/>
  <c r="W236" i="31"/>
  <c r="W235" i="31"/>
  <c r="W234" i="31"/>
  <c r="W233" i="31"/>
  <c r="V233" i="31"/>
  <c r="C84" i="30"/>
  <c r="C83" i="30"/>
  <c r="C81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AD69" i="30"/>
  <c r="AC69" i="30"/>
  <c r="AB69" i="30"/>
  <c r="AA69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Z54" i="29"/>
  <c r="Y54" i="29"/>
  <c r="X54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C54" i="29"/>
  <c r="Z52" i="29"/>
  <c r="Y52" i="29"/>
  <c r="X52" i="29"/>
  <c r="W52" i="29"/>
  <c r="V52" i="29"/>
  <c r="U52" i="29"/>
  <c r="T52" i="29"/>
  <c r="S52" i="29"/>
  <c r="R52" i="29"/>
  <c r="Q52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C52" i="29"/>
  <c r="Z51" i="29"/>
  <c r="Y51" i="29"/>
  <c r="X51" i="29"/>
  <c r="W51" i="29"/>
  <c r="V51" i="29"/>
  <c r="U51" i="29"/>
  <c r="T51" i="29"/>
  <c r="S51" i="29"/>
  <c r="R51" i="29"/>
  <c r="Q51" i="29"/>
  <c r="P51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C51" i="29"/>
  <c r="Z50" i="29"/>
  <c r="Y50" i="29"/>
  <c r="X50" i="29"/>
  <c r="W50" i="29"/>
  <c r="V50" i="29"/>
  <c r="U50" i="29"/>
  <c r="T50" i="29"/>
  <c r="S50" i="29"/>
  <c r="R50" i="29"/>
  <c r="Q50" i="29"/>
  <c r="P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C50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AP7" i="29"/>
  <c r="AC70" i="23"/>
  <c r="AA70" i="23"/>
  <c r="Z70" i="23"/>
  <c r="Y70" i="23"/>
  <c r="X70" i="23"/>
  <c r="W70" i="23"/>
  <c r="V70" i="23"/>
  <c r="U70" i="23"/>
  <c r="T70" i="23"/>
  <c r="S70" i="23"/>
  <c r="AC69" i="23"/>
  <c r="AA69" i="23"/>
  <c r="Z69" i="23"/>
  <c r="Y69" i="23"/>
  <c r="X69" i="23"/>
  <c r="W69" i="23"/>
  <c r="V69" i="23"/>
  <c r="U69" i="23"/>
  <c r="T69" i="23"/>
  <c r="S69" i="23"/>
  <c r="AC68" i="23"/>
  <c r="AA68" i="23"/>
  <c r="Z68" i="23"/>
  <c r="Y68" i="23"/>
  <c r="X68" i="23"/>
  <c r="W68" i="23"/>
  <c r="V68" i="23"/>
  <c r="U68" i="23"/>
  <c r="T68" i="23"/>
  <c r="S68" i="23"/>
  <c r="AC67" i="23"/>
  <c r="AA67" i="23"/>
  <c r="Z67" i="23"/>
  <c r="Y67" i="23"/>
  <c r="X67" i="23"/>
  <c r="W67" i="23"/>
  <c r="V67" i="23"/>
  <c r="U67" i="23"/>
  <c r="T67" i="23"/>
  <c r="S67" i="23"/>
  <c r="AC66" i="23"/>
  <c r="AA66" i="23"/>
  <c r="Z66" i="23"/>
  <c r="Y66" i="23"/>
  <c r="X66" i="23"/>
  <c r="W66" i="23"/>
  <c r="V66" i="23"/>
  <c r="U66" i="23"/>
  <c r="T66" i="23"/>
  <c r="S66" i="23"/>
  <c r="AC65" i="23"/>
  <c r="AA65" i="23"/>
  <c r="Z65" i="23"/>
  <c r="Y65" i="23"/>
  <c r="X65" i="23"/>
  <c r="W65" i="23"/>
  <c r="V65" i="23"/>
  <c r="U65" i="23"/>
  <c r="T65" i="23"/>
  <c r="S65" i="23"/>
  <c r="AC64" i="23"/>
  <c r="AA64" i="23"/>
  <c r="Z64" i="23"/>
  <c r="Y64" i="23"/>
  <c r="X64" i="23"/>
  <c r="W64" i="23"/>
  <c r="V64" i="23"/>
  <c r="U64" i="23"/>
  <c r="T64" i="23"/>
  <c r="S64" i="23"/>
  <c r="AC63" i="23"/>
  <c r="AA63" i="23"/>
  <c r="Z63" i="23"/>
  <c r="Y63" i="23"/>
  <c r="X63" i="23"/>
  <c r="W63" i="23"/>
  <c r="V63" i="23"/>
  <c r="U63" i="23"/>
  <c r="T63" i="23"/>
  <c r="S63" i="23"/>
  <c r="AC62" i="23"/>
  <c r="AA62" i="23"/>
  <c r="Z62" i="23"/>
  <c r="Y62" i="23"/>
  <c r="X62" i="23"/>
  <c r="W62" i="23"/>
  <c r="V62" i="23"/>
  <c r="U62" i="23"/>
  <c r="T62" i="23"/>
  <c r="S62" i="23"/>
  <c r="AC61" i="23"/>
  <c r="AA61" i="23"/>
  <c r="Z61" i="23"/>
  <c r="Y61" i="23"/>
  <c r="X61" i="23"/>
  <c r="W61" i="23"/>
  <c r="V61" i="23"/>
  <c r="U61" i="23"/>
  <c r="T61" i="23"/>
  <c r="S61" i="23"/>
  <c r="AC60" i="23"/>
  <c r="AA60" i="23"/>
  <c r="Z60" i="23"/>
  <c r="Y60" i="23"/>
  <c r="X60" i="23"/>
  <c r="W60" i="23"/>
  <c r="V60" i="23"/>
  <c r="U60" i="23"/>
  <c r="T60" i="23"/>
  <c r="S60" i="23"/>
  <c r="AC59" i="23"/>
  <c r="AA59" i="23"/>
  <c r="Z59" i="23"/>
  <c r="Y59" i="23"/>
  <c r="X59" i="23"/>
  <c r="W59" i="23"/>
  <c r="V59" i="23"/>
  <c r="U59" i="23"/>
  <c r="T59" i="23"/>
  <c r="S59" i="23"/>
  <c r="AC58" i="23"/>
  <c r="AA58" i="23"/>
  <c r="Z58" i="23"/>
  <c r="Y58" i="23"/>
  <c r="X58" i="23"/>
  <c r="W58" i="23"/>
  <c r="V58" i="23"/>
  <c r="U58" i="23"/>
  <c r="T58" i="23"/>
  <c r="S58" i="23"/>
  <c r="AC57" i="23"/>
  <c r="AA57" i="23"/>
  <c r="Z57" i="23"/>
  <c r="Y57" i="23"/>
  <c r="X57" i="23"/>
  <c r="W57" i="23"/>
  <c r="V57" i="23"/>
  <c r="U57" i="23"/>
  <c r="T57" i="23"/>
  <c r="S57" i="23"/>
  <c r="AC56" i="23"/>
  <c r="AA56" i="23"/>
  <c r="Z56" i="23"/>
  <c r="Y56" i="23"/>
  <c r="X56" i="23"/>
  <c r="W56" i="23"/>
  <c r="V56" i="23"/>
  <c r="U56" i="23"/>
  <c r="T56" i="23"/>
  <c r="S56" i="23"/>
  <c r="AC55" i="23"/>
  <c r="AA55" i="23"/>
  <c r="Z55" i="23"/>
  <c r="Y55" i="23"/>
  <c r="X55" i="23"/>
  <c r="W55" i="23"/>
  <c r="V55" i="23"/>
  <c r="U55" i="23"/>
  <c r="T55" i="23"/>
  <c r="S55" i="23"/>
  <c r="AC54" i="23"/>
  <c r="AA54" i="23"/>
  <c r="Z54" i="23"/>
  <c r="Y54" i="23"/>
  <c r="X54" i="23"/>
  <c r="W54" i="23"/>
  <c r="V54" i="23"/>
  <c r="U54" i="23"/>
  <c r="T54" i="23"/>
  <c r="S54" i="23"/>
  <c r="AC53" i="23"/>
  <c r="AA53" i="23"/>
  <c r="Z53" i="23"/>
  <c r="Y53" i="23"/>
  <c r="X53" i="23"/>
  <c r="W53" i="23"/>
  <c r="V53" i="23"/>
  <c r="U53" i="23"/>
  <c r="T53" i="23"/>
  <c r="S53" i="23"/>
  <c r="AC52" i="23"/>
  <c r="AA52" i="23"/>
  <c r="Z52" i="23"/>
  <c r="Y52" i="23"/>
  <c r="X52" i="23"/>
  <c r="W52" i="23"/>
  <c r="V52" i="23"/>
  <c r="U52" i="23"/>
  <c r="T52" i="23"/>
  <c r="S52" i="23"/>
  <c r="AC51" i="23"/>
  <c r="AA51" i="23"/>
  <c r="Z51" i="23"/>
  <c r="Y51" i="23"/>
  <c r="X51" i="23"/>
  <c r="W51" i="23"/>
  <c r="V51" i="23"/>
  <c r="U51" i="23"/>
  <c r="T51" i="23"/>
  <c r="S51" i="23"/>
  <c r="AC48" i="23"/>
  <c r="AA48" i="23"/>
  <c r="Z48" i="23"/>
  <c r="Y48" i="23"/>
  <c r="X48" i="23"/>
  <c r="W48" i="23"/>
  <c r="V48" i="23"/>
  <c r="U48" i="23"/>
  <c r="T48" i="23"/>
  <c r="S48" i="23"/>
  <c r="AC47" i="23"/>
  <c r="AA47" i="23"/>
  <c r="Z47" i="23"/>
  <c r="Y47" i="23"/>
  <c r="X47" i="23"/>
  <c r="W47" i="23"/>
  <c r="V47" i="23"/>
  <c r="U47" i="23"/>
  <c r="T47" i="23"/>
  <c r="S47" i="23"/>
  <c r="AC46" i="23"/>
  <c r="AA46" i="23"/>
  <c r="Z46" i="23"/>
  <c r="Y46" i="23"/>
  <c r="X46" i="23"/>
  <c r="W46" i="23"/>
  <c r="V46" i="23"/>
  <c r="U46" i="23"/>
  <c r="T46" i="23"/>
  <c r="S46" i="23"/>
  <c r="AC45" i="23"/>
  <c r="AA45" i="23"/>
  <c r="Z45" i="23"/>
  <c r="Y45" i="23"/>
  <c r="X45" i="23"/>
  <c r="W45" i="23"/>
  <c r="V45" i="23"/>
  <c r="U45" i="23"/>
  <c r="T45" i="23"/>
  <c r="S45" i="23"/>
  <c r="AC44" i="23"/>
  <c r="AA44" i="23"/>
  <c r="Z44" i="23"/>
  <c r="Y44" i="23"/>
  <c r="X44" i="23"/>
  <c r="W44" i="23"/>
  <c r="V44" i="23"/>
  <c r="U44" i="23"/>
  <c r="T44" i="23"/>
  <c r="S44" i="23"/>
  <c r="AC43" i="23"/>
  <c r="AA43" i="23"/>
  <c r="Z43" i="23"/>
  <c r="Y43" i="23"/>
  <c r="X43" i="23"/>
  <c r="W43" i="23"/>
  <c r="V43" i="23"/>
  <c r="U43" i="23"/>
  <c r="T43" i="23"/>
  <c r="S43" i="23"/>
  <c r="AC42" i="23"/>
  <c r="AA42" i="23"/>
  <c r="Z42" i="23"/>
  <c r="Y42" i="23"/>
  <c r="X42" i="23"/>
  <c r="W42" i="23"/>
  <c r="V42" i="23"/>
  <c r="U42" i="23"/>
  <c r="T42" i="23"/>
  <c r="S42" i="23"/>
  <c r="AC41" i="23"/>
  <c r="AA41" i="23"/>
  <c r="Z41" i="23"/>
  <c r="Y41" i="23"/>
  <c r="X41" i="23"/>
  <c r="W41" i="23"/>
  <c r="V41" i="23"/>
  <c r="U41" i="23"/>
  <c r="T41" i="23"/>
  <c r="S41" i="23"/>
  <c r="AC40" i="23"/>
  <c r="AA40" i="23"/>
  <c r="Z40" i="23"/>
  <c r="Y40" i="23"/>
  <c r="X40" i="23"/>
  <c r="W40" i="23"/>
  <c r="V40" i="23"/>
  <c r="U40" i="23"/>
  <c r="T40" i="23"/>
  <c r="S40" i="23"/>
  <c r="AC39" i="23"/>
  <c r="AA39" i="23"/>
  <c r="Z39" i="23"/>
  <c r="Y39" i="23"/>
  <c r="X39" i="23"/>
  <c r="W39" i="23"/>
  <c r="V39" i="23"/>
  <c r="U39" i="23"/>
  <c r="T39" i="23"/>
  <c r="S39" i="23"/>
  <c r="AC38" i="23"/>
  <c r="AA38" i="23"/>
  <c r="Z38" i="23"/>
  <c r="Y38" i="23"/>
  <c r="X38" i="23"/>
  <c r="W38" i="23"/>
  <c r="V38" i="23"/>
  <c r="U38" i="23"/>
  <c r="T38" i="23"/>
  <c r="S38" i="23"/>
  <c r="AC37" i="23"/>
  <c r="AA37" i="23"/>
  <c r="Z37" i="23"/>
  <c r="Y37" i="23"/>
  <c r="X37" i="23"/>
  <c r="W37" i="23"/>
  <c r="V37" i="23"/>
  <c r="U37" i="23"/>
  <c r="T37" i="23"/>
  <c r="S37" i="23"/>
  <c r="AC36" i="23"/>
  <c r="AA36" i="23"/>
  <c r="Z36" i="23"/>
  <c r="Y36" i="23"/>
  <c r="X36" i="23"/>
  <c r="W36" i="23"/>
  <c r="V36" i="23"/>
  <c r="U36" i="23"/>
  <c r="T36" i="23"/>
  <c r="S36" i="23"/>
  <c r="AC35" i="23"/>
  <c r="AA35" i="23"/>
  <c r="Z35" i="23"/>
  <c r="Y35" i="23"/>
  <c r="X35" i="23"/>
  <c r="W35" i="23"/>
  <c r="V35" i="23"/>
  <c r="U35" i="23"/>
  <c r="T35" i="23"/>
  <c r="S35" i="23"/>
  <c r="AC34" i="23"/>
  <c r="AA34" i="23"/>
  <c r="Z34" i="23"/>
  <c r="Y34" i="23"/>
  <c r="X34" i="23"/>
  <c r="W34" i="23"/>
  <c r="V34" i="23"/>
  <c r="U34" i="23"/>
  <c r="T34" i="23"/>
  <c r="S34" i="23"/>
  <c r="AC33" i="23"/>
  <c r="AA33" i="23"/>
  <c r="Z33" i="23"/>
  <c r="Y33" i="23"/>
  <c r="X33" i="23"/>
  <c r="W33" i="23"/>
  <c r="V33" i="23"/>
  <c r="U33" i="23"/>
  <c r="T33" i="23"/>
  <c r="S33" i="23"/>
  <c r="AC32" i="23"/>
  <c r="AA32" i="23"/>
  <c r="Z32" i="23"/>
  <c r="Y32" i="23"/>
  <c r="X32" i="23"/>
  <c r="W32" i="23"/>
  <c r="V32" i="23"/>
  <c r="U32" i="23"/>
  <c r="T32" i="23"/>
  <c r="S32" i="23"/>
  <c r="AC31" i="23"/>
  <c r="AA31" i="23"/>
  <c r="Z31" i="23"/>
  <c r="Y31" i="23"/>
  <c r="X31" i="23"/>
  <c r="W31" i="23"/>
  <c r="V31" i="23"/>
  <c r="U31" i="23"/>
  <c r="T31" i="23"/>
  <c r="S31" i="23"/>
  <c r="AC30" i="23"/>
  <c r="AA30" i="23"/>
  <c r="Z30" i="23"/>
  <c r="Y30" i="23"/>
  <c r="X30" i="23"/>
  <c r="W30" i="23"/>
  <c r="V30" i="23"/>
  <c r="U30" i="23"/>
  <c r="T30" i="23"/>
  <c r="S30" i="23"/>
  <c r="AC29" i="23"/>
  <c r="AA29" i="23"/>
  <c r="Z29" i="23"/>
  <c r="Y29" i="23"/>
  <c r="X29" i="23"/>
  <c r="W29" i="23"/>
  <c r="V29" i="23"/>
  <c r="U29" i="23"/>
  <c r="T29" i="23"/>
  <c r="S29" i="23"/>
  <c r="AC26" i="23"/>
  <c r="AA26" i="23"/>
  <c r="Z26" i="23"/>
  <c r="Y26" i="23"/>
  <c r="X26" i="23"/>
  <c r="W26" i="23"/>
  <c r="V26" i="23"/>
  <c r="U26" i="23"/>
  <c r="T26" i="23"/>
  <c r="S26" i="23"/>
  <c r="AC25" i="23"/>
  <c r="AA25" i="23"/>
  <c r="Z25" i="23"/>
  <c r="Y25" i="23"/>
  <c r="X25" i="23"/>
  <c r="W25" i="23"/>
  <c r="V25" i="23"/>
  <c r="U25" i="23"/>
  <c r="T25" i="23"/>
  <c r="S25" i="23"/>
  <c r="AC24" i="23"/>
  <c r="AA24" i="23"/>
  <c r="Z24" i="23"/>
  <c r="Y24" i="23"/>
  <c r="X24" i="23"/>
  <c r="W24" i="23"/>
  <c r="V24" i="23"/>
  <c r="U24" i="23"/>
  <c r="T24" i="23"/>
  <c r="S24" i="23"/>
  <c r="AC23" i="23"/>
  <c r="AA23" i="23"/>
  <c r="Z23" i="23"/>
  <c r="Y23" i="23"/>
  <c r="X23" i="23"/>
  <c r="W23" i="23"/>
  <c r="V23" i="23"/>
  <c r="U23" i="23"/>
  <c r="T23" i="23"/>
  <c r="S23" i="23"/>
  <c r="AC22" i="23"/>
  <c r="AA22" i="23"/>
  <c r="Z22" i="23"/>
  <c r="Y22" i="23"/>
  <c r="X22" i="23"/>
  <c r="W22" i="23"/>
  <c r="V22" i="23"/>
  <c r="U22" i="23"/>
  <c r="T22" i="23"/>
  <c r="S22" i="23"/>
  <c r="AC21" i="23"/>
  <c r="AA21" i="23"/>
  <c r="Z21" i="23"/>
  <c r="Y21" i="23"/>
  <c r="X21" i="23"/>
  <c r="W21" i="23"/>
  <c r="V21" i="23"/>
  <c r="U21" i="23"/>
  <c r="T21" i="23"/>
  <c r="S21" i="23"/>
  <c r="AC20" i="23"/>
  <c r="AA20" i="23"/>
  <c r="Z20" i="23"/>
  <c r="Y20" i="23"/>
  <c r="X20" i="23"/>
  <c r="W20" i="23"/>
  <c r="V20" i="23"/>
  <c r="U20" i="23"/>
  <c r="T20" i="23"/>
  <c r="S20" i="23"/>
  <c r="AC19" i="23"/>
  <c r="AA19" i="23"/>
  <c r="Z19" i="23"/>
  <c r="Y19" i="23"/>
  <c r="X19" i="23"/>
  <c r="W19" i="23"/>
  <c r="V19" i="23"/>
  <c r="U19" i="23"/>
  <c r="T19" i="23"/>
  <c r="S19" i="23"/>
  <c r="AC18" i="23"/>
  <c r="AA18" i="23"/>
  <c r="Z18" i="23"/>
  <c r="Y18" i="23"/>
  <c r="X18" i="23"/>
  <c r="W18" i="23"/>
  <c r="V18" i="23"/>
  <c r="U18" i="23"/>
  <c r="T18" i="23"/>
  <c r="S18" i="23"/>
  <c r="AC17" i="23"/>
  <c r="AA17" i="23"/>
  <c r="Z17" i="23"/>
  <c r="Y17" i="23"/>
  <c r="X17" i="23"/>
  <c r="W17" i="23"/>
  <c r="V17" i="23"/>
  <c r="U17" i="23"/>
  <c r="T17" i="23"/>
  <c r="S17" i="23"/>
  <c r="AC16" i="23"/>
  <c r="AA16" i="23"/>
  <c r="Z16" i="23"/>
  <c r="Y16" i="23"/>
  <c r="X16" i="23"/>
  <c r="W16" i="23"/>
  <c r="V16" i="23"/>
  <c r="U16" i="23"/>
  <c r="T16" i="23"/>
  <c r="S16" i="23"/>
  <c r="AC15" i="23"/>
  <c r="AA15" i="23"/>
  <c r="Z15" i="23"/>
  <c r="Y15" i="23"/>
  <c r="X15" i="23"/>
  <c r="W15" i="23"/>
  <c r="V15" i="23"/>
  <c r="U15" i="23"/>
  <c r="T15" i="23"/>
  <c r="S15" i="23"/>
  <c r="AC14" i="23"/>
  <c r="AA14" i="23"/>
  <c r="Z14" i="23"/>
  <c r="Y14" i="23"/>
  <c r="X14" i="23"/>
  <c r="W14" i="23"/>
  <c r="V14" i="23"/>
  <c r="U14" i="23"/>
  <c r="T14" i="23"/>
  <c r="S14" i="23"/>
  <c r="AC13" i="23"/>
  <c r="AA13" i="23"/>
  <c r="Z13" i="23"/>
  <c r="Y13" i="23"/>
  <c r="X13" i="23"/>
  <c r="W13" i="23"/>
  <c r="V13" i="23"/>
  <c r="U13" i="23"/>
  <c r="T13" i="23"/>
  <c r="S13" i="23"/>
  <c r="AC12" i="23"/>
  <c r="AA12" i="23"/>
  <c r="Z12" i="23"/>
  <c r="Y12" i="23"/>
  <c r="X12" i="23"/>
  <c r="W12" i="23"/>
  <c r="V12" i="23"/>
  <c r="U12" i="23"/>
  <c r="T12" i="23"/>
  <c r="S12" i="23"/>
  <c r="AC11" i="23"/>
  <c r="AA11" i="23"/>
  <c r="Z11" i="23"/>
  <c r="Y11" i="23"/>
  <c r="X11" i="23"/>
  <c r="W11" i="23"/>
  <c r="V11" i="23"/>
  <c r="U11" i="23"/>
  <c r="T11" i="23"/>
  <c r="S11" i="23"/>
  <c r="AC10" i="23"/>
  <c r="AA10" i="23"/>
  <c r="Z10" i="23"/>
  <c r="Y10" i="23"/>
  <c r="X10" i="23"/>
  <c r="W10" i="23"/>
  <c r="V10" i="23"/>
  <c r="U10" i="23"/>
  <c r="T10" i="23"/>
  <c r="S10" i="23"/>
  <c r="AC9" i="23"/>
  <c r="AA9" i="23"/>
  <c r="Z9" i="23"/>
  <c r="Y9" i="23"/>
  <c r="X9" i="23"/>
  <c r="W9" i="23"/>
  <c r="V9" i="23"/>
  <c r="U9" i="23"/>
  <c r="T9" i="23"/>
  <c r="S9" i="23"/>
  <c r="AC8" i="23"/>
  <c r="AA8" i="23"/>
  <c r="Z8" i="23"/>
  <c r="Y8" i="23"/>
  <c r="X8" i="23"/>
  <c r="W8" i="23"/>
  <c r="V8" i="23"/>
  <c r="U8" i="23"/>
  <c r="T8" i="23"/>
  <c r="S8" i="23"/>
  <c r="AC7" i="23"/>
  <c r="AA7" i="23"/>
  <c r="Z7" i="23"/>
  <c r="Y7" i="23"/>
  <c r="X7" i="23"/>
  <c r="W7" i="23"/>
  <c r="V7" i="23"/>
  <c r="U7" i="23"/>
  <c r="T7" i="23"/>
  <c r="S7" i="23"/>
  <c r="Z227" i="31"/>
  <c r="Y227" i="31"/>
  <c r="X227" i="31"/>
  <c r="Z226" i="31"/>
  <c r="Y226" i="31"/>
  <c r="X226" i="31"/>
  <c r="Z225" i="31"/>
  <c r="Y225" i="31"/>
  <c r="X225" i="31"/>
  <c r="Z224" i="31"/>
  <c r="Y224" i="31"/>
  <c r="X224" i="31"/>
  <c r="Z223" i="31"/>
  <c r="Y223" i="31"/>
  <c r="X223" i="31"/>
  <c r="Z222" i="31"/>
  <c r="Y222" i="31"/>
  <c r="X222" i="31"/>
  <c r="Z221" i="31"/>
  <c r="Y221" i="31"/>
  <c r="X221" i="31"/>
  <c r="Z220" i="31"/>
  <c r="Y220" i="31"/>
  <c r="X220" i="31"/>
  <c r="Z219" i="31"/>
  <c r="Y219" i="31"/>
  <c r="X219" i="31"/>
  <c r="Z218" i="31"/>
  <c r="Y218" i="31"/>
  <c r="X218" i="31"/>
  <c r="Z217" i="31"/>
  <c r="Y217" i="31"/>
  <c r="X217" i="31"/>
  <c r="Z216" i="31"/>
  <c r="Y216" i="31"/>
  <c r="X216" i="31"/>
  <c r="Z215" i="31"/>
  <c r="Y215" i="31"/>
  <c r="X215" i="31"/>
  <c r="Z214" i="31"/>
  <c r="Y214" i="31"/>
  <c r="X214" i="31"/>
  <c r="Z213" i="31"/>
  <c r="Y213" i="31"/>
  <c r="X213" i="31"/>
  <c r="Z212" i="31"/>
  <c r="Y212" i="31"/>
  <c r="X212" i="31"/>
  <c r="Z211" i="31"/>
  <c r="Y211" i="31"/>
  <c r="X211" i="31"/>
  <c r="Z207" i="31"/>
  <c r="Y207" i="31"/>
  <c r="X207" i="31"/>
  <c r="Z206" i="31"/>
  <c r="Y206" i="31"/>
  <c r="X206" i="31"/>
  <c r="Z205" i="31"/>
  <c r="Y205" i="31"/>
  <c r="X205" i="31"/>
  <c r="Z204" i="31"/>
  <c r="Y204" i="31"/>
  <c r="X204" i="31"/>
  <c r="Z203" i="31"/>
  <c r="Y203" i="31"/>
  <c r="X203" i="31"/>
  <c r="Z202" i="31"/>
  <c r="Y202" i="31"/>
  <c r="X202" i="31"/>
  <c r="Z201" i="31"/>
  <c r="Y201" i="31"/>
  <c r="X201" i="31"/>
  <c r="Z200" i="31"/>
  <c r="Y200" i="31"/>
  <c r="X200" i="31"/>
  <c r="Z199" i="31"/>
  <c r="Y199" i="31"/>
  <c r="X199" i="31"/>
  <c r="Z198" i="31"/>
  <c r="Y198" i="31"/>
  <c r="X198" i="31"/>
  <c r="Z197" i="31"/>
  <c r="Y197" i="31"/>
  <c r="X197" i="31"/>
  <c r="Z196" i="31"/>
  <c r="Y196" i="31"/>
  <c r="X196" i="31"/>
  <c r="Z195" i="31"/>
  <c r="Y195" i="31"/>
  <c r="X195" i="31"/>
  <c r="Z194" i="31"/>
  <c r="Y194" i="31"/>
  <c r="X194" i="31"/>
  <c r="Z193" i="31"/>
  <c r="Y193" i="31"/>
  <c r="X193" i="31"/>
  <c r="Z192" i="31"/>
  <c r="Y192" i="31"/>
  <c r="X192" i="31"/>
  <c r="Z191" i="31"/>
  <c r="Y191" i="31"/>
  <c r="X191" i="31"/>
  <c r="Z190" i="31"/>
  <c r="Y190" i="31"/>
  <c r="X190" i="31"/>
  <c r="Z189" i="31"/>
  <c r="Y189" i="31"/>
  <c r="X189" i="31"/>
  <c r="Z188" i="31"/>
  <c r="Y188" i="31"/>
  <c r="X188" i="31"/>
  <c r="Z187" i="31"/>
  <c r="Y187" i="31"/>
  <c r="X187" i="31"/>
  <c r="Z186" i="31"/>
  <c r="Y186" i="31"/>
  <c r="X186" i="31"/>
  <c r="Z185" i="31"/>
  <c r="Y185" i="31"/>
  <c r="X185" i="31"/>
  <c r="Z184" i="31"/>
  <c r="Y184" i="31"/>
  <c r="X184" i="31"/>
  <c r="Z183" i="31"/>
  <c r="Y183" i="31"/>
  <c r="X183" i="31"/>
  <c r="Z182" i="31"/>
  <c r="Y182" i="31"/>
  <c r="X182" i="31"/>
  <c r="Z181" i="31"/>
  <c r="Y181" i="31"/>
  <c r="X181" i="31"/>
  <c r="Z180" i="31"/>
  <c r="Y180" i="31"/>
  <c r="X180" i="31"/>
  <c r="Z179" i="31"/>
  <c r="Y179" i="31"/>
  <c r="X179" i="31"/>
  <c r="Z178" i="31"/>
  <c r="Y178" i="31"/>
  <c r="X178" i="31"/>
  <c r="Z177" i="31"/>
  <c r="Y177" i="31"/>
  <c r="X177" i="31"/>
  <c r="Z176" i="31"/>
  <c r="Y176" i="31"/>
  <c r="X176" i="31"/>
  <c r="Z175" i="31"/>
  <c r="Y175" i="31"/>
  <c r="X175" i="31"/>
  <c r="Z174" i="31"/>
  <c r="Y174" i="31"/>
  <c r="X174" i="31"/>
  <c r="Z173" i="31"/>
  <c r="Y173" i="31"/>
  <c r="X173" i="31"/>
  <c r="Z172" i="31"/>
  <c r="Y172" i="31"/>
  <c r="X172" i="31"/>
  <c r="Z171" i="31"/>
  <c r="Y171" i="31"/>
  <c r="X171" i="31"/>
  <c r="Z169" i="31"/>
  <c r="Y169" i="31"/>
  <c r="X169" i="31"/>
  <c r="Z168" i="31"/>
  <c r="Y168" i="31"/>
  <c r="X168" i="31"/>
  <c r="Z167" i="31"/>
  <c r="Y167" i="31"/>
  <c r="X167" i="31"/>
  <c r="Z166" i="31"/>
  <c r="Y166" i="31"/>
  <c r="X166" i="31"/>
  <c r="Z165" i="31"/>
  <c r="Y165" i="31"/>
  <c r="X165" i="31"/>
  <c r="Z164" i="31"/>
  <c r="Y164" i="31"/>
  <c r="X164" i="31"/>
  <c r="T227" i="31"/>
  <c r="T226" i="31"/>
  <c r="T225" i="31"/>
  <c r="T224" i="31"/>
  <c r="T223" i="31"/>
  <c r="T222" i="31"/>
  <c r="T221" i="31"/>
  <c r="T220" i="31"/>
  <c r="T219" i="31"/>
  <c r="T218" i="31"/>
  <c r="T217" i="31"/>
  <c r="T216" i="31"/>
  <c r="T215" i="31"/>
  <c r="T214" i="31"/>
  <c r="T213" i="31"/>
  <c r="T212" i="31"/>
  <c r="T211" i="31"/>
  <c r="T207" i="31"/>
  <c r="T206" i="31"/>
  <c r="T205" i="31"/>
  <c r="T204" i="31"/>
  <c r="T203" i="31"/>
  <c r="T202" i="31"/>
  <c r="T201" i="31"/>
  <c r="T200" i="31"/>
  <c r="T199" i="31"/>
  <c r="T198" i="31"/>
  <c r="T197" i="31"/>
  <c r="T196" i="31"/>
  <c r="T195" i="31"/>
  <c r="T194" i="31"/>
  <c r="T193" i="31"/>
  <c r="T192" i="31"/>
  <c r="T191" i="31"/>
  <c r="T190" i="31"/>
  <c r="T189" i="31"/>
  <c r="T188" i="31"/>
  <c r="T187" i="31"/>
  <c r="T186" i="31"/>
  <c r="T185" i="31"/>
  <c r="T184" i="31"/>
  <c r="T183" i="31"/>
  <c r="T182" i="31"/>
  <c r="T181" i="31"/>
  <c r="T180" i="31"/>
  <c r="T179" i="31"/>
  <c r="T178" i="31"/>
  <c r="T177" i="31"/>
  <c r="T176" i="31"/>
  <c r="T175" i="31"/>
  <c r="T174" i="31"/>
  <c r="T173" i="31"/>
  <c r="T172" i="31"/>
  <c r="T171" i="31"/>
  <c r="T169" i="31"/>
  <c r="T168" i="31"/>
  <c r="T167" i="31"/>
  <c r="T166" i="31"/>
  <c r="T165" i="31"/>
  <c r="T164" i="31"/>
  <c r="Z207" i="28"/>
  <c r="Y207" i="28"/>
  <c r="X207" i="28"/>
  <c r="Z206" i="28"/>
  <c r="Y206" i="28"/>
  <c r="X206" i="28"/>
  <c r="Z205" i="28"/>
  <c r="Y205" i="28"/>
  <c r="X205" i="28"/>
  <c r="Z204" i="28"/>
  <c r="Y204" i="28"/>
  <c r="X204" i="28"/>
  <c r="Z203" i="28"/>
  <c r="Y203" i="28"/>
  <c r="X203" i="28"/>
  <c r="Z202" i="28"/>
  <c r="Y202" i="28"/>
  <c r="X202" i="28"/>
  <c r="Z201" i="28"/>
  <c r="Y201" i="28"/>
  <c r="X201" i="28"/>
  <c r="Z200" i="28"/>
  <c r="Y200" i="28"/>
  <c r="X200" i="28"/>
  <c r="Z199" i="28"/>
  <c r="Y199" i="28"/>
  <c r="X199" i="28"/>
  <c r="Z198" i="28"/>
  <c r="Y198" i="28"/>
  <c r="X198" i="28"/>
  <c r="Z197" i="28"/>
  <c r="Y197" i="28"/>
  <c r="X197" i="28"/>
  <c r="Z196" i="28"/>
  <c r="Y196" i="28"/>
  <c r="X196" i="28"/>
  <c r="Z195" i="28"/>
  <c r="Y195" i="28"/>
  <c r="X195" i="28"/>
  <c r="Z194" i="28"/>
  <c r="Y194" i="28"/>
  <c r="X194" i="28"/>
  <c r="Z193" i="28"/>
  <c r="Y193" i="28"/>
  <c r="X193" i="28"/>
  <c r="Z192" i="28"/>
  <c r="Y192" i="28"/>
  <c r="X192" i="28"/>
  <c r="Z191" i="28"/>
  <c r="Y191" i="28"/>
  <c r="X191" i="28"/>
  <c r="Z190" i="28"/>
  <c r="Y190" i="28"/>
  <c r="X190" i="28"/>
  <c r="Z189" i="28"/>
  <c r="Y189" i="28"/>
  <c r="X189" i="28"/>
  <c r="Z188" i="28"/>
  <c r="Y188" i="28"/>
  <c r="X188" i="28"/>
  <c r="Z187" i="28"/>
  <c r="Y187" i="28"/>
  <c r="X187" i="28"/>
  <c r="Z186" i="28"/>
  <c r="Y186" i="28"/>
  <c r="X186" i="28"/>
  <c r="Z185" i="28"/>
  <c r="Y185" i="28"/>
  <c r="X185" i="28"/>
  <c r="Z184" i="28"/>
  <c r="Y184" i="28"/>
  <c r="X184" i="28"/>
  <c r="Z183" i="28"/>
  <c r="Y183" i="28"/>
  <c r="X183" i="28"/>
  <c r="Z182" i="28"/>
  <c r="Y182" i="28"/>
  <c r="X182" i="28"/>
  <c r="Z181" i="28"/>
  <c r="Y181" i="28"/>
  <c r="X181" i="28"/>
  <c r="Z180" i="28"/>
  <c r="Y180" i="28"/>
  <c r="X180" i="28"/>
  <c r="Z179" i="28"/>
  <c r="Y179" i="28"/>
  <c r="X179" i="28"/>
  <c r="Z178" i="28"/>
  <c r="Y178" i="28"/>
  <c r="X178" i="28"/>
  <c r="Z177" i="28"/>
  <c r="Y177" i="28"/>
  <c r="X177" i="28"/>
  <c r="Z176" i="28"/>
  <c r="Y176" i="28"/>
  <c r="X176" i="28"/>
  <c r="Z175" i="28"/>
  <c r="Y175" i="28"/>
  <c r="X175" i="28"/>
  <c r="Z174" i="28"/>
  <c r="Y174" i="28"/>
  <c r="X174" i="28"/>
  <c r="Z173" i="28"/>
  <c r="Y173" i="28"/>
  <c r="X173" i="28"/>
  <c r="Z172" i="28"/>
  <c r="Y172" i="28"/>
  <c r="X172" i="28"/>
  <c r="Z171" i="28"/>
  <c r="Y171" i="28"/>
  <c r="X171" i="28"/>
  <c r="Z169" i="28"/>
  <c r="Y169" i="28"/>
  <c r="X169" i="28"/>
  <c r="Z168" i="28"/>
  <c r="Y168" i="28"/>
  <c r="X168" i="28"/>
  <c r="Z167" i="28"/>
  <c r="Y167" i="28"/>
  <c r="X167" i="28"/>
  <c r="Z166" i="28"/>
  <c r="Y166" i="28"/>
  <c r="X166" i="28"/>
  <c r="Z165" i="28"/>
  <c r="Y165" i="28"/>
  <c r="X165" i="28"/>
  <c r="Z164" i="28"/>
  <c r="Y164" i="28"/>
  <c r="X164" i="28"/>
  <c r="T207" i="28"/>
  <c r="T206" i="28"/>
  <c r="T205" i="28"/>
  <c r="T204" i="28"/>
  <c r="T203" i="28"/>
  <c r="T202" i="28"/>
  <c r="T201" i="28"/>
  <c r="T200" i="28"/>
  <c r="T199" i="28"/>
  <c r="T198" i="28"/>
  <c r="T197" i="28"/>
  <c r="T196" i="28"/>
  <c r="T195" i="28"/>
  <c r="T194" i="28"/>
  <c r="T193" i="28"/>
  <c r="T192" i="28"/>
  <c r="T191" i="28"/>
  <c r="T190" i="28"/>
  <c r="T189" i="28"/>
  <c r="T188" i="28"/>
  <c r="T187" i="28"/>
  <c r="T186" i="28"/>
  <c r="T185" i="28"/>
  <c r="T184" i="28"/>
  <c r="T183" i="28"/>
  <c r="T182" i="28"/>
  <c r="T181" i="28"/>
  <c r="T180" i="28"/>
  <c r="T179" i="28"/>
  <c r="T178" i="28"/>
  <c r="T177" i="28"/>
  <c r="T176" i="28"/>
  <c r="T175" i="28"/>
  <c r="T174" i="28"/>
  <c r="T173" i="28"/>
  <c r="T172" i="28"/>
  <c r="T171" i="28"/>
  <c r="T169" i="28"/>
  <c r="T168" i="28"/>
  <c r="T167" i="28"/>
  <c r="T166" i="28"/>
  <c r="T165" i="28"/>
  <c r="T164" i="28"/>
  <c r="I43" i="23"/>
  <c r="H43" i="23"/>
  <c r="G43" i="23"/>
  <c r="F43" i="23"/>
  <c r="I42" i="23"/>
  <c r="H42" i="23"/>
  <c r="G42" i="23"/>
  <c r="F42" i="23"/>
  <c r="I41" i="23"/>
  <c r="H41" i="23"/>
  <c r="G41" i="23"/>
  <c r="F41" i="23"/>
  <c r="I40" i="23"/>
  <c r="H40" i="23"/>
  <c r="G40" i="23"/>
  <c r="F40" i="23"/>
  <c r="I39" i="23"/>
  <c r="H39" i="23"/>
  <c r="G39" i="23"/>
  <c r="F39" i="23"/>
  <c r="I38" i="23"/>
  <c r="H38" i="23"/>
  <c r="G38" i="23"/>
  <c r="F38" i="23"/>
  <c r="I37" i="23"/>
  <c r="H37" i="23"/>
  <c r="G37" i="23"/>
  <c r="F37" i="23"/>
  <c r="I36" i="23"/>
  <c r="H36" i="23"/>
  <c r="G36" i="23"/>
  <c r="F36" i="23"/>
  <c r="I35" i="23"/>
  <c r="H35" i="23"/>
  <c r="G35" i="23"/>
  <c r="F35" i="23"/>
  <c r="I34" i="23"/>
  <c r="H34" i="23"/>
  <c r="G34" i="23"/>
  <c r="F34" i="23"/>
  <c r="B43" i="23"/>
  <c r="B42" i="23"/>
  <c r="B41" i="23"/>
  <c r="B40" i="23"/>
  <c r="B39" i="23"/>
  <c r="B38" i="23"/>
  <c r="B37" i="23"/>
  <c r="B36" i="23"/>
  <c r="B35" i="23"/>
  <c r="B34" i="23"/>
  <c r="V33" i="28"/>
  <c r="V32" i="28"/>
  <c r="V31" i="28"/>
  <c r="V30" i="28"/>
  <c r="V29" i="28"/>
  <c r="V28" i="28"/>
  <c r="V27" i="28"/>
  <c r="V26" i="28"/>
  <c r="V25" i="28"/>
  <c r="V24" i="28"/>
  <c r="BJ107" i="30" l="1"/>
  <c r="BD106" i="30"/>
  <c r="BG106" i="30"/>
  <c r="BL107" i="30"/>
  <c r="BJ106" i="30"/>
  <c r="BO107" i="30"/>
  <c r="BL106" i="30"/>
  <c r="BO106" i="30"/>
  <c r="BB107" i="30"/>
  <c r="AZ106" i="30"/>
  <c r="BD107" i="30"/>
  <c r="BB106" i="30"/>
  <c r="BG107" i="30"/>
  <c r="AG43" i="18"/>
  <c r="AG51" i="18"/>
  <c r="AG37" i="18"/>
  <c r="AG45" i="18"/>
  <c r="AG38" i="18"/>
  <c r="BE106" i="30"/>
  <c r="BM106" i="30"/>
  <c r="BE107" i="30"/>
  <c r="BM107" i="30"/>
  <c r="BF106" i="30"/>
  <c r="BN106" i="30"/>
  <c r="BF107" i="30"/>
  <c r="BN107" i="30"/>
  <c r="BH106" i="30"/>
  <c r="AZ107" i="30"/>
  <c r="BH107" i="30"/>
  <c r="BP107" i="30"/>
  <c r="BA106" i="30"/>
  <c r="BI106" i="30"/>
  <c r="BA107" i="30"/>
  <c r="BI107" i="30"/>
  <c r="BC106" i="30"/>
  <c r="BK106" i="30"/>
  <c r="BC107" i="30"/>
  <c r="BK107" i="30"/>
  <c r="AG35" i="31" l="1"/>
  <c r="AI35" i="31" s="1"/>
  <c r="AG34" i="31"/>
  <c r="AH34" i="31" s="1"/>
  <c r="AH33" i="31"/>
  <c r="AI33" i="31" s="1"/>
  <c r="AG33" i="31"/>
  <c r="AI34" i="31" l="1"/>
  <c r="AI36" i="31" s="1"/>
  <c r="C29" i="35"/>
  <c r="B11" i="35"/>
  <c r="F26" i="35"/>
  <c r="F25" i="35"/>
  <c r="F22" i="35"/>
  <c r="F21" i="35"/>
  <c r="F20" i="35"/>
  <c r="F19" i="35"/>
  <c r="R35" i="7" l="1"/>
  <c r="S35" i="7"/>
  <c r="AA50" i="18"/>
  <c r="V35" i="7" l="1"/>
  <c r="T35" i="7"/>
  <c r="U35" i="7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W17" i="18"/>
  <c r="X17" i="18"/>
  <c r="Y17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B15" i="18"/>
  <c r="B167" i="31" l="1"/>
  <c r="V187" i="29"/>
  <c r="U187" i="29"/>
  <c r="T187" i="29"/>
  <c r="S187" i="29"/>
  <c r="R187" i="29"/>
  <c r="Q187" i="29"/>
  <c r="P187" i="29"/>
  <c r="O187" i="29"/>
  <c r="N187" i="29"/>
  <c r="M187" i="29"/>
  <c r="L187" i="29"/>
  <c r="K187" i="29"/>
  <c r="J187" i="29"/>
  <c r="I187" i="29"/>
  <c r="H187" i="29"/>
  <c r="G187" i="29"/>
  <c r="F187" i="29"/>
  <c r="E187" i="29"/>
  <c r="D187" i="29"/>
  <c r="C187" i="29"/>
  <c r="X187" i="29"/>
  <c r="Z206" i="29"/>
  <c r="Y206" i="29"/>
  <c r="X206" i="29"/>
  <c r="W208" i="29"/>
  <c r="W206" i="29"/>
  <c r="V208" i="29"/>
  <c r="V206" i="29"/>
  <c r="U208" i="29"/>
  <c r="U206" i="29"/>
  <c r="T208" i="29"/>
  <c r="T206" i="29"/>
  <c r="S208" i="29"/>
  <c r="S206" i="29"/>
  <c r="R208" i="29"/>
  <c r="R206" i="29"/>
  <c r="Q208" i="29"/>
  <c r="Q206" i="29"/>
  <c r="P208" i="29"/>
  <c r="P206" i="29"/>
  <c r="O208" i="29"/>
  <c r="O206" i="29"/>
  <c r="N208" i="29"/>
  <c r="N206" i="29"/>
  <c r="M208" i="29"/>
  <c r="M206" i="29"/>
  <c r="L208" i="29"/>
  <c r="L206" i="29"/>
  <c r="K208" i="29"/>
  <c r="K206" i="29"/>
  <c r="J208" i="29"/>
  <c r="J206" i="29"/>
  <c r="I208" i="29"/>
  <c r="I206" i="29"/>
  <c r="H208" i="29"/>
  <c r="H206" i="29"/>
  <c r="G208" i="29"/>
  <c r="G206" i="29"/>
  <c r="F208" i="29"/>
  <c r="F206" i="29"/>
  <c r="E208" i="29"/>
  <c r="E206" i="29"/>
  <c r="D208" i="29"/>
  <c r="D206" i="29"/>
  <c r="C208" i="29"/>
  <c r="C206" i="29"/>
  <c r="X208" i="29"/>
  <c r="Y208" i="29"/>
  <c r="W187" i="29"/>
  <c r="Y187" i="29"/>
  <c r="Z208" i="29"/>
  <c r="Z187" i="29"/>
  <c r="W188" i="29"/>
  <c r="W186" i="29"/>
  <c r="W185" i="29"/>
  <c r="V188" i="29"/>
  <c r="V186" i="29"/>
  <c r="V185" i="29"/>
  <c r="U188" i="29"/>
  <c r="U186" i="29"/>
  <c r="U185" i="29"/>
  <c r="T188" i="29"/>
  <c r="T186" i="29"/>
  <c r="T185" i="29"/>
  <c r="S188" i="29"/>
  <c r="S186" i="29"/>
  <c r="S185" i="29"/>
  <c r="R188" i="29"/>
  <c r="R186" i="29"/>
  <c r="R185" i="29"/>
  <c r="Q188" i="29"/>
  <c r="Q186" i="29"/>
  <c r="Q185" i="29"/>
  <c r="P188" i="29"/>
  <c r="P186" i="29"/>
  <c r="P185" i="29"/>
  <c r="O188" i="29"/>
  <c r="O186" i="29"/>
  <c r="O185" i="29"/>
  <c r="N188" i="29"/>
  <c r="N186" i="29"/>
  <c r="N185" i="29"/>
  <c r="M188" i="29"/>
  <c r="M186" i="29"/>
  <c r="M185" i="29"/>
  <c r="L188" i="29"/>
  <c r="L186" i="29"/>
  <c r="L185" i="29"/>
  <c r="K188" i="29"/>
  <c r="K186" i="29"/>
  <c r="K185" i="29"/>
  <c r="J188" i="29"/>
  <c r="J186" i="29"/>
  <c r="J185" i="29"/>
  <c r="I188" i="29"/>
  <c r="I186" i="29"/>
  <c r="I185" i="29"/>
  <c r="H188" i="29"/>
  <c r="H186" i="29"/>
  <c r="H185" i="29"/>
  <c r="G188" i="29"/>
  <c r="G186" i="29"/>
  <c r="G185" i="29"/>
  <c r="F188" i="29"/>
  <c r="F186" i="29"/>
  <c r="F185" i="29"/>
  <c r="E188" i="29"/>
  <c r="E186" i="29"/>
  <c r="E185" i="29"/>
  <c r="D188" i="29"/>
  <c r="D186" i="29"/>
  <c r="D185" i="29"/>
  <c r="C188" i="29"/>
  <c r="C186" i="29"/>
  <c r="C185" i="29"/>
  <c r="X188" i="29"/>
  <c r="X186" i="29"/>
  <c r="X185" i="29"/>
  <c r="Y188" i="29"/>
  <c r="Y186" i="29"/>
  <c r="Y185" i="29"/>
  <c r="Z209" i="29"/>
  <c r="Y209" i="29"/>
  <c r="X209" i="29"/>
  <c r="W209" i="29"/>
  <c r="V209" i="29"/>
  <c r="U209" i="29"/>
  <c r="T209" i="29"/>
  <c r="S209" i="29"/>
  <c r="R209" i="29"/>
  <c r="Q209" i="29"/>
  <c r="P209" i="29"/>
  <c r="O209" i="29"/>
  <c r="N209" i="29"/>
  <c r="M209" i="29"/>
  <c r="L209" i="29"/>
  <c r="K209" i="29"/>
  <c r="J209" i="29"/>
  <c r="I209" i="29"/>
  <c r="H209" i="29"/>
  <c r="G209" i="29"/>
  <c r="F209" i="29"/>
  <c r="E209" i="29"/>
  <c r="D209" i="29"/>
  <c r="C209" i="29"/>
  <c r="Z207" i="29"/>
  <c r="Y207" i="29"/>
  <c r="X207" i="29"/>
  <c r="W207" i="29"/>
  <c r="V207" i="29"/>
  <c r="U207" i="29"/>
  <c r="T207" i="29"/>
  <c r="S207" i="29"/>
  <c r="R207" i="29"/>
  <c r="Q207" i="29"/>
  <c r="P207" i="29"/>
  <c r="O207" i="29"/>
  <c r="N207" i="29"/>
  <c r="M207" i="29"/>
  <c r="L207" i="29"/>
  <c r="K207" i="29"/>
  <c r="J207" i="29"/>
  <c r="I207" i="29"/>
  <c r="H207" i="29"/>
  <c r="G207" i="29"/>
  <c r="F207" i="29"/>
  <c r="E207" i="29"/>
  <c r="D207" i="29"/>
  <c r="C207" i="29"/>
  <c r="Z188" i="29"/>
  <c r="Z186" i="29"/>
  <c r="Z185" i="29"/>
  <c r="Z205" i="29"/>
  <c r="Y205" i="29"/>
  <c r="X205" i="29"/>
  <c r="W205" i="29"/>
  <c r="V205" i="29"/>
  <c r="U205" i="29"/>
  <c r="T205" i="29"/>
  <c r="S205" i="29"/>
  <c r="R205" i="29"/>
  <c r="Q205" i="29"/>
  <c r="P205" i="29"/>
  <c r="O205" i="29"/>
  <c r="N205" i="29"/>
  <c r="M205" i="29"/>
  <c r="L205" i="29"/>
  <c r="K205" i="29"/>
  <c r="J205" i="29"/>
  <c r="I205" i="29"/>
  <c r="H205" i="29"/>
  <c r="G205" i="29"/>
  <c r="F205" i="29"/>
  <c r="E205" i="29"/>
  <c r="D205" i="29"/>
  <c r="C205" i="29"/>
  <c r="Z204" i="29"/>
  <c r="Y204" i="29"/>
  <c r="X204" i="29"/>
  <c r="W204" i="29"/>
  <c r="V204" i="29"/>
  <c r="U204" i="29"/>
  <c r="T204" i="29"/>
  <c r="S204" i="29"/>
  <c r="R204" i="29"/>
  <c r="Q204" i="29"/>
  <c r="P204" i="29"/>
  <c r="O204" i="29"/>
  <c r="N204" i="29"/>
  <c r="M204" i="29"/>
  <c r="L204" i="29"/>
  <c r="K204" i="29"/>
  <c r="J204" i="29"/>
  <c r="I204" i="29"/>
  <c r="H204" i="29"/>
  <c r="G204" i="29"/>
  <c r="F204" i="29"/>
  <c r="E204" i="29"/>
  <c r="D204" i="29"/>
  <c r="C204" i="29"/>
  <c r="Z202" i="29"/>
  <c r="Y202" i="29"/>
  <c r="X202" i="29"/>
  <c r="W202" i="29"/>
  <c r="V202" i="29"/>
  <c r="U202" i="29"/>
  <c r="T202" i="29"/>
  <c r="S202" i="29"/>
  <c r="R202" i="29"/>
  <c r="Q202" i="29"/>
  <c r="P202" i="29"/>
  <c r="O202" i="29"/>
  <c r="N202" i="29"/>
  <c r="M202" i="29"/>
  <c r="L202" i="29"/>
  <c r="K202" i="29"/>
  <c r="J202" i="29"/>
  <c r="I202" i="29"/>
  <c r="H202" i="29"/>
  <c r="G202" i="29"/>
  <c r="F202" i="29"/>
  <c r="E202" i="29"/>
  <c r="D202" i="29"/>
  <c r="C202" i="29"/>
  <c r="Z201" i="29"/>
  <c r="Z203" i="29" s="1"/>
  <c r="Y201" i="29"/>
  <c r="Y203" i="29" s="1"/>
  <c r="X201" i="29"/>
  <c r="W201" i="29"/>
  <c r="W203" i="29" s="1"/>
  <c r="V201" i="29"/>
  <c r="V203" i="29" s="1"/>
  <c r="U201" i="29"/>
  <c r="U203" i="29" s="1"/>
  <c r="T201" i="29"/>
  <c r="T203" i="29" s="1"/>
  <c r="S201" i="29"/>
  <c r="R201" i="29"/>
  <c r="R203" i="29" s="1"/>
  <c r="Q201" i="29"/>
  <c r="Q203" i="29" s="1"/>
  <c r="P201" i="29"/>
  <c r="P203" i="29" s="1"/>
  <c r="O201" i="29"/>
  <c r="O203" i="29" s="1"/>
  <c r="N201" i="29"/>
  <c r="N203" i="29" s="1"/>
  <c r="M201" i="29"/>
  <c r="M203" i="29" s="1"/>
  <c r="L201" i="29"/>
  <c r="K201" i="29"/>
  <c r="K203" i="29" s="1"/>
  <c r="J201" i="29"/>
  <c r="J203" i="29" s="1"/>
  <c r="I201" i="29"/>
  <c r="I203" i="29" s="1"/>
  <c r="H201" i="29"/>
  <c r="H203" i="29" s="1"/>
  <c r="G201" i="29"/>
  <c r="F201" i="29"/>
  <c r="E201" i="29"/>
  <c r="E203" i="29" s="1"/>
  <c r="D201" i="29"/>
  <c r="D203" i="29" s="1"/>
  <c r="C201" i="29"/>
  <c r="C203" i="29" s="1"/>
  <c r="Z184" i="29"/>
  <c r="Y184" i="29"/>
  <c r="X184" i="29"/>
  <c r="W184" i="29"/>
  <c r="V184" i="29"/>
  <c r="U184" i="29"/>
  <c r="T184" i="29"/>
  <c r="S184" i="29"/>
  <c r="R184" i="29"/>
  <c r="Q184" i="29"/>
  <c r="P184" i="29"/>
  <c r="O184" i="29"/>
  <c r="N184" i="29"/>
  <c r="M184" i="29"/>
  <c r="L184" i="29"/>
  <c r="K184" i="29"/>
  <c r="J184" i="29"/>
  <c r="I184" i="29"/>
  <c r="H184" i="29"/>
  <c r="G184" i="29"/>
  <c r="F184" i="29"/>
  <c r="E184" i="29"/>
  <c r="D184" i="29"/>
  <c r="C184" i="29"/>
  <c r="Z183" i="29"/>
  <c r="Y183" i="29"/>
  <c r="X183" i="29"/>
  <c r="W183" i="29"/>
  <c r="V183" i="29"/>
  <c r="U183" i="29"/>
  <c r="T183" i="29"/>
  <c r="S183" i="29"/>
  <c r="R183" i="29"/>
  <c r="Q183" i="29"/>
  <c r="P183" i="29"/>
  <c r="O183" i="29"/>
  <c r="N183" i="29"/>
  <c r="M183" i="29"/>
  <c r="L183" i="29"/>
  <c r="K183" i="29"/>
  <c r="J183" i="29"/>
  <c r="I183" i="29"/>
  <c r="H183" i="29"/>
  <c r="G183" i="29"/>
  <c r="F183" i="29"/>
  <c r="E183" i="29"/>
  <c r="D183" i="29"/>
  <c r="C183" i="29"/>
  <c r="Z181" i="29"/>
  <c r="Y181" i="29"/>
  <c r="X181" i="29"/>
  <c r="W181" i="29"/>
  <c r="W196" i="29" s="1"/>
  <c r="AA76" i="30" s="1"/>
  <c r="V181" i="29"/>
  <c r="U181" i="29"/>
  <c r="T181" i="29"/>
  <c r="S181" i="29"/>
  <c r="S196" i="29" s="1"/>
  <c r="W76" i="30" s="1"/>
  <c r="R181" i="29"/>
  <c r="Q181" i="29"/>
  <c r="P181" i="29"/>
  <c r="P196" i="29" s="1"/>
  <c r="T76" i="30" s="1"/>
  <c r="O181" i="29"/>
  <c r="O196" i="29" s="1"/>
  <c r="S76" i="30" s="1"/>
  <c r="N181" i="29"/>
  <c r="M181" i="29"/>
  <c r="L181" i="29"/>
  <c r="L196" i="29" s="1"/>
  <c r="P76" i="30" s="1"/>
  <c r="K181" i="29"/>
  <c r="J181" i="29"/>
  <c r="I181" i="29"/>
  <c r="H181" i="29"/>
  <c r="H196" i="29" s="1"/>
  <c r="L76" i="30" s="1"/>
  <c r="G181" i="29"/>
  <c r="G196" i="29" s="1"/>
  <c r="K76" i="30" s="1"/>
  <c r="F181" i="29"/>
  <c r="E181" i="29"/>
  <c r="D181" i="29"/>
  <c r="C181" i="29"/>
  <c r="Z180" i="29"/>
  <c r="Y180" i="29"/>
  <c r="Y195" i="29" s="1"/>
  <c r="AC75" i="30" s="1"/>
  <c r="X180" i="29"/>
  <c r="X195" i="29" s="1"/>
  <c r="AB75" i="30" s="1"/>
  <c r="W180" i="29"/>
  <c r="W195" i="29" s="1"/>
  <c r="AA75" i="30" s="1"/>
  <c r="V180" i="29"/>
  <c r="U180" i="29"/>
  <c r="T180" i="29"/>
  <c r="S180" i="29"/>
  <c r="S195" i="29" s="1"/>
  <c r="W75" i="30" s="1"/>
  <c r="R180" i="29"/>
  <c r="Q180" i="29"/>
  <c r="P180" i="29"/>
  <c r="O180" i="29"/>
  <c r="O195" i="29" s="1"/>
  <c r="S75" i="30" s="1"/>
  <c r="N180" i="29"/>
  <c r="M180" i="29"/>
  <c r="L180" i="29"/>
  <c r="K180" i="29"/>
  <c r="K195" i="29" s="1"/>
  <c r="O75" i="30" s="1"/>
  <c r="J180" i="29"/>
  <c r="J195" i="29" s="1"/>
  <c r="N75" i="30" s="1"/>
  <c r="I180" i="29"/>
  <c r="I195" i="29" s="1"/>
  <c r="M75" i="30" s="1"/>
  <c r="H180" i="29"/>
  <c r="G180" i="29"/>
  <c r="F180" i="29"/>
  <c r="E180" i="29"/>
  <c r="D180" i="29"/>
  <c r="C180" i="29"/>
  <c r="K196" i="29"/>
  <c r="O76" i="30" s="1"/>
  <c r="D196" i="29"/>
  <c r="H76" i="30" s="1"/>
  <c r="C196" i="29"/>
  <c r="G76" i="30" s="1"/>
  <c r="G203" i="29" l="1"/>
  <c r="S203" i="29"/>
  <c r="R195" i="29"/>
  <c r="V75" i="30" s="1"/>
  <c r="G195" i="29"/>
  <c r="K75" i="30" s="1"/>
  <c r="C195" i="29"/>
  <c r="G75" i="30" s="1"/>
  <c r="F195" i="29"/>
  <c r="J75" i="30" s="1"/>
  <c r="Q195" i="29"/>
  <c r="U75" i="30" s="1"/>
  <c r="N195" i="29"/>
  <c r="R75" i="30" s="1"/>
  <c r="V195" i="29"/>
  <c r="Z75" i="30" s="1"/>
  <c r="T196" i="29"/>
  <c r="X76" i="30" s="1"/>
  <c r="L203" i="29"/>
  <c r="E195" i="29"/>
  <c r="I75" i="30" s="1"/>
  <c r="M195" i="29"/>
  <c r="Q75" i="30" s="1"/>
  <c r="U195" i="29"/>
  <c r="Y75" i="30" s="1"/>
  <c r="Y196" i="29"/>
  <c r="AC76" i="30" s="1"/>
  <c r="D195" i="29"/>
  <c r="H75" i="30" s="1"/>
  <c r="F196" i="29"/>
  <c r="J76" i="30" s="1"/>
  <c r="I196" i="29"/>
  <c r="M76" i="30" s="1"/>
  <c r="L195" i="29"/>
  <c r="P75" i="30" s="1"/>
  <c r="N196" i="29"/>
  <c r="R76" i="30" s="1"/>
  <c r="Q196" i="29"/>
  <c r="U76" i="30" s="1"/>
  <c r="T195" i="29"/>
  <c r="X75" i="30" s="1"/>
  <c r="V196" i="29"/>
  <c r="Z76" i="30" s="1"/>
  <c r="Z195" i="29"/>
  <c r="AD75" i="30" s="1"/>
  <c r="X196" i="29"/>
  <c r="AB76" i="30" s="1"/>
  <c r="E196" i="29"/>
  <c r="I76" i="30" s="1"/>
  <c r="H195" i="29"/>
  <c r="L75" i="30" s="1"/>
  <c r="J196" i="29"/>
  <c r="N76" i="30" s="1"/>
  <c r="M196" i="29"/>
  <c r="Q76" i="30" s="1"/>
  <c r="P195" i="29"/>
  <c r="T75" i="30" s="1"/>
  <c r="R196" i="29"/>
  <c r="V76" i="30" s="1"/>
  <c r="U196" i="29"/>
  <c r="Y76" i="30" s="1"/>
  <c r="Z196" i="29"/>
  <c r="AD76" i="30" s="1"/>
  <c r="X203" i="29"/>
  <c r="F203" i="29"/>
  <c r="J213" i="29"/>
  <c r="R213" i="29"/>
  <c r="Z213" i="29"/>
  <c r="G212" i="29"/>
  <c r="O212" i="29"/>
  <c r="W212" i="29"/>
  <c r="F213" i="29"/>
  <c r="N213" i="29"/>
  <c r="V213" i="29"/>
  <c r="C213" i="29"/>
  <c r="G213" i="29"/>
  <c r="K213" i="29"/>
  <c r="O213" i="29"/>
  <c r="S213" i="29"/>
  <c r="W213" i="29"/>
  <c r="E212" i="29"/>
  <c r="I212" i="29"/>
  <c r="M212" i="29"/>
  <c r="Q212" i="29"/>
  <c r="U212" i="29"/>
  <c r="C212" i="29"/>
  <c r="K212" i="29"/>
  <c r="S212" i="29"/>
  <c r="D213" i="29"/>
  <c r="H213" i="29"/>
  <c r="L213" i="29"/>
  <c r="P213" i="29"/>
  <c r="T213" i="29"/>
  <c r="X213" i="29"/>
  <c r="D212" i="29"/>
  <c r="F212" i="29"/>
  <c r="H212" i="29"/>
  <c r="J212" i="29"/>
  <c r="L212" i="29"/>
  <c r="L214" i="29" s="1"/>
  <c r="N212" i="29"/>
  <c r="P212" i="29"/>
  <c r="R212" i="29"/>
  <c r="T212" i="29"/>
  <c r="V212" i="29"/>
  <c r="X212" i="29"/>
  <c r="E213" i="29"/>
  <c r="I213" i="29"/>
  <c r="M213" i="29"/>
  <c r="Q213" i="29"/>
  <c r="U213" i="29"/>
  <c r="Y213" i="29"/>
  <c r="Z212" i="29"/>
  <c r="Y212" i="29"/>
  <c r="L82" i="28"/>
  <c r="L66" i="28"/>
  <c r="L79" i="28"/>
  <c r="L61" i="28"/>
  <c r="L76" i="28"/>
  <c r="L54" i="28"/>
  <c r="AJ5" i="29" l="1"/>
  <c r="Z214" i="29"/>
  <c r="W214" i="29"/>
  <c r="N214" i="29"/>
  <c r="F214" i="29"/>
  <c r="U214" i="29"/>
  <c r="G214" i="29"/>
  <c r="R214" i="29"/>
  <c r="Q214" i="29"/>
  <c r="J214" i="29"/>
  <c r="D214" i="29"/>
  <c r="O214" i="29"/>
  <c r="E214" i="29"/>
  <c r="V214" i="29"/>
  <c r="I214" i="29"/>
  <c r="X214" i="29"/>
  <c r="K214" i="29"/>
  <c r="C214" i="29"/>
  <c r="Y214" i="29"/>
  <c r="M214" i="29"/>
  <c r="P214" i="29"/>
  <c r="H214" i="29"/>
  <c r="T214" i="29"/>
  <c r="S214" i="29"/>
  <c r="P64" i="34"/>
  <c r="O64" i="34"/>
  <c r="N64" i="34"/>
  <c r="I64" i="34"/>
  <c r="H64" i="34"/>
  <c r="G64" i="34"/>
  <c r="T63" i="34"/>
  <c r="R63" i="34"/>
  <c r="Q63" i="34"/>
  <c r="M63" i="34"/>
  <c r="J63" i="34"/>
  <c r="K63" i="34" s="1"/>
  <c r="T62" i="34"/>
  <c r="R62" i="34"/>
  <c r="Q62" i="34"/>
  <c r="M62" i="34"/>
  <c r="J62" i="34"/>
  <c r="K62" i="34" s="1"/>
  <c r="L62" i="34" s="1"/>
  <c r="T61" i="34"/>
  <c r="R61" i="34"/>
  <c r="Q61" i="34"/>
  <c r="M61" i="34"/>
  <c r="J61" i="34"/>
  <c r="K61" i="34" s="1"/>
  <c r="T60" i="34"/>
  <c r="R60" i="34"/>
  <c r="Q60" i="34"/>
  <c r="M60" i="34"/>
  <c r="K60" i="34"/>
  <c r="L60" i="34" s="1"/>
  <c r="J60" i="34"/>
  <c r="T59" i="34"/>
  <c r="R59" i="34"/>
  <c r="Q59" i="34"/>
  <c r="M59" i="34"/>
  <c r="J59" i="34"/>
  <c r="K59" i="34" s="1"/>
  <c r="T58" i="34"/>
  <c r="R58" i="34"/>
  <c r="Q58" i="34"/>
  <c r="M58" i="34"/>
  <c r="K58" i="34"/>
  <c r="L58" i="34" s="1"/>
  <c r="J58" i="34"/>
  <c r="T57" i="34"/>
  <c r="R57" i="34"/>
  <c r="Q57" i="34"/>
  <c r="M57" i="34"/>
  <c r="J57" i="34"/>
  <c r="K57" i="34" s="1"/>
  <c r="T56" i="34"/>
  <c r="R56" i="34"/>
  <c r="Q56" i="34"/>
  <c r="M56" i="34"/>
  <c r="J56" i="34"/>
  <c r="K56" i="34" s="1"/>
  <c r="L56" i="34" s="1"/>
  <c r="T55" i="34"/>
  <c r="R55" i="34"/>
  <c r="Q55" i="34"/>
  <c r="M55" i="34"/>
  <c r="J55" i="34"/>
  <c r="K55" i="34" s="1"/>
  <c r="T54" i="34"/>
  <c r="R54" i="34"/>
  <c r="Q54" i="34"/>
  <c r="M54" i="34"/>
  <c r="K54" i="34"/>
  <c r="L54" i="34" s="1"/>
  <c r="J54" i="34"/>
  <c r="T53" i="34"/>
  <c r="R53" i="34"/>
  <c r="Q53" i="34"/>
  <c r="M53" i="34"/>
  <c r="J53" i="34"/>
  <c r="K53" i="34" s="1"/>
  <c r="L53" i="34" s="1"/>
  <c r="T52" i="34"/>
  <c r="R52" i="34"/>
  <c r="Q52" i="34"/>
  <c r="M52" i="34"/>
  <c r="K52" i="34"/>
  <c r="L52" i="34" s="1"/>
  <c r="J52" i="34"/>
  <c r="T51" i="34"/>
  <c r="R51" i="34"/>
  <c r="Q51" i="34"/>
  <c r="M51" i="34"/>
  <c r="J51" i="34"/>
  <c r="K51" i="34" s="1"/>
  <c r="T50" i="34"/>
  <c r="R50" i="34"/>
  <c r="Q50" i="34"/>
  <c r="M50" i="34"/>
  <c r="K50" i="34"/>
  <c r="L50" i="34" s="1"/>
  <c r="J50" i="34"/>
  <c r="R49" i="34"/>
  <c r="Q49" i="34"/>
  <c r="M49" i="34"/>
  <c r="J49" i="34"/>
  <c r="K49" i="34" s="1"/>
  <c r="L49" i="34" s="1"/>
  <c r="R48" i="34"/>
  <c r="Q48" i="34"/>
  <c r="M48" i="34"/>
  <c r="K48" i="34"/>
  <c r="L48" i="34" s="1"/>
  <c r="J48" i="34"/>
  <c r="U47" i="34"/>
  <c r="T47" i="34"/>
  <c r="S47" i="34"/>
  <c r="R47" i="34"/>
  <c r="Q47" i="34"/>
  <c r="M47" i="34"/>
  <c r="K47" i="34"/>
  <c r="J47" i="34"/>
  <c r="U46" i="34"/>
  <c r="T46" i="34"/>
  <c r="S46" i="34"/>
  <c r="R46" i="34"/>
  <c r="Q46" i="34"/>
  <c r="M46" i="34"/>
  <c r="K46" i="34"/>
  <c r="J46" i="34"/>
  <c r="T45" i="34"/>
  <c r="R45" i="34"/>
  <c r="Q45" i="34"/>
  <c r="M45" i="34"/>
  <c r="J45" i="34"/>
  <c r="K45" i="34" s="1"/>
  <c r="L45" i="34" s="1"/>
  <c r="U44" i="34"/>
  <c r="T44" i="34"/>
  <c r="S44" i="34"/>
  <c r="R44" i="34"/>
  <c r="Q44" i="34"/>
  <c r="M44" i="34"/>
  <c r="J44" i="34"/>
  <c r="K44" i="34" s="1"/>
  <c r="U43" i="34"/>
  <c r="T43" i="34"/>
  <c r="S43" i="34"/>
  <c r="R43" i="34"/>
  <c r="Q43" i="34"/>
  <c r="M43" i="34"/>
  <c r="J43" i="34"/>
  <c r="K43" i="34" s="1"/>
  <c r="U42" i="34"/>
  <c r="T42" i="34"/>
  <c r="S42" i="34"/>
  <c r="R42" i="34"/>
  <c r="Q42" i="34"/>
  <c r="M42" i="34"/>
  <c r="J42" i="34"/>
  <c r="K42" i="34" s="1"/>
  <c r="R41" i="34"/>
  <c r="Q41" i="34"/>
  <c r="M41" i="34"/>
  <c r="K41" i="34"/>
  <c r="L41" i="34" s="1"/>
  <c r="J41" i="34"/>
  <c r="R40" i="34"/>
  <c r="Q40" i="34"/>
  <c r="M40" i="34"/>
  <c r="J40" i="34"/>
  <c r="K40" i="34" s="1"/>
  <c r="L40" i="34" s="1"/>
  <c r="R39" i="34"/>
  <c r="Q39" i="34"/>
  <c r="M39" i="34"/>
  <c r="K39" i="34"/>
  <c r="L39" i="34" s="1"/>
  <c r="J39" i="34"/>
  <c r="T38" i="34"/>
  <c r="R38" i="34"/>
  <c r="Q38" i="34"/>
  <c r="M38" i="34"/>
  <c r="J38" i="34"/>
  <c r="K38" i="34" s="1"/>
  <c r="L38" i="34" s="1"/>
  <c r="R37" i="34"/>
  <c r="Q37" i="34"/>
  <c r="M37" i="34"/>
  <c r="J37" i="34"/>
  <c r="K37" i="34" s="1"/>
  <c r="L37" i="34" s="1"/>
  <c r="U36" i="34"/>
  <c r="T36" i="34"/>
  <c r="S36" i="34"/>
  <c r="R36" i="34"/>
  <c r="Q36" i="34"/>
  <c r="M36" i="34"/>
  <c r="J36" i="34"/>
  <c r="K36" i="34" s="1"/>
  <c r="U35" i="34"/>
  <c r="T35" i="34"/>
  <c r="S35" i="34"/>
  <c r="R35" i="34"/>
  <c r="Q35" i="34"/>
  <c r="M35" i="34"/>
  <c r="J35" i="34"/>
  <c r="K35" i="34" s="1"/>
  <c r="R34" i="34"/>
  <c r="Q34" i="34"/>
  <c r="M34" i="34"/>
  <c r="J34" i="34"/>
  <c r="K34" i="34" s="1"/>
  <c r="L34" i="34" s="1"/>
  <c r="R33" i="34"/>
  <c r="Q33" i="34"/>
  <c r="M33" i="34"/>
  <c r="J33" i="34"/>
  <c r="K33" i="34" s="1"/>
  <c r="L33" i="34" s="1"/>
  <c r="R32" i="34"/>
  <c r="Q32" i="34"/>
  <c r="M32" i="34"/>
  <c r="J32" i="34"/>
  <c r="K32" i="34" s="1"/>
  <c r="L32" i="34" s="1"/>
  <c r="U31" i="34"/>
  <c r="T31" i="34"/>
  <c r="S31" i="34"/>
  <c r="R31" i="34"/>
  <c r="Q31" i="34"/>
  <c r="M31" i="34"/>
  <c r="J31" i="34"/>
  <c r="K31" i="34" s="1"/>
  <c r="U30" i="34"/>
  <c r="T30" i="34"/>
  <c r="S30" i="34"/>
  <c r="R30" i="34"/>
  <c r="Q30" i="34"/>
  <c r="M30" i="34"/>
  <c r="J30" i="34"/>
  <c r="K30" i="34" s="1"/>
  <c r="R29" i="34"/>
  <c r="Q29" i="34"/>
  <c r="M29" i="34"/>
  <c r="J29" i="34"/>
  <c r="K29" i="34" s="1"/>
  <c r="L29" i="34" s="1"/>
  <c r="U28" i="34"/>
  <c r="T28" i="34"/>
  <c r="S28" i="34"/>
  <c r="R28" i="34"/>
  <c r="Q28" i="34"/>
  <c r="M28" i="34"/>
  <c r="J28" i="34"/>
  <c r="K28" i="34" s="1"/>
  <c r="U27" i="34"/>
  <c r="T27" i="34"/>
  <c r="S27" i="34"/>
  <c r="R27" i="34"/>
  <c r="Q27" i="34"/>
  <c r="M27" i="34"/>
  <c r="J27" i="34"/>
  <c r="K27" i="34" s="1"/>
  <c r="U26" i="34"/>
  <c r="T26" i="34"/>
  <c r="S26" i="34"/>
  <c r="R26" i="34"/>
  <c r="Q26" i="34"/>
  <c r="M26" i="34"/>
  <c r="J26" i="34"/>
  <c r="K26" i="34" s="1"/>
  <c r="U25" i="34"/>
  <c r="T25" i="34"/>
  <c r="S25" i="34"/>
  <c r="R25" i="34"/>
  <c r="Q25" i="34"/>
  <c r="M25" i="34"/>
  <c r="J25" i="34"/>
  <c r="K25" i="34" s="1"/>
  <c r="R24" i="34"/>
  <c r="Q24" i="34"/>
  <c r="M24" i="34"/>
  <c r="J24" i="34"/>
  <c r="K24" i="34" s="1"/>
  <c r="L24" i="34" s="1"/>
  <c r="R23" i="34"/>
  <c r="Q23" i="34"/>
  <c r="M23" i="34"/>
  <c r="K23" i="34"/>
  <c r="L23" i="34" s="1"/>
  <c r="J23" i="34"/>
  <c r="R22" i="34"/>
  <c r="Q22" i="34"/>
  <c r="M22" i="34"/>
  <c r="J22" i="34"/>
  <c r="K22" i="34" s="1"/>
  <c r="L22" i="34" s="1"/>
  <c r="U21" i="34"/>
  <c r="T21" i="34"/>
  <c r="S21" i="34"/>
  <c r="R21" i="34"/>
  <c r="Q21" i="34"/>
  <c r="M21" i="34"/>
  <c r="J21" i="34"/>
  <c r="K21" i="34" s="1"/>
  <c r="U20" i="34"/>
  <c r="T20" i="34"/>
  <c r="S20" i="34"/>
  <c r="R20" i="34"/>
  <c r="Q20" i="34"/>
  <c r="M20" i="34"/>
  <c r="J20" i="34"/>
  <c r="K20" i="34" s="1"/>
  <c r="R19" i="34"/>
  <c r="Q19" i="34"/>
  <c r="M19" i="34"/>
  <c r="J19" i="34"/>
  <c r="K19" i="34" s="1"/>
  <c r="L19" i="34" s="1"/>
  <c r="U18" i="34"/>
  <c r="T18" i="34"/>
  <c r="S18" i="34"/>
  <c r="R18" i="34"/>
  <c r="Q18" i="34"/>
  <c r="M18" i="34"/>
  <c r="K18" i="34"/>
  <c r="J18" i="34"/>
  <c r="U17" i="34"/>
  <c r="T17" i="34"/>
  <c r="S17" i="34"/>
  <c r="R17" i="34"/>
  <c r="Q17" i="34"/>
  <c r="M17" i="34"/>
  <c r="J17" i="34"/>
  <c r="K17" i="34" s="1"/>
  <c r="U16" i="34"/>
  <c r="T16" i="34"/>
  <c r="S16" i="34"/>
  <c r="R16" i="34"/>
  <c r="Q16" i="34"/>
  <c r="M16" i="34"/>
  <c r="J16" i="34"/>
  <c r="K16" i="34" s="1"/>
  <c r="U15" i="34"/>
  <c r="T15" i="34"/>
  <c r="S15" i="34"/>
  <c r="R15" i="34"/>
  <c r="Q15" i="34"/>
  <c r="M15" i="34"/>
  <c r="J15" i="34"/>
  <c r="K15" i="34" s="1"/>
  <c r="U14" i="34"/>
  <c r="T14" i="34"/>
  <c r="S14" i="34"/>
  <c r="R14" i="34"/>
  <c r="Q14" i="34"/>
  <c r="M14" i="34"/>
  <c r="J14" i="34"/>
  <c r="K14" i="34" s="1"/>
  <c r="U13" i="34"/>
  <c r="T13" i="34"/>
  <c r="S13" i="34"/>
  <c r="R13" i="34"/>
  <c r="Q13" i="34"/>
  <c r="M13" i="34"/>
  <c r="J13" i="34"/>
  <c r="K13" i="34" s="1"/>
  <c r="U12" i="34"/>
  <c r="T12" i="34"/>
  <c r="S12" i="34"/>
  <c r="R12" i="34"/>
  <c r="Q12" i="34"/>
  <c r="M12" i="34"/>
  <c r="J12" i="34"/>
  <c r="K12" i="34" s="1"/>
  <c r="AB11" i="34"/>
  <c r="U11" i="34"/>
  <c r="T11" i="34"/>
  <c r="S11" i="34"/>
  <c r="R11" i="34"/>
  <c r="Q11" i="34"/>
  <c r="M11" i="34"/>
  <c r="K11" i="34"/>
  <c r="J11" i="34"/>
  <c r="U10" i="34"/>
  <c r="T10" i="34"/>
  <c r="S10" i="34"/>
  <c r="R10" i="34"/>
  <c r="Q10" i="34"/>
  <c r="M10" i="34"/>
  <c r="K10" i="34"/>
  <c r="J10" i="34"/>
  <c r="U9" i="34"/>
  <c r="T9" i="34"/>
  <c r="S9" i="34"/>
  <c r="R9" i="34"/>
  <c r="Q9" i="34"/>
  <c r="M9" i="34"/>
  <c r="K9" i="34"/>
  <c r="J9" i="34"/>
  <c r="U8" i="34"/>
  <c r="T8" i="34"/>
  <c r="S8" i="34"/>
  <c r="R8" i="34"/>
  <c r="Q8" i="34"/>
  <c r="M8" i="34"/>
  <c r="K8" i="34"/>
  <c r="J8" i="34"/>
  <c r="U7" i="34"/>
  <c r="T7" i="34"/>
  <c r="S7" i="34"/>
  <c r="R7" i="34"/>
  <c r="Q7" i="34"/>
  <c r="M7" i="34"/>
  <c r="K7" i="34"/>
  <c r="J7" i="34"/>
  <c r="U6" i="34"/>
  <c r="T6" i="34"/>
  <c r="S6" i="34"/>
  <c r="R6" i="34"/>
  <c r="Q6" i="34"/>
  <c r="M6" i="34"/>
  <c r="K6" i="34"/>
  <c r="J6" i="34"/>
  <c r="R5" i="34"/>
  <c r="Q5" i="34"/>
  <c r="M5" i="34"/>
  <c r="J5" i="34"/>
  <c r="K5" i="34" s="1"/>
  <c r="L5" i="34" s="1"/>
  <c r="T4" i="34"/>
  <c r="R4" i="34"/>
  <c r="Q4" i="34"/>
  <c r="M4" i="34"/>
  <c r="J4" i="34"/>
  <c r="K4" i="34" s="1"/>
  <c r="L4" i="34" s="1"/>
  <c r="T3" i="34"/>
  <c r="R3" i="34"/>
  <c r="Q3" i="34"/>
  <c r="M3" i="34"/>
  <c r="J3" i="34"/>
  <c r="K3" i="34" s="1"/>
  <c r="L3" i="34" s="1"/>
  <c r="R2" i="34"/>
  <c r="Q2" i="34"/>
  <c r="M2" i="34"/>
  <c r="K2" i="34"/>
  <c r="L2" i="34" s="1"/>
  <c r="J2" i="34"/>
  <c r="AJ8" i="29" l="1"/>
  <c r="L59" i="34"/>
  <c r="L55" i="34"/>
  <c r="M64" i="34"/>
  <c r="L61" i="34"/>
  <c r="Q64" i="34"/>
  <c r="L51" i="34"/>
  <c r="R64" i="34"/>
  <c r="Z18" i="34" s="1"/>
  <c r="L57" i="34"/>
  <c r="U57" i="34" s="1"/>
  <c r="L63" i="34"/>
  <c r="U5" i="34"/>
  <c r="S5" i="34"/>
  <c r="T5" i="34"/>
  <c r="U54" i="34"/>
  <c r="S54" i="34"/>
  <c r="U62" i="34"/>
  <c r="S62" i="34"/>
  <c r="U2" i="34"/>
  <c r="T2" i="34"/>
  <c r="S2" i="34"/>
  <c r="U3" i="34"/>
  <c r="S3" i="34"/>
  <c r="K64" i="34"/>
  <c r="T22" i="34"/>
  <c r="U22" i="34"/>
  <c r="S22" i="34"/>
  <c r="T32" i="34"/>
  <c r="S32" i="34"/>
  <c r="U32" i="34"/>
  <c r="S39" i="34"/>
  <c r="T39" i="34"/>
  <c r="U39" i="34"/>
  <c r="U40" i="34"/>
  <c r="S40" i="34"/>
  <c r="T40" i="34"/>
  <c r="S48" i="34"/>
  <c r="T48" i="34"/>
  <c r="U48" i="34"/>
  <c r="U49" i="34"/>
  <c r="S49" i="34"/>
  <c r="T49" i="34"/>
  <c r="S52" i="34"/>
  <c r="U52" i="34"/>
  <c r="S55" i="34"/>
  <c r="U55" i="34"/>
  <c r="S60" i="34"/>
  <c r="U60" i="34"/>
  <c r="S63" i="34"/>
  <c r="U63" i="34"/>
  <c r="S23" i="34"/>
  <c r="T23" i="34"/>
  <c r="L64" i="34"/>
  <c r="U23" i="34"/>
  <c r="U24" i="34"/>
  <c r="T24" i="34"/>
  <c r="S24" i="34"/>
  <c r="S33" i="34"/>
  <c r="U33" i="34"/>
  <c r="T33" i="34"/>
  <c r="U34" i="34"/>
  <c r="T34" i="34"/>
  <c r="S34" i="34"/>
  <c r="U41" i="34"/>
  <c r="T41" i="34"/>
  <c r="S41" i="34"/>
  <c r="U50" i="34"/>
  <c r="S50" i="34"/>
  <c r="U53" i="34"/>
  <c r="S53" i="34"/>
  <c r="U58" i="34"/>
  <c r="S58" i="34"/>
  <c r="U61" i="34"/>
  <c r="S61" i="34"/>
  <c r="S57" i="34"/>
  <c r="S4" i="34"/>
  <c r="U4" i="34"/>
  <c r="S19" i="34"/>
  <c r="U19" i="34"/>
  <c r="T19" i="34"/>
  <c r="U29" i="34"/>
  <c r="T29" i="34"/>
  <c r="S29" i="34"/>
  <c r="U37" i="34"/>
  <c r="T37" i="34"/>
  <c r="S37" i="34"/>
  <c r="S38" i="34"/>
  <c r="U38" i="34"/>
  <c r="S45" i="34"/>
  <c r="U45" i="34"/>
  <c r="U51" i="34"/>
  <c r="S51" i="34"/>
  <c r="S56" i="34"/>
  <c r="U56" i="34"/>
  <c r="S59" i="34"/>
  <c r="U59" i="34"/>
  <c r="J64" i="34"/>
  <c r="T245" i="31" l="1"/>
  <c r="X245" i="31" s="1"/>
  <c r="F76" i="30"/>
  <c r="C278" i="33" s="1"/>
  <c r="D278" i="33" s="1"/>
  <c r="B81" i="30"/>
  <c r="F75" i="30"/>
  <c r="F77" i="30"/>
  <c r="T64" i="34"/>
  <c r="U64" i="34"/>
  <c r="S64" i="34"/>
  <c r="Z17" i="34" s="1"/>
  <c r="Z19" i="34" s="1"/>
  <c r="D256" i="33" l="1"/>
  <c r="D255" i="33"/>
  <c r="D254" i="33"/>
  <c r="C229" i="33"/>
  <c r="AE125" i="33"/>
  <c r="AD125" i="33"/>
  <c r="AC125" i="33"/>
  <c r="AB125" i="33"/>
  <c r="AA125" i="33"/>
  <c r="Z125" i="33"/>
  <c r="Y125" i="33"/>
  <c r="X125" i="33"/>
  <c r="W125" i="33"/>
  <c r="V125" i="33"/>
  <c r="U125" i="33"/>
  <c r="T125" i="33"/>
  <c r="S125" i="33"/>
  <c r="R125" i="33"/>
  <c r="Q125" i="33"/>
  <c r="P125" i="33"/>
  <c r="O125" i="33"/>
  <c r="N125" i="33"/>
  <c r="M125" i="33"/>
  <c r="L125" i="33"/>
  <c r="K125" i="33"/>
  <c r="J125" i="33"/>
  <c r="I125" i="33"/>
  <c r="H125" i="33"/>
  <c r="AE124" i="33"/>
  <c r="AD124" i="33"/>
  <c r="AC124" i="33"/>
  <c r="AB124" i="33"/>
  <c r="AA124" i="33"/>
  <c r="Z124" i="33"/>
  <c r="Y124" i="33"/>
  <c r="X124" i="33"/>
  <c r="W124" i="33"/>
  <c r="V124" i="33"/>
  <c r="U124" i="33"/>
  <c r="T124" i="33"/>
  <c r="S124" i="33"/>
  <c r="R124" i="33"/>
  <c r="Q124" i="33"/>
  <c r="P124" i="33"/>
  <c r="O124" i="33"/>
  <c r="N124" i="33"/>
  <c r="M124" i="33"/>
  <c r="L124" i="33"/>
  <c r="K124" i="33"/>
  <c r="J124" i="33"/>
  <c r="I124" i="33"/>
  <c r="H124" i="33"/>
  <c r="AE123" i="33"/>
  <c r="AD123" i="33"/>
  <c r="AC123" i="33"/>
  <c r="AB123" i="33"/>
  <c r="AA123" i="33"/>
  <c r="Z123" i="33"/>
  <c r="Y123" i="33"/>
  <c r="X123" i="33"/>
  <c r="W123" i="33"/>
  <c r="V123" i="33"/>
  <c r="U123" i="33"/>
  <c r="T123" i="33"/>
  <c r="S123" i="33"/>
  <c r="R123" i="33"/>
  <c r="Q123" i="33"/>
  <c r="P123" i="33"/>
  <c r="O123" i="33"/>
  <c r="N123" i="33"/>
  <c r="M123" i="33"/>
  <c r="L123" i="33"/>
  <c r="K123" i="33"/>
  <c r="J123" i="33"/>
  <c r="I123" i="33"/>
  <c r="H123" i="33"/>
  <c r="AE122" i="33"/>
  <c r="AD122" i="33"/>
  <c r="AC122" i="33"/>
  <c r="AB122" i="33"/>
  <c r="AA122" i="33"/>
  <c r="Z122" i="33"/>
  <c r="Y122" i="33"/>
  <c r="X122" i="33"/>
  <c r="W122" i="33"/>
  <c r="V122" i="33"/>
  <c r="U122" i="33"/>
  <c r="T122" i="33"/>
  <c r="S122" i="33"/>
  <c r="R122" i="33"/>
  <c r="Q122" i="33"/>
  <c r="P122" i="33"/>
  <c r="O122" i="33"/>
  <c r="N122" i="33"/>
  <c r="M122" i="33"/>
  <c r="L122" i="33"/>
  <c r="K122" i="33"/>
  <c r="J122" i="33"/>
  <c r="I122" i="33"/>
  <c r="H122" i="33"/>
  <c r="AE121" i="33"/>
  <c r="AD121" i="33"/>
  <c r="AC121" i="33"/>
  <c r="AB121" i="33"/>
  <c r="AA121" i="33"/>
  <c r="Z121" i="33"/>
  <c r="Y121" i="33"/>
  <c r="X121" i="33"/>
  <c r="W121" i="33"/>
  <c r="V121" i="33"/>
  <c r="U121" i="33"/>
  <c r="T121" i="33"/>
  <c r="S121" i="33"/>
  <c r="R121" i="33"/>
  <c r="Q121" i="33"/>
  <c r="P121" i="33"/>
  <c r="O121" i="33"/>
  <c r="N121" i="33"/>
  <c r="M121" i="33"/>
  <c r="L121" i="33"/>
  <c r="K121" i="33"/>
  <c r="J121" i="33"/>
  <c r="I121" i="33"/>
  <c r="H121" i="33"/>
  <c r="AE120" i="33"/>
  <c r="AD120" i="33"/>
  <c r="AC120" i="33"/>
  <c r="AB120" i="33"/>
  <c r="AA120" i="33"/>
  <c r="Z120" i="33"/>
  <c r="Y120" i="33"/>
  <c r="X120" i="33"/>
  <c r="W120" i="33"/>
  <c r="V120" i="33"/>
  <c r="U120" i="33"/>
  <c r="T120" i="33"/>
  <c r="S120" i="33"/>
  <c r="R120" i="33"/>
  <c r="Q120" i="33"/>
  <c r="P120" i="33"/>
  <c r="O120" i="33"/>
  <c r="N120" i="33"/>
  <c r="M120" i="33"/>
  <c r="L120" i="33"/>
  <c r="K120" i="33"/>
  <c r="J120" i="33"/>
  <c r="I120" i="33"/>
  <c r="H120" i="33"/>
  <c r="AE119" i="33"/>
  <c r="AD119" i="33"/>
  <c r="AC119" i="33"/>
  <c r="AB119" i="33"/>
  <c r="AA119" i="33"/>
  <c r="Z119" i="33"/>
  <c r="Y119" i="33"/>
  <c r="X119" i="33"/>
  <c r="W119" i="33"/>
  <c r="V119" i="33"/>
  <c r="U119" i="33"/>
  <c r="T119" i="33"/>
  <c r="S119" i="33"/>
  <c r="R119" i="33"/>
  <c r="Q119" i="33"/>
  <c r="P119" i="33"/>
  <c r="O119" i="33"/>
  <c r="N119" i="33"/>
  <c r="M119" i="33"/>
  <c r="L119" i="33"/>
  <c r="K119" i="33"/>
  <c r="J119" i="33"/>
  <c r="I119" i="33"/>
  <c r="H119" i="33"/>
  <c r="AE118" i="33"/>
  <c r="AD118" i="33"/>
  <c r="AC118" i="33"/>
  <c r="AB118" i="33"/>
  <c r="AA118" i="33"/>
  <c r="Z118" i="33"/>
  <c r="Y118" i="33"/>
  <c r="X118" i="33"/>
  <c r="W118" i="33"/>
  <c r="V118" i="33"/>
  <c r="U118" i="33"/>
  <c r="T118" i="33"/>
  <c r="S118" i="33"/>
  <c r="R118" i="33"/>
  <c r="Q118" i="33"/>
  <c r="P118" i="33"/>
  <c r="O118" i="33"/>
  <c r="N118" i="33"/>
  <c r="M118" i="33"/>
  <c r="L118" i="33"/>
  <c r="K118" i="33"/>
  <c r="J118" i="33"/>
  <c r="I118" i="33"/>
  <c r="H118" i="33"/>
  <c r="AE117" i="33"/>
  <c r="AD117" i="33"/>
  <c r="AC117" i="33"/>
  <c r="AB117" i="33"/>
  <c r="AA117" i="33"/>
  <c r="Z117" i="33"/>
  <c r="Y117" i="33"/>
  <c r="X117" i="33"/>
  <c r="W117" i="33"/>
  <c r="V117" i="33"/>
  <c r="U117" i="33"/>
  <c r="T117" i="33"/>
  <c r="S117" i="33"/>
  <c r="R117" i="33"/>
  <c r="Q117" i="33"/>
  <c r="P117" i="33"/>
  <c r="O117" i="33"/>
  <c r="N117" i="33"/>
  <c r="M117" i="33"/>
  <c r="L117" i="33"/>
  <c r="K117" i="33"/>
  <c r="J117" i="33"/>
  <c r="I117" i="33"/>
  <c r="H117" i="33"/>
  <c r="AE116" i="33"/>
  <c r="AD116" i="33"/>
  <c r="AC116" i="33"/>
  <c r="AB116" i="33"/>
  <c r="AA116" i="33"/>
  <c r="Z116" i="33"/>
  <c r="Y116" i="33"/>
  <c r="X116" i="33"/>
  <c r="W116" i="33"/>
  <c r="V116" i="33"/>
  <c r="U116" i="33"/>
  <c r="T116" i="33"/>
  <c r="S116" i="33"/>
  <c r="R116" i="33"/>
  <c r="Q116" i="33"/>
  <c r="P116" i="33"/>
  <c r="O116" i="33"/>
  <c r="N116" i="33"/>
  <c r="M116" i="33"/>
  <c r="L116" i="33"/>
  <c r="K116" i="33"/>
  <c r="J116" i="33"/>
  <c r="I116" i="33"/>
  <c r="H116" i="33"/>
  <c r="EB118" i="33"/>
  <c r="EA118" i="33"/>
  <c r="DZ118" i="33"/>
  <c r="DY118" i="33"/>
  <c r="DX118" i="33"/>
  <c r="DW118" i="33"/>
  <c r="DV118" i="33"/>
  <c r="DU118" i="33"/>
  <c r="DT118" i="33"/>
  <c r="DS118" i="33"/>
  <c r="DR118" i="33"/>
  <c r="DQ118" i="33"/>
  <c r="DP118" i="33"/>
  <c r="DO118" i="33"/>
  <c r="DN118" i="33"/>
  <c r="DM118" i="33"/>
  <c r="DL118" i="33"/>
  <c r="DK118" i="33"/>
  <c r="DJ118" i="33"/>
  <c r="DI118" i="33"/>
  <c r="DH118" i="33"/>
  <c r="DG118" i="33"/>
  <c r="DF118" i="33"/>
  <c r="DE118" i="33"/>
  <c r="EB117" i="33"/>
  <c r="EA117" i="33"/>
  <c r="DZ117" i="33"/>
  <c r="DY117" i="33"/>
  <c r="DX117" i="33"/>
  <c r="DW117" i="33"/>
  <c r="DV117" i="33"/>
  <c r="DU117" i="33"/>
  <c r="DT117" i="33"/>
  <c r="DS117" i="33"/>
  <c r="DR117" i="33"/>
  <c r="DQ117" i="33"/>
  <c r="DP117" i="33"/>
  <c r="DO117" i="33"/>
  <c r="DN117" i="33"/>
  <c r="DM117" i="33"/>
  <c r="DL117" i="33"/>
  <c r="DK117" i="33"/>
  <c r="DJ117" i="33"/>
  <c r="DI117" i="33"/>
  <c r="DH117" i="33"/>
  <c r="DG117" i="33"/>
  <c r="DF117" i="33"/>
  <c r="DE117" i="33"/>
  <c r="EB116" i="33"/>
  <c r="EA116" i="33"/>
  <c r="DZ116" i="33"/>
  <c r="DY116" i="33"/>
  <c r="DX116" i="33"/>
  <c r="DW116" i="33"/>
  <c r="DV116" i="33"/>
  <c r="DU116" i="33"/>
  <c r="DT116" i="33"/>
  <c r="DS116" i="33"/>
  <c r="DR116" i="33"/>
  <c r="DQ116" i="33"/>
  <c r="DP116" i="33"/>
  <c r="DO116" i="33"/>
  <c r="DN116" i="33"/>
  <c r="DM116" i="33"/>
  <c r="DL116" i="33"/>
  <c r="DK116" i="33"/>
  <c r="DJ116" i="33"/>
  <c r="DI116" i="33"/>
  <c r="DH116" i="33"/>
  <c r="DG116" i="33"/>
  <c r="DF116" i="33"/>
  <c r="DE116" i="33"/>
  <c r="EB115" i="33"/>
  <c r="EA115" i="33"/>
  <c r="DZ115" i="33"/>
  <c r="DY115" i="33"/>
  <c r="DX115" i="33"/>
  <c r="DW115" i="33"/>
  <c r="DV115" i="33"/>
  <c r="DU115" i="33"/>
  <c r="DT115" i="33"/>
  <c r="DS115" i="33"/>
  <c r="DR115" i="33"/>
  <c r="DQ115" i="33"/>
  <c r="DP115" i="33"/>
  <c r="DO115" i="33"/>
  <c r="DN115" i="33"/>
  <c r="DM115" i="33"/>
  <c r="DL115" i="33"/>
  <c r="DK115" i="33"/>
  <c r="DJ115" i="33"/>
  <c r="DI115" i="33"/>
  <c r="DH115" i="33"/>
  <c r="DG115" i="33"/>
  <c r="DF115" i="33"/>
  <c r="DE115" i="33"/>
  <c r="EB114" i="33"/>
  <c r="EA114" i="33"/>
  <c r="DZ114" i="33"/>
  <c r="DY114" i="33"/>
  <c r="DX114" i="33"/>
  <c r="DW114" i="33"/>
  <c r="DV114" i="33"/>
  <c r="DU114" i="33"/>
  <c r="DT114" i="33"/>
  <c r="DS114" i="33"/>
  <c r="DR114" i="33"/>
  <c r="DQ114" i="33"/>
  <c r="DP114" i="33"/>
  <c r="DO114" i="33"/>
  <c r="DN114" i="33"/>
  <c r="DM114" i="33"/>
  <c r="DL114" i="33"/>
  <c r="DK114" i="33"/>
  <c r="DJ114" i="33"/>
  <c r="DI114" i="33"/>
  <c r="DH114" i="33"/>
  <c r="DG114" i="33"/>
  <c r="DF114" i="33"/>
  <c r="DE114" i="33"/>
  <c r="EB113" i="33"/>
  <c r="EA113" i="33"/>
  <c r="DZ113" i="33"/>
  <c r="DY113" i="33"/>
  <c r="DX113" i="33"/>
  <c r="DW113" i="33"/>
  <c r="DV113" i="33"/>
  <c r="DU113" i="33"/>
  <c r="DT113" i="33"/>
  <c r="DS113" i="33"/>
  <c r="DR113" i="33"/>
  <c r="DQ113" i="33"/>
  <c r="DP113" i="33"/>
  <c r="DO113" i="33"/>
  <c r="DN113" i="33"/>
  <c r="DM113" i="33"/>
  <c r="DL113" i="33"/>
  <c r="DK113" i="33"/>
  <c r="DJ113" i="33"/>
  <c r="DI113" i="33"/>
  <c r="DH113" i="33"/>
  <c r="DG113" i="33"/>
  <c r="DF113" i="33"/>
  <c r="DE113" i="33"/>
  <c r="EB112" i="33"/>
  <c r="EA112" i="33"/>
  <c r="DZ112" i="33"/>
  <c r="DY112" i="33"/>
  <c r="DX112" i="33"/>
  <c r="DW112" i="33"/>
  <c r="DV112" i="33"/>
  <c r="DU112" i="33"/>
  <c r="DT112" i="33"/>
  <c r="DS112" i="33"/>
  <c r="DR112" i="33"/>
  <c r="DQ112" i="33"/>
  <c r="DP112" i="33"/>
  <c r="DO112" i="33"/>
  <c r="DN112" i="33"/>
  <c r="DM112" i="33"/>
  <c r="DL112" i="33"/>
  <c r="DK112" i="33"/>
  <c r="DJ112" i="33"/>
  <c r="DI112" i="33"/>
  <c r="DH112" i="33"/>
  <c r="DG112" i="33"/>
  <c r="DF112" i="33"/>
  <c r="DE112" i="33"/>
  <c r="EB111" i="33"/>
  <c r="EA111" i="33"/>
  <c r="DZ111" i="33"/>
  <c r="DY111" i="33"/>
  <c r="DX111" i="33"/>
  <c r="DW111" i="33"/>
  <c r="DV111" i="33"/>
  <c r="DU111" i="33"/>
  <c r="DT111" i="33"/>
  <c r="DS111" i="33"/>
  <c r="DR111" i="33"/>
  <c r="DQ111" i="33"/>
  <c r="DP111" i="33"/>
  <c r="DO111" i="33"/>
  <c r="DN111" i="33"/>
  <c r="DM111" i="33"/>
  <c r="DL111" i="33"/>
  <c r="DK111" i="33"/>
  <c r="DJ111" i="33"/>
  <c r="DI111" i="33"/>
  <c r="DH111" i="33"/>
  <c r="DG111" i="33"/>
  <c r="DF111" i="33"/>
  <c r="DE111" i="33"/>
  <c r="EB110" i="33"/>
  <c r="EA110" i="33"/>
  <c r="DZ110" i="33"/>
  <c r="DY110" i="33"/>
  <c r="DX110" i="33"/>
  <c r="DW110" i="33"/>
  <c r="DV110" i="33"/>
  <c r="DU110" i="33"/>
  <c r="DT110" i="33"/>
  <c r="DS110" i="33"/>
  <c r="DR110" i="33"/>
  <c r="DQ110" i="33"/>
  <c r="DP110" i="33"/>
  <c r="DO110" i="33"/>
  <c r="DN110" i="33"/>
  <c r="DM110" i="33"/>
  <c r="DL110" i="33"/>
  <c r="DK110" i="33"/>
  <c r="DJ110" i="33"/>
  <c r="DI110" i="33"/>
  <c r="DH110" i="33"/>
  <c r="DG110" i="33"/>
  <c r="DF110" i="33"/>
  <c r="DE110" i="33"/>
  <c r="EB109" i="33"/>
  <c r="EA109" i="33"/>
  <c r="DZ109" i="33"/>
  <c r="DY109" i="33"/>
  <c r="DX109" i="33"/>
  <c r="DW109" i="33"/>
  <c r="DV109" i="33"/>
  <c r="DU109" i="33"/>
  <c r="DT109" i="33"/>
  <c r="DS109" i="33"/>
  <c r="DR109" i="33"/>
  <c r="DQ109" i="33"/>
  <c r="DP109" i="33"/>
  <c r="DO109" i="33"/>
  <c r="DN109" i="33"/>
  <c r="DM109" i="33"/>
  <c r="DL109" i="33"/>
  <c r="DK109" i="33"/>
  <c r="DJ109" i="33"/>
  <c r="DI109" i="33"/>
  <c r="DH109" i="33"/>
  <c r="DG109" i="33"/>
  <c r="DF109" i="33"/>
  <c r="DE109" i="33"/>
  <c r="EB107" i="33"/>
  <c r="EB159" i="33" s="1"/>
  <c r="EA107" i="33"/>
  <c r="DZ107" i="33"/>
  <c r="DY107" i="33"/>
  <c r="DX107" i="33"/>
  <c r="DX159" i="33" s="1"/>
  <c r="DW107" i="33"/>
  <c r="DV107" i="33"/>
  <c r="DU107" i="33"/>
  <c r="DT107" i="33"/>
  <c r="DT159" i="33" s="1"/>
  <c r="DS107" i="33"/>
  <c r="DR107" i="33"/>
  <c r="DQ107" i="33"/>
  <c r="DP107" i="33"/>
  <c r="DP159" i="33" s="1"/>
  <c r="DO107" i="33"/>
  <c r="DN107" i="33"/>
  <c r="DM107" i="33"/>
  <c r="DL107" i="33"/>
  <c r="DL159" i="33" s="1"/>
  <c r="DK107" i="33"/>
  <c r="DJ107" i="33"/>
  <c r="DI107" i="33"/>
  <c r="DH107" i="33"/>
  <c r="DH159" i="33" s="1"/>
  <c r="DG107" i="33"/>
  <c r="DF107" i="33"/>
  <c r="DE107" i="33"/>
  <c r="EB106" i="33"/>
  <c r="EB158" i="33" s="1"/>
  <c r="EA106" i="33"/>
  <c r="DZ106" i="33"/>
  <c r="DY106" i="33"/>
  <c r="DX106" i="33"/>
  <c r="DX158" i="33" s="1"/>
  <c r="DW106" i="33"/>
  <c r="DV106" i="33"/>
  <c r="DU106" i="33"/>
  <c r="DT106" i="33"/>
  <c r="DT158" i="33" s="1"/>
  <c r="DS106" i="33"/>
  <c r="DR106" i="33"/>
  <c r="DQ106" i="33"/>
  <c r="DP106" i="33"/>
  <c r="DP158" i="33" s="1"/>
  <c r="DO106" i="33"/>
  <c r="DN106" i="33"/>
  <c r="DM106" i="33"/>
  <c r="DL106" i="33"/>
  <c r="DL158" i="33" s="1"/>
  <c r="DK106" i="33"/>
  <c r="DJ106" i="33"/>
  <c r="DI106" i="33"/>
  <c r="DH106" i="33"/>
  <c r="DH158" i="33" s="1"/>
  <c r="DG106" i="33"/>
  <c r="DF106" i="33"/>
  <c r="DE106" i="33"/>
  <c r="EB105" i="33"/>
  <c r="EB157" i="33" s="1"/>
  <c r="EA105" i="33"/>
  <c r="DZ105" i="33"/>
  <c r="DY105" i="33"/>
  <c r="DX105" i="33"/>
  <c r="DX157" i="33" s="1"/>
  <c r="DW105" i="33"/>
  <c r="DV105" i="33"/>
  <c r="DU105" i="33"/>
  <c r="DT105" i="33"/>
  <c r="DT157" i="33" s="1"/>
  <c r="DS105" i="33"/>
  <c r="DR105" i="33"/>
  <c r="DQ105" i="33"/>
  <c r="DP105" i="33"/>
  <c r="DP157" i="33" s="1"/>
  <c r="DO105" i="33"/>
  <c r="DN105" i="33"/>
  <c r="DM105" i="33"/>
  <c r="DL105" i="33"/>
  <c r="DL157" i="33" s="1"/>
  <c r="DK105" i="33"/>
  <c r="DJ105" i="33"/>
  <c r="DI105" i="33"/>
  <c r="DH105" i="33"/>
  <c r="DH157" i="33" s="1"/>
  <c r="DG105" i="33"/>
  <c r="DF105" i="33"/>
  <c r="DE105" i="33"/>
  <c r="EB104" i="33"/>
  <c r="EA104" i="33"/>
  <c r="DZ104" i="33"/>
  <c r="DY104" i="33"/>
  <c r="DX104" i="33"/>
  <c r="DW104" i="33"/>
  <c r="DV104" i="33"/>
  <c r="DU104" i="33"/>
  <c r="DT104" i="33"/>
  <c r="DS104" i="33"/>
  <c r="DR104" i="33"/>
  <c r="DQ104" i="33"/>
  <c r="DP104" i="33"/>
  <c r="DO104" i="33"/>
  <c r="DN104" i="33"/>
  <c r="DM104" i="33"/>
  <c r="DL104" i="33"/>
  <c r="DK104" i="33"/>
  <c r="DJ104" i="33"/>
  <c r="DI104" i="33"/>
  <c r="DH104" i="33"/>
  <c r="DG104" i="33"/>
  <c r="DF104" i="33"/>
  <c r="DE104" i="33"/>
  <c r="EB103" i="33"/>
  <c r="EB156" i="33" s="1"/>
  <c r="EA103" i="33"/>
  <c r="DZ103" i="33"/>
  <c r="DY103" i="33"/>
  <c r="DX103" i="33"/>
  <c r="DX156" i="33" s="1"/>
  <c r="DW103" i="33"/>
  <c r="DV103" i="33"/>
  <c r="DU103" i="33"/>
  <c r="DT103" i="33"/>
  <c r="DT156" i="33" s="1"/>
  <c r="DS103" i="33"/>
  <c r="DR103" i="33"/>
  <c r="DQ103" i="33"/>
  <c r="DP103" i="33"/>
  <c r="DP156" i="33" s="1"/>
  <c r="DO103" i="33"/>
  <c r="DN103" i="33"/>
  <c r="DM103" i="33"/>
  <c r="DL103" i="33"/>
  <c r="DL156" i="33" s="1"/>
  <c r="DK103" i="33"/>
  <c r="DJ103" i="33"/>
  <c r="DI103" i="33"/>
  <c r="DH103" i="33"/>
  <c r="DH156" i="33" s="1"/>
  <c r="DG103" i="33"/>
  <c r="DF103" i="33"/>
  <c r="DE103" i="33"/>
  <c r="EB102" i="33"/>
  <c r="EB155" i="33" s="1"/>
  <c r="EA102" i="33"/>
  <c r="DZ102" i="33"/>
  <c r="DY102" i="33"/>
  <c r="DX102" i="33"/>
  <c r="DX155" i="33" s="1"/>
  <c r="DW102" i="33"/>
  <c r="DV102" i="33"/>
  <c r="DU102" i="33"/>
  <c r="DT102" i="33"/>
  <c r="DT155" i="33" s="1"/>
  <c r="DS102" i="33"/>
  <c r="DR102" i="33"/>
  <c r="DQ102" i="33"/>
  <c r="DP102" i="33"/>
  <c r="DP155" i="33" s="1"/>
  <c r="DO102" i="33"/>
  <c r="DN102" i="33"/>
  <c r="DM102" i="33"/>
  <c r="DL102" i="33"/>
  <c r="DL155" i="33" s="1"/>
  <c r="DK102" i="33"/>
  <c r="DJ102" i="33"/>
  <c r="DI102" i="33"/>
  <c r="DH102" i="33"/>
  <c r="DH155" i="33" s="1"/>
  <c r="DG102" i="33"/>
  <c r="DF102" i="33"/>
  <c r="DE102" i="33"/>
  <c r="EB101" i="33"/>
  <c r="EB154" i="33" s="1"/>
  <c r="EA101" i="33"/>
  <c r="DZ101" i="33"/>
  <c r="DY101" i="33"/>
  <c r="DX101" i="33"/>
  <c r="DX154" i="33" s="1"/>
  <c r="DW101" i="33"/>
  <c r="DV101" i="33"/>
  <c r="DU101" i="33"/>
  <c r="DT101" i="33"/>
  <c r="DT154" i="33" s="1"/>
  <c r="DS101" i="33"/>
  <c r="DR101" i="33"/>
  <c r="DQ101" i="33"/>
  <c r="DP101" i="33"/>
  <c r="DP154" i="33" s="1"/>
  <c r="DO101" i="33"/>
  <c r="DN101" i="33"/>
  <c r="DM101" i="33"/>
  <c r="DL101" i="33"/>
  <c r="DL154" i="33" s="1"/>
  <c r="DK101" i="33"/>
  <c r="DJ101" i="33"/>
  <c r="DI101" i="33"/>
  <c r="DH101" i="33"/>
  <c r="DH154" i="33" s="1"/>
  <c r="DG101" i="33"/>
  <c r="DF101" i="33"/>
  <c r="DE101" i="33"/>
  <c r="EB100" i="33"/>
  <c r="EB153" i="33" s="1"/>
  <c r="EA100" i="33"/>
  <c r="DZ100" i="33"/>
  <c r="DY100" i="33"/>
  <c r="DX100" i="33"/>
  <c r="DX153" i="33" s="1"/>
  <c r="DW100" i="33"/>
  <c r="DV100" i="33"/>
  <c r="DU100" i="33"/>
  <c r="DT100" i="33"/>
  <c r="DT153" i="33" s="1"/>
  <c r="DS100" i="33"/>
  <c r="DR100" i="33"/>
  <c r="DQ100" i="33"/>
  <c r="DP100" i="33"/>
  <c r="DP153" i="33" s="1"/>
  <c r="DO100" i="33"/>
  <c r="DN100" i="33"/>
  <c r="DM100" i="33"/>
  <c r="DL100" i="33"/>
  <c r="DL153" i="33" s="1"/>
  <c r="DK100" i="33"/>
  <c r="DJ100" i="33"/>
  <c r="DI100" i="33"/>
  <c r="DH100" i="33"/>
  <c r="DH153" i="33" s="1"/>
  <c r="DG100" i="33"/>
  <c r="DF100" i="33"/>
  <c r="DE100" i="33"/>
  <c r="EB99" i="33"/>
  <c r="EB152" i="33" s="1"/>
  <c r="EA99" i="33"/>
  <c r="DZ99" i="33"/>
  <c r="DY99" i="33"/>
  <c r="DX99" i="33"/>
  <c r="DX152" i="33" s="1"/>
  <c r="DW99" i="33"/>
  <c r="DV99" i="33"/>
  <c r="DU99" i="33"/>
  <c r="DT99" i="33"/>
  <c r="DT152" i="33" s="1"/>
  <c r="DS99" i="33"/>
  <c r="DR99" i="33"/>
  <c r="DQ99" i="33"/>
  <c r="DP99" i="33"/>
  <c r="DP152" i="33" s="1"/>
  <c r="DO99" i="33"/>
  <c r="DN99" i="33"/>
  <c r="DM99" i="33"/>
  <c r="DL99" i="33"/>
  <c r="DL152" i="33" s="1"/>
  <c r="DK99" i="33"/>
  <c r="DJ99" i="33"/>
  <c r="DI99" i="33"/>
  <c r="DH99" i="33"/>
  <c r="DH152" i="33" s="1"/>
  <c r="DG99" i="33"/>
  <c r="DF99" i="33"/>
  <c r="DE99" i="33"/>
  <c r="EB98" i="33"/>
  <c r="EB151" i="33" s="1"/>
  <c r="EA98" i="33"/>
  <c r="DZ98" i="33"/>
  <c r="DY98" i="33"/>
  <c r="DX98" i="33"/>
  <c r="DX151" i="33" s="1"/>
  <c r="DW98" i="33"/>
  <c r="DV98" i="33"/>
  <c r="DU98" i="33"/>
  <c r="DT98" i="33"/>
  <c r="DT151" i="33" s="1"/>
  <c r="DS98" i="33"/>
  <c r="DR98" i="33"/>
  <c r="DQ98" i="33"/>
  <c r="DP98" i="33"/>
  <c r="DP151" i="33" s="1"/>
  <c r="DO98" i="33"/>
  <c r="DN98" i="33"/>
  <c r="DM98" i="33"/>
  <c r="DL98" i="33"/>
  <c r="DL151" i="33" s="1"/>
  <c r="DK98" i="33"/>
  <c r="DJ98" i="33"/>
  <c r="DI98" i="33"/>
  <c r="DH98" i="33"/>
  <c r="DH151" i="33" s="1"/>
  <c r="DG98" i="33"/>
  <c r="DF98" i="33"/>
  <c r="DE98" i="33"/>
  <c r="DC73" i="33"/>
  <c r="DC72" i="33"/>
  <c r="DC71" i="33"/>
  <c r="DC70" i="33"/>
  <c r="DC69" i="33"/>
  <c r="DC68" i="33"/>
  <c r="DC67" i="33"/>
  <c r="DC66" i="33"/>
  <c r="DC89" i="33" s="1"/>
  <c r="DC153" i="33" s="1"/>
  <c r="DC65" i="33"/>
  <c r="DC64" i="33"/>
  <c r="AE114" i="33"/>
  <c r="AD114" i="33"/>
  <c r="AC114" i="33"/>
  <c r="AB114" i="33"/>
  <c r="AA114" i="33"/>
  <c r="Z114" i="33"/>
  <c r="Y114" i="33"/>
  <c r="X114" i="33"/>
  <c r="W114" i="33"/>
  <c r="V114" i="33"/>
  <c r="U114" i="33"/>
  <c r="T114" i="33"/>
  <c r="S114" i="33"/>
  <c r="R114" i="33"/>
  <c r="Q114" i="33"/>
  <c r="P114" i="33"/>
  <c r="O114" i="33"/>
  <c r="N114" i="33"/>
  <c r="M114" i="33"/>
  <c r="L114" i="33"/>
  <c r="K114" i="33"/>
  <c r="J114" i="33"/>
  <c r="I114" i="33"/>
  <c r="H114" i="33"/>
  <c r="AE113" i="33"/>
  <c r="AD113" i="33"/>
  <c r="AC113" i="33"/>
  <c r="AB113" i="33"/>
  <c r="AA113" i="33"/>
  <c r="Z113" i="33"/>
  <c r="Y113" i="33"/>
  <c r="X113" i="33"/>
  <c r="W113" i="33"/>
  <c r="V113" i="33"/>
  <c r="U113" i="33"/>
  <c r="T113" i="33"/>
  <c r="S113" i="33"/>
  <c r="R113" i="33"/>
  <c r="Q113" i="33"/>
  <c r="P113" i="33"/>
  <c r="O113" i="33"/>
  <c r="N113" i="33"/>
  <c r="M113" i="33"/>
  <c r="L113" i="33"/>
  <c r="K113" i="33"/>
  <c r="J113" i="33"/>
  <c r="I113" i="33"/>
  <c r="H113" i="33"/>
  <c r="AE112" i="33"/>
  <c r="AD112" i="33"/>
  <c r="AC112" i="33"/>
  <c r="AB112" i="33"/>
  <c r="AA112" i="33"/>
  <c r="Z112" i="33"/>
  <c r="Y112" i="33"/>
  <c r="X112" i="33"/>
  <c r="W112" i="33"/>
  <c r="V112" i="33"/>
  <c r="U112" i="33"/>
  <c r="T112" i="33"/>
  <c r="S112" i="33"/>
  <c r="R112" i="33"/>
  <c r="Q112" i="33"/>
  <c r="P112" i="33"/>
  <c r="O112" i="33"/>
  <c r="N112" i="33"/>
  <c r="M112" i="33"/>
  <c r="L112" i="33"/>
  <c r="K112" i="33"/>
  <c r="J112" i="33"/>
  <c r="I112" i="33"/>
  <c r="H112" i="33"/>
  <c r="AE111" i="33"/>
  <c r="AD111" i="33"/>
  <c r="AC111" i="33"/>
  <c r="AB111" i="33"/>
  <c r="AA111" i="33"/>
  <c r="Z111" i="33"/>
  <c r="Y111" i="33"/>
  <c r="X111" i="33"/>
  <c r="W111" i="33"/>
  <c r="V111" i="33"/>
  <c r="U111" i="33"/>
  <c r="T111" i="33"/>
  <c r="S111" i="33"/>
  <c r="R111" i="33"/>
  <c r="Q111" i="33"/>
  <c r="P111" i="33"/>
  <c r="O111" i="33"/>
  <c r="N111" i="33"/>
  <c r="M111" i="33"/>
  <c r="L111" i="33"/>
  <c r="K111" i="33"/>
  <c r="J111" i="33"/>
  <c r="I111" i="33"/>
  <c r="H111" i="33"/>
  <c r="AE110" i="33"/>
  <c r="AD110" i="33"/>
  <c r="AC110" i="33"/>
  <c r="AB110" i="33"/>
  <c r="AA110" i="33"/>
  <c r="Z110" i="33"/>
  <c r="Y110" i="33"/>
  <c r="X110" i="33"/>
  <c r="W110" i="33"/>
  <c r="V110" i="33"/>
  <c r="U110" i="33"/>
  <c r="T110" i="33"/>
  <c r="S110" i="33"/>
  <c r="R110" i="33"/>
  <c r="Q110" i="33"/>
  <c r="P110" i="33"/>
  <c r="O110" i="33"/>
  <c r="N110" i="33"/>
  <c r="M110" i="33"/>
  <c r="L110" i="33"/>
  <c r="K110" i="33"/>
  <c r="J110" i="33"/>
  <c r="I110" i="33"/>
  <c r="H110" i="33"/>
  <c r="AE109" i="33"/>
  <c r="AD109" i="33"/>
  <c r="AC109" i="33"/>
  <c r="AB109" i="33"/>
  <c r="AA109" i="33"/>
  <c r="Z109" i="33"/>
  <c r="Y109" i="33"/>
  <c r="X109" i="33"/>
  <c r="W109" i="33"/>
  <c r="V109" i="33"/>
  <c r="U109" i="33"/>
  <c r="T109" i="33"/>
  <c r="S109" i="33"/>
  <c r="R109" i="33"/>
  <c r="Q109" i="33"/>
  <c r="P109" i="33"/>
  <c r="O109" i="33"/>
  <c r="N109" i="33"/>
  <c r="M109" i="33"/>
  <c r="L109" i="33"/>
  <c r="K109" i="33"/>
  <c r="J109" i="33"/>
  <c r="I109" i="33"/>
  <c r="H109" i="33"/>
  <c r="AE108" i="33"/>
  <c r="AD108" i="33"/>
  <c r="AC108" i="33"/>
  <c r="AB108" i="33"/>
  <c r="AA108" i="33"/>
  <c r="Z108" i="33"/>
  <c r="Y108" i="33"/>
  <c r="X108" i="33"/>
  <c r="W108" i="33"/>
  <c r="V108" i="33"/>
  <c r="U108" i="33"/>
  <c r="T108" i="33"/>
  <c r="S108" i="33"/>
  <c r="R108" i="33"/>
  <c r="Q108" i="33"/>
  <c r="P108" i="33"/>
  <c r="O108" i="33"/>
  <c r="N108" i="33"/>
  <c r="M108" i="33"/>
  <c r="L108" i="33"/>
  <c r="K108" i="33"/>
  <c r="J108" i="33"/>
  <c r="I108" i="33"/>
  <c r="H108" i="33"/>
  <c r="AE107" i="33"/>
  <c r="AD107" i="33"/>
  <c r="AC107" i="33"/>
  <c r="AB107" i="33"/>
  <c r="AA107" i="33"/>
  <c r="Z107" i="33"/>
  <c r="Y107" i="33"/>
  <c r="X107" i="33"/>
  <c r="W107" i="33"/>
  <c r="V107" i="33"/>
  <c r="U107" i="33"/>
  <c r="T107" i="33"/>
  <c r="S107" i="33"/>
  <c r="R107" i="33"/>
  <c r="Q107" i="33"/>
  <c r="P107" i="33"/>
  <c r="O107" i="33"/>
  <c r="N107" i="33"/>
  <c r="M107" i="33"/>
  <c r="L107" i="33"/>
  <c r="K107" i="33"/>
  <c r="J107" i="33"/>
  <c r="I107" i="33"/>
  <c r="H107" i="33"/>
  <c r="AE106" i="33"/>
  <c r="AD106" i="33"/>
  <c r="AC106" i="33"/>
  <c r="AB106" i="33"/>
  <c r="AA106" i="33"/>
  <c r="Z106" i="33"/>
  <c r="Y106" i="33"/>
  <c r="X106" i="33"/>
  <c r="W106" i="33"/>
  <c r="V106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H106" i="33"/>
  <c r="AE105" i="33"/>
  <c r="AD105" i="33"/>
  <c r="AC105" i="33"/>
  <c r="AB105" i="33"/>
  <c r="AA105" i="33"/>
  <c r="Z105" i="33"/>
  <c r="Y105" i="33"/>
  <c r="X105" i="33"/>
  <c r="W105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CY118" i="33"/>
  <c r="CX118" i="33"/>
  <c r="CW118" i="33"/>
  <c r="CV118" i="33"/>
  <c r="CU118" i="33"/>
  <c r="CT118" i="33"/>
  <c r="CS118" i="33"/>
  <c r="CR118" i="33"/>
  <c r="CQ118" i="33"/>
  <c r="CP118" i="33"/>
  <c r="CO118" i="33"/>
  <c r="CN118" i="33"/>
  <c r="CM118" i="33"/>
  <c r="CL118" i="33"/>
  <c r="CK118" i="33"/>
  <c r="CJ118" i="33"/>
  <c r="CI118" i="33"/>
  <c r="CH118" i="33"/>
  <c r="CG118" i="33"/>
  <c r="CF118" i="33"/>
  <c r="CE118" i="33"/>
  <c r="CD118" i="33"/>
  <c r="CC118" i="33"/>
  <c r="CB118" i="33"/>
  <c r="CY117" i="33"/>
  <c r="CX117" i="33"/>
  <c r="CW117" i="33"/>
  <c r="CV117" i="33"/>
  <c r="CU117" i="33"/>
  <c r="CT117" i="33"/>
  <c r="CS117" i="33"/>
  <c r="CR117" i="33"/>
  <c r="CQ117" i="33"/>
  <c r="CP117" i="33"/>
  <c r="CO117" i="33"/>
  <c r="CN117" i="33"/>
  <c r="CM117" i="33"/>
  <c r="CL117" i="33"/>
  <c r="CK117" i="33"/>
  <c r="CJ117" i="33"/>
  <c r="CI117" i="33"/>
  <c r="CH117" i="33"/>
  <c r="CG117" i="33"/>
  <c r="CF117" i="33"/>
  <c r="CE117" i="33"/>
  <c r="CD117" i="33"/>
  <c r="CC117" i="33"/>
  <c r="CB117" i="33"/>
  <c r="CY116" i="33"/>
  <c r="CX116" i="33"/>
  <c r="CW116" i="33"/>
  <c r="CV116" i="33"/>
  <c r="CU116" i="33"/>
  <c r="CT116" i="33"/>
  <c r="CS116" i="33"/>
  <c r="CR116" i="33"/>
  <c r="CQ116" i="33"/>
  <c r="CP116" i="33"/>
  <c r="CO116" i="33"/>
  <c r="CN116" i="33"/>
  <c r="CM116" i="33"/>
  <c r="CL116" i="33"/>
  <c r="CK116" i="33"/>
  <c r="CJ116" i="33"/>
  <c r="CI116" i="33"/>
  <c r="CH116" i="33"/>
  <c r="CG116" i="33"/>
  <c r="CF116" i="33"/>
  <c r="CE116" i="33"/>
  <c r="CD116" i="33"/>
  <c r="CC116" i="33"/>
  <c r="CB116" i="33"/>
  <c r="CY115" i="33"/>
  <c r="CX115" i="33"/>
  <c r="CW115" i="33"/>
  <c r="CV115" i="33"/>
  <c r="CU115" i="33"/>
  <c r="CT115" i="33"/>
  <c r="CS115" i="33"/>
  <c r="CR115" i="33"/>
  <c r="CQ115" i="33"/>
  <c r="CP115" i="33"/>
  <c r="CO115" i="33"/>
  <c r="CN115" i="33"/>
  <c r="CM115" i="33"/>
  <c r="CL115" i="33"/>
  <c r="CK115" i="33"/>
  <c r="CJ115" i="33"/>
  <c r="CI115" i="33"/>
  <c r="CH115" i="33"/>
  <c r="CG115" i="33"/>
  <c r="CF115" i="33"/>
  <c r="CE115" i="33"/>
  <c r="CD115" i="33"/>
  <c r="CC115" i="33"/>
  <c r="CB115" i="33"/>
  <c r="CY114" i="33"/>
  <c r="CX114" i="33"/>
  <c r="CW114" i="33"/>
  <c r="CV114" i="33"/>
  <c r="CU114" i="33"/>
  <c r="CT114" i="33"/>
  <c r="CS114" i="33"/>
  <c r="CR114" i="33"/>
  <c r="CQ114" i="33"/>
  <c r="CP114" i="33"/>
  <c r="CO114" i="33"/>
  <c r="CN114" i="33"/>
  <c r="CM114" i="33"/>
  <c r="CL114" i="33"/>
  <c r="CK114" i="33"/>
  <c r="CJ114" i="33"/>
  <c r="CI114" i="33"/>
  <c r="CH114" i="33"/>
  <c r="CG114" i="33"/>
  <c r="CF114" i="33"/>
  <c r="CE114" i="33"/>
  <c r="CD114" i="33"/>
  <c r="CC114" i="33"/>
  <c r="CB114" i="33"/>
  <c r="CY113" i="33"/>
  <c r="CX113" i="33"/>
  <c r="CW113" i="33"/>
  <c r="CV113" i="33"/>
  <c r="CU113" i="33"/>
  <c r="CT113" i="33"/>
  <c r="CS113" i="33"/>
  <c r="CR113" i="33"/>
  <c r="CQ113" i="33"/>
  <c r="CP113" i="33"/>
  <c r="CO113" i="33"/>
  <c r="CN113" i="33"/>
  <c r="CM113" i="33"/>
  <c r="CL113" i="33"/>
  <c r="CK113" i="33"/>
  <c r="CJ113" i="33"/>
  <c r="CI113" i="33"/>
  <c r="CH113" i="33"/>
  <c r="CG113" i="33"/>
  <c r="CF113" i="33"/>
  <c r="CE113" i="33"/>
  <c r="CD113" i="33"/>
  <c r="CC113" i="33"/>
  <c r="CB113" i="33"/>
  <c r="CY112" i="33"/>
  <c r="CX112" i="33"/>
  <c r="CW112" i="33"/>
  <c r="CV112" i="33"/>
  <c r="CU112" i="33"/>
  <c r="CT112" i="33"/>
  <c r="CS112" i="33"/>
  <c r="CR112" i="33"/>
  <c r="CQ112" i="33"/>
  <c r="CP112" i="33"/>
  <c r="CO112" i="33"/>
  <c r="CN112" i="33"/>
  <c r="CM112" i="33"/>
  <c r="CL112" i="33"/>
  <c r="CK112" i="33"/>
  <c r="CJ112" i="33"/>
  <c r="CI112" i="33"/>
  <c r="CH112" i="33"/>
  <c r="CG112" i="33"/>
  <c r="CF112" i="33"/>
  <c r="CE112" i="33"/>
  <c r="CD112" i="33"/>
  <c r="CC112" i="33"/>
  <c r="CB112" i="33"/>
  <c r="CY111" i="33"/>
  <c r="CX111" i="33"/>
  <c r="CW111" i="33"/>
  <c r="CV111" i="33"/>
  <c r="CU111" i="33"/>
  <c r="CT111" i="33"/>
  <c r="CS111" i="33"/>
  <c r="CR111" i="33"/>
  <c r="CQ111" i="33"/>
  <c r="CP111" i="33"/>
  <c r="CO111" i="33"/>
  <c r="CN111" i="33"/>
  <c r="CM111" i="33"/>
  <c r="CL111" i="33"/>
  <c r="CK111" i="33"/>
  <c r="CJ111" i="33"/>
  <c r="CI111" i="33"/>
  <c r="CH111" i="33"/>
  <c r="CG111" i="33"/>
  <c r="CF111" i="33"/>
  <c r="CE111" i="33"/>
  <c r="CD111" i="33"/>
  <c r="CC111" i="33"/>
  <c r="CB111" i="33"/>
  <c r="CY110" i="33"/>
  <c r="CX110" i="33"/>
  <c r="CW110" i="33"/>
  <c r="CV110" i="33"/>
  <c r="CU110" i="33"/>
  <c r="CT110" i="33"/>
  <c r="CS110" i="33"/>
  <c r="CR110" i="33"/>
  <c r="CQ110" i="33"/>
  <c r="CP110" i="33"/>
  <c r="CO110" i="33"/>
  <c r="CN110" i="33"/>
  <c r="CM110" i="33"/>
  <c r="CL110" i="33"/>
  <c r="CK110" i="33"/>
  <c r="CJ110" i="33"/>
  <c r="CI110" i="33"/>
  <c r="CH110" i="33"/>
  <c r="CG110" i="33"/>
  <c r="CF110" i="33"/>
  <c r="CE110" i="33"/>
  <c r="CD110" i="33"/>
  <c r="CC110" i="33"/>
  <c r="CB110" i="33"/>
  <c r="CY109" i="33"/>
  <c r="CX109" i="33"/>
  <c r="CW109" i="33"/>
  <c r="CV109" i="33"/>
  <c r="CU109" i="33"/>
  <c r="CT109" i="33"/>
  <c r="CS109" i="33"/>
  <c r="CR109" i="33"/>
  <c r="CQ109" i="33"/>
  <c r="CP109" i="33"/>
  <c r="CO109" i="33"/>
  <c r="CN109" i="33"/>
  <c r="CM109" i="33"/>
  <c r="CL109" i="33"/>
  <c r="CK109" i="33"/>
  <c r="CJ109" i="33"/>
  <c r="CI109" i="33"/>
  <c r="CH109" i="33"/>
  <c r="CG109" i="33"/>
  <c r="CF109" i="33"/>
  <c r="CE109" i="33"/>
  <c r="CD109" i="33"/>
  <c r="CC109" i="33"/>
  <c r="CB109" i="33"/>
  <c r="CY107" i="33"/>
  <c r="CX107" i="33"/>
  <c r="CX159" i="33" s="1"/>
  <c r="CW107" i="33"/>
  <c r="CW159" i="33" s="1"/>
  <c r="CV107" i="33"/>
  <c r="CV159" i="33" s="1"/>
  <c r="CU107" i="33"/>
  <c r="CT107" i="33"/>
  <c r="CS107" i="33"/>
  <c r="CR107" i="33"/>
  <c r="CR159" i="33" s="1"/>
  <c r="CQ107" i="33"/>
  <c r="CP107" i="33"/>
  <c r="CP159" i="33" s="1"/>
  <c r="CO107" i="33"/>
  <c r="CO159" i="33" s="1"/>
  <c r="CN107" i="33"/>
  <c r="CN159" i="33" s="1"/>
  <c r="CM107" i="33"/>
  <c r="CL107" i="33"/>
  <c r="CK107" i="33"/>
  <c r="CJ107" i="33"/>
  <c r="CJ159" i="33" s="1"/>
  <c r="CI107" i="33"/>
  <c r="CH107" i="33"/>
  <c r="CH159" i="33" s="1"/>
  <c r="CG107" i="33"/>
  <c r="CG159" i="33" s="1"/>
  <c r="CF107" i="33"/>
  <c r="CF159" i="33" s="1"/>
  <c r="CE107" i="33"/>
  <c r="CD107" i="33"/>
  <c r="CC107" i="33"/>
  <c r="CB107" i="33"/>
  <c r="CB159" i="33" s="1"/>
  <c r="CY106" i="33"/>
  <c r="CX106" i="33"/>
  <c r="CX158" i="33" s="1"/>
  <c r="CW106" i="33"/>
  <c r="CW158" i="33" s="1"/>
  <c r="CV106" i="33"/>
  <c r="CV158" i="33" s="1"/>
  <c r="CU106" i="33"/>
  <c r="CT106" i="33"/>
  <c r="CS106" i="33"/>
  <c r="CR106" i="33"/>
  <c r="CR158" i="33" s="1"/>
  <c r="CQ106" i="33"/>
  <c r="CP106" i="33"/>
  <c r="CP158" i="33" s="1"/>
  <c r="CO106" i="33"/>
  <c r="CO158" i="33" s="1"/>
  <c r="CN106" i="33"/>
  <c r="CN158" i="33" s="1"/>
  <c r="CM106" i="33"/>
  <c r="CL106" i="33"/>
  <c r="CK106" i="33"/>
  <c r="CJ106" i="33"/>
  <c r="CJ158" i="33" s="1"/>
  <c r="CI106" i="33"/>
  <c r="CH106" i="33"/>
  <c r="CH158" i="33" s="1"/>
  <c r="CG106" i="33"/>
  <c r="CG158" i="33" s="1"/>
  <c r="CF106" i="33"/>
  <c r="CF158" i="33" s="1"/>
  <c r="CE106" i="33"/>
  <c r="CD106" i="33"/>
  <c r="CC106" i="33"/>
  <c r="CB106" i="33"/>
  <c r="CB158" i="33" s="1"/>
  <c r="CY105" i="33"/>
  <c r="CX105" i="33"/>
  <c r="CW105" i="33"/>
  <c r="CW157" i="33" s="1"/>
  <c r="CV105" i="33"/>
  <c r="CV157" i="33" s="1"/>
  <c r="CU105" i="33"/>
  <c r="CT105" i="33"/>
  <c r="CS105" i="33"/>
  <c r="CR105" i="33"/>
  <c r="CR157" i="33" s="1"/>
  <c r="CQ105" i="33"/>
  <c r="CP105" i="33"/>
  <c r="CO105" i="33"/>
  <c r="CO157" i="33" s="1"/>
  <c r="CN105" i="33"/>
  <c r="CN157" i="33" s="1"/>
  <c r="CM105" i="33"/>
  <c r="CL105" i="33"/>
  <c r="CK105" i="33"/>
  <c r="CJ105" i="33"/>
  <c r="CJ157" i="33" s="1"/>
  <c r="CI105" i="33"/>
  <c r="CH105" i="33"/>
  <c r="CG105" i="33"/>
  <c r="CG157" i="33" s="1"/>
  <c r="CF105" i="33"/>
  <c r="CF157" i="33" s="1"/>
  <c r="CE105" i="33"/>
  <c r="CD105" i="33"/>
  <c r="CC105" i="33"/>
  <c r="CB105" i="33"/>
  <c r="CB157" i="33" s="1"/>
  <c r="CY104" i="33"/>
  <c r="CX104" i="33"/>
  <c r="CW104" i="33"/>
  <c r="CV104" i="33"/>
  <c r="CU104" i="33"/>
  <c r="CT104" i="33"/>
  <c r="CS104" i="33"/>
  <c r="CR104" i="33"/>
  <c r="CQ104" i="33"/>
  <c r="CP104" i="33"/>
  <c r="CO104" i="33"/>
  <c r="CN104" i="33"/>
  <c r="CM104" i="33"/>
  <c r="CL104" i="33"/>
  <c r="CK104" i="33"/>
  <c r="CJ104" i="33"/>
  <c r="CI104" i="33"/>
  <c r="CH104" i="33"/>
  <c r="CG104" i="33"/>
  <c r="CF104" i="33"/>
  <c r="CE104" i="33"/>
  <c r="CD104" i="33"/>
  <c r="CC104" i="33"/>
  <c r="CB104" i="33"/>
  <c r="CY103" i="33"/>
  <c r="CX103" i="33"/>
  <c r="CW103" i="33"/>
  <c r="CW156" i="33" s="1"/>
  <c r="CV103" i="33"/>
  <c r="CV156" i="33" s="1"/>
  <c r="CU103" i="33"/>
  <c r="CT103" i="33"/>
  <c r="CS103" i="33"/>
  <c r="CR103" i="33"/>
  <c r="CR156" i="33" s="1"/>
  <c r="CQ103" i="33"/>
  <c r="CP103" i="33"/>
  <c r="CO103" i="33"/>
  <c r="CO156" i="33" s="1"/>
  <c r="CN103" i="33"/>
  <c r="CN156" i="33" s="1"/>
  <c r="CM103" i="33"/>
  <c r="CL103" i="33"/>
  <c r="CK103" i="33"/>
  <c r="CJ103" i="33"/>
  <c r="CJ156" i="33" s="1"/>
  <c r="CI103" i="33"/>
  <c r="CH103" i="33"/>
  <c r="CG103" i="33"/>
  <c r="CG156" i="33" s="1"/>
  <c r="CF103" i="33"/>
  <c r="CF156" i="33" s="1"/>
  <c r="CE103" i="33"/>
  <c r="CD103" i="33"/>
  <c r="CC103" i="33"/>
  <c r="CB103" i="33"/>
  <c r="CB156" i="33" s="1"/>
  <c r="CY102" i="33"/>
  <c r="CX102" i="33"/>
  <c r="CW102" i="33"/>
  <c r="CV102" i="33"/>
  <c r="CV155" i="33" s="1"/>
  <c r="CU102" i="33"/>
  <c r="CT102" i="33"/>
  <c r="CS102" i="33"/>
  <c r="CR102" i="33"/>
  <c r="CR155" i="33" s="1"/>
  <c r="CQ102" i="33"/>
  <c r="CP102" i="33"/>
  <c r="CO102" i="33"/>
  <c r="CN102" i="33"/>
  <c r="CN155" i="33" s="1"/>
  <c r="CM102" i="33"/>
  <c r="CL102" i="33"/>
  <c r="CK102" i="33"/>
  <c r="CJ102" i="33"/>
  <c r="CJ155" i="33" s="1"/>
  <c r="CI102" i="33"/>
  <c r="CH102" i="33"/>
  <c r="CG102" i="33"/>
  <c r="CF102" i="33"/>
  <c r="CF155" i="33" s="1"/>
  <c r="CE102" i="33"/>
  <c r="CD102" i="33"/>
  <c r="CC102" i="33"/>
  <c r="CB102" i="33"/>
  <c r="CB155" i="33" s="1"/>
  <c r="CY101" i="33"/>
  <c r="CX101" i="33"/>
  <c r="CW101" i="33"/>
  <c r="CV101" i="33"/>
  <c r="CV154" i="33" s="1"/>
  <c r="CU101" i="33"/>
  <c r="CT101" i="33"/>
  <c r="CS101" i="33"/>
  <c r="CR101" i="33"/>
  <c r="CR154" i="33" s="1"/>
  <c r="CQ101" i="33"/>
  <c r="CP101" i="33"/>
  <c r="CO101" i="33"/>
  <c r="CN101" i="33"/>
  <c r="CN154" i="33" s="1"/>
  <c r="CM101" i="33"/>
  <c r="CL101" i="33"/>
  <c r="CK101" i="33"/>
  <c r="CJ101" i="33"/>
  <c r="CJ154" i="33" s="1"/>
  <c r="CI101" i="33"/>
  <c r="CH101" i="33"/>
  <c r="CG101" i="33"/>
  <c r="CF101" i="33"/>
  <c r="CF154" i="33" s="1"/>
  <c r="CE101" i="33"/>
  <c r="CD101" i="33"/>
  <c r="CC101" i="33"/>
  <c r="CB101" i="33"/>
  <c r="CB154" i="33" s="1"/>
  <c r="CY100" i="33"/>
  <c r="CX100" i="33"/>
  <c r="CW100" i="33"/>
  <c r="CW153" i="33" s="1"/>
  <c r="CV100" i="33"/>
  <c r="CV153" i="33" s="1"/>
  <c r="CU100" i="33"/>
  <c r="CT100" i="33"/>
  <c r="CS100" i="33"/>
  <c r="CR100" i="33"/>
  <c r="CR153" i="33" s="1"/>
  <c r="CQ100" i="33"/>
  <c r="CP100" i="33"/>
  <c r="CO100" i="33"/>
  <c r="CO153" i="33" s="1"/>
  <c r="CN100" i="33"/>
  <c r="CN153" i="33" s="1"/>
  <c r="CM100" i="33"/>
  <c r="CL100" i="33"/>
  <c r="CK100" i="33"/>
  <c r="CJ100" i="33"/>
  <c r="CJ153" i="33" s="1"/>
  <c r="CI100" i="33"/>
  <c r="CH100" i="33"/>
  <c r="CG100" i="33"/>
  <c r="CG153" i="33" s="1"/>
  <c r="CF100" i="33"/>
  <c r="CF153" i="33" s="1"/>
  <c r="CE100" i="33"/>
  <c r="CD100" i="33"/>
  <c r="CC100" i="33"/>
  <c r="CB100" i="33"/>
  <c r="CB153" i="33" s="1"/>
  <c r="CY99" i="33"/>
  <c r="CX99" i="33"/>
  <c r="CW99" i="33"/>
  <c r="CW152" i="33" s="1"/>
  <c r="CV99" i="33"/>
  <c r="CV152" i="33" s="1"/>
  <c r="CU99" i="33"/>
  <c r="CT99" i="33"/>
  <c r="CS99" i="33"/>
  <c r="CR99" i="33"/>
  <c r="CR152" i="33" s="1"/>
  <c r="CQ99" i="33"/>
  <c r="CP99" i="33"/>
  <c r="CO99" i="33"/>
  <c r="CO152" i="33" s="1"/>
  <c r="CN99" i="33"/>
  <c r="CN152" i="33" s="1"/>
  <c r="CM99" i="33"/>
  <c r="CL99" i="33"/>
  <c r="CK99" i="33"/>
  <c r="CJ99" i="33"/>
  <c r="CJ152" i="33" s="1"/>
  <c r="CI99" i="33"/>
  <c r="CH99" i="33"/>
  <c r="CG99" i="33"/>
  <c r="CG152" i="33" s="1"/>
  <c r="CF99" i="33"/>
  <c r="CF152" i="33" s="1"/>
  <c r="CE99" i="33"/>
  <c r="CD99" i="33"/>
  <c r="CC99" i="33"/>
  <c r="CB99" i="33"/>
  <c r="CB152" i="33" s="1"/>
  <c r="CY98" i="33"/>
  <c r="CX98" i="33"/>
  <c r="CW98" i="33"/>
  <c r="CW151" i="33" s="1"/>
  <c r="CV98" i="33"/>
  <c r="CV151" i="33" s="1"/>
  <c r="CU98" i="33"/>
  <c r="CT98" i="33"/>
  <c r="CS98" i="33"/>
  <c r="CR98" i="33"/>
  <c r="CR151" i="33" s="1"/>
  <c r="CQ98" i="33"/>
  <c r="CP98" i="33"/>
  <c r="CO98" i="33"/>
  <c r="CO151" i="33" s="1"/>
  <c r="CN98" i="33"/>
  <c r="CN151" i="33" s="1"/>
  <c r="CM98" i="33"/>
  <c r="CL98" i="33"/>
  <c r="CK98" i="33"/>
  <c r="CJ98" i="33"/>
  <c r="CJ151" i="33" s="1"/>
  <c r="CI98" i="33"/>
  <c r="CH98" i="33"/>
  <c r="CG98" i="33"/>
  <c r="CG151" i="33" s="1"/>
  <c r="CF98" i="33"/>
  <c r="CF151" i="33" s="1"/>
  <c r="CE98" i="33"/>
  <c r="CD98" i="33"/>
  <c r="CC98" i="33"/>
  <c r="CB98" i="33"/>
  <c r="CB151" i="33" s="1"/>
  <c r="BZ73" i="33"/>
  <c r="BZ72" i="33"/>
  <c r="BZ71" i="33"/>
  <c r="BZ82" i="33" s="1"/>
  <c r="BZ116" i="33" s="1"/>
  <c r="BZ70" i="33"/>
  <c r="BZ69" i="33"/>
  <c r="BZ68" i="33"/>
  <c r="BZ67" i="33"/>
  <c r="BZ66" i="33"/>
  <c r="BZ65" i="33"/>
  <c r="BZ64" i="33"/>
  <c r="AE103" i="33"/>
  <c r="AD103" i="33"/>
  <c r="AC103" i="33"/>
  <c r="AB103" i="33"/>
  <c r="AA103" i="33"/>
  <c r="Z103" i="33"/>
  <c r="Y103" i="33"/>
  <c r="X103" i="33"/>
  <c r="W103" i="33"/>
  <c r="V103" i="33"/>
  <c r="U103" i="33"/>
  <c r="T103" i="33"/>
  <c r="S103" i="33"/>
  <c r="R103" i="33"/>
  <c r="Q103" i="33"/>
  <c r="P103" i="33"/>
  <c r="O103" i="33"/>
  <c r="N103" i="33"/>
  <c r="M103" i="33"/>
  <c r="L103" i="33"/>
  <c r="K103" i="33"/>
  <c r="J103" i="33"/>
  <c r="I103" i="33"/>
  <c r="H103" i="33"/>
  <c r="AE102" i="33"/>
  <c r="AD102" i="33"/>
  <c r="AC102" i="33"/>
  <c r="AB102" i="33"/>
  <c r="AA102" i="33"/>
  <c r="Z102" i="33"/>
  <c r="Y102" i="33"/>
  <c r="X102" i="33"/>
  <c r="W102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AE101" i="33"/>
  <c r="AD101" i="33"/>
  <c r="AC101" i="33"/>
  <c r="AB101" i="33"/>
  <c r="AA101" i="33"/>
  <c r="Z101" i="33"/>
  <c r="Y101" i="33"/>
  <c r="X101" i="33"/>
  <c r="W101" i="33"/>
  <c r="V101" i="33"/>
  <c r="U101" i="33"/>
  <c r="T101" i="33"/>
  <c r="S101" i="33"/>
  <c r="R101" i="33"/>
  <c r="Q101" i="33"/>
  <c r="P101" i="33"/>
  <c r="O101" i="33"/>
  <c r="N101" i="33"/>
  <c r="M101" i="33"/>
  <c r="L101" i="33"/>
  <c r="K101" i="33"/>
  <c r="J101" i="33"/>
  <c r="I101" i="33"/>
  <c r="H101" i="33"/>
  <c r="AE100" i="33"/>
  <c r="AD100" i="33"/>
  <c r="AC100" i="33"/>
  <c r="AB100" i="33"/>
  <c r="AA100" i="33"/>
  <c r="Z100" i="33"/>
  <c r="Y100" i="33"/>
  <c r="X100" i="33"/>
  <c r="W100" i="33"/>
  <c r="V100" i="33"/>
  <c r="U100" i="33"/>
  <c r="T100" i="33"/>
  <c r="S100" i="33"/>
  <c r="R100" i="33"/>
  <c r="Q100" i="33"/>
  <c r="P100" i="33"/>
  <c r="O100" i="33"/>
  <c r="N100" i="33"/>
  <c r="M100" i="33"/>
  <c r="L100" i="33"/>
  <c r="K100" i="33"/>
  <c r="J100" i="33"/>
  <c r="I100" i="33"/>
  <c r="H100" i="33"/>
  <c r="AE99" i="33"/>
  <c r="AD99" i="33"/>
  <c r="AC99" i="33"/>
  <c r="AB99" i="33"/>
  <c r="AA99" i="33"/>
  <c r="Z99" i="33"/>
  <c r="Y99" i="33"/>
  <c r="X99" i="33"/>
  <c r="W99" i="33"/>
  <c r="V99" i="33"/>
  <c r="U99" i="33"/>
  <c r="T99" i="33"/>
  <c r="S99" i="33"/>
  <c r="R99" i="33"/>
  <c r="Q99" i="33"/>
  <c r="P99" i="33"/>
  <c r="O99" i="33"/>
  <c r="N99" i="33"/>
  <c r="M99" i="33"/>
  <c r="L99" i="33"/>
  <c r="K99" i="33"/>
  <c r="J99" i="33"/>
  <c r="I99" i="33"/>
  <c r="H99" i="33"/>
  <c r="AE98" i="33"/>
  <c r="AD98" i="33"/>
  <c r="AC98" i="33"/>
  <c r="AB98" i="33"/>
  <c r="AA98" i="33"/>
  <c r="Z98" i="33"/>
  <c r="Y98" i="33"/>
  <c r="X98" i="33"/>
  <c r="W98" i="33"/>
  <c r="V98" i="33"/>
  <c r="U98" i="33"/>
  <c r="T98" i="33"/>
  <c r="S98" i="33"/>
  <c r="R98" i="33"/>
  <c r="Q98" i="33"/>
  <c r="P98" i="33"/>
  <c r="O98" i="33"/>
  <c r="N98" i="33"/>
  <c r="M98" i="33"/>
  <c r="L98" i="33"/>
  <c r="K98" i="33"/>
  <c r="J98" i="33"/>
  <c r="I98" i="33"/>
  <c r="H98" i="33"/>
  <c r="AE97" i="33"/>
  <c r="AD97" i="33"/>
  <c r="AC97" i="33"/>
  <c r="AB97" i="33"/>
  <c r="AA97" i="33"/>
  <c r="Z97" i="33"/>
  <c r="Y97" i="33"/>
  <c r="X97" i="33"/>
  <c r="W97" i="33"/>
  <c r="V97" i="33"/>
  <c r="U97" i="33"/>
  <c r="T97" i="33"/>
  <c r="S97" i="33"/>
  <c r="R97" i="33"/>
  <c r="Q97" i="33"/>
  <c r="P97" i="33"/>
  <c r="O97" i="33"/>
  <c r="N97" i="33"/>
  <c r="M97" i="33"/>
  <c r="L97" i="33"/>
  <c r="K97" i="33"/>
  <c r="J97" i="33"/>
  <c r="I97" i="33"/>
  <c r="H97" i="33"/>
  <c r="AE96" i="33"/>
  <c r="AD96" i="33"/>
  <c r="AC96" i="33"/>
  <c r="AB96" i="33"/>
  <c r="AA96" i="33"/>
  <c r="Z96" i="33"/>
  <c r="Y96" i="33"/>
  <c r="X96" i="33"/>
  <c r="W96" i="33"/>
  <c r="V96" i="33"/>
  <c r="U96" i="33"/>
  <c r="T96" i="33"/>
  <c r="S96" i="33"/>
  <c r="R96" i="33"/>
  <c r="Q96" i="33"/>
  <c r="P96" i="33"/>
  <c r="O96" i="33"/>
  <c r="N96" i="33"/>
  <c r="M96" i="33"/>
  <c r="L96" i="33"/>
  <c r="K96" i="33"/>
  <c r="J96" i="33"/>
  <c r="I96" i="33"/>
  <c r="H96" i="33"/>
  <c r="AE95" i="33"/>
  <c r="AD95" i="33"/>
  <c r="AC95" i="33"/>
  <c r="AB95" i="33"/>
  <c r="AA95" i="33"/>
  <c r="Z95" i="33"/>
  <c r="Y95" i="33"/>
  <c r="X95" i="33"/>
  <c r="W95" i="33"/>
  <c r="V95" i="33"/>
  <c r="U95" i="33"/>
  <c r="T95" i="33"/>
  <c r="S95" i="33"/>
  <c r="R95" i="33"/>
  <c r="Q95" i="33"/>
  <c r="P95" i="33"/>
  <c r="O95" i="33"/>
  <c r="N95" i="33"/>
  <c r="M95" i="33"/>
  <c r="L95" i="33"/>
  <c r="K95" i="33"/>
  <c r="J95" i="33"/>
  <c r="I95" i="33"/>
  <c r="H95" i="33"/>
  <c r="AE94" i="33"/>
  <c r="AD94" i="33"/>
  <c r="AC94" i="33"/>
  <c r="AB94" i="33"/>
  <c r="AA94" i="33"/>
  <c r="Z94" i="33"/>
  <c r="Y94" i="33"/>
  <c r="X94" i="33"/>
  <c r="W94" i="33"/>
  <c r="V94" i="33"/>
  <c r="U94" i="33"/>
  <c r="T94" i="33"/>
  <c r="S94" i="33"/>
  <c r="R94" i="33"/>
  <c r="Q94" i="33"/>
  <c r="P94" i="33"/>
  <c r="O94" i="33"/>
  <c r="N94" i="33"/>
  <c r="M94" i="33"/>
  <c r="L94" i="33"/>
  <c r="K94" i="33"/>
  <c r="J94" i="33"/>
  <c r="I94" i="33"/>
  <c r="H94" i="33"/>
  <c r="BS118" i="33"/>
  <c r="BR118" i="33"/>
  <c r="BQ118" i="33"/>
  <c r="BP118" i="33"/>
  <c r="BO118" i="33"/>
  <c r="BN118" i="33"/>
  <c r="BM118" i="33"/>
  <c r="BL118" i="33"/>
  <c r="BK118" i="33"/>
  <c r="BJ118" i="33"/>
  <c r="BI118" i="33"/>
  <c r="BH118" i="33"/>
  <c r="BG118" i="33"/>
  <c r="BF118" i="33"/>
  <c r="BE118" i="33"/>
  <c r="BD118" i="33"/>
  <c r="BC118" i="33"/>
  <c r="BB118" i="33"/>
  <c r="BA118" i="33"/>
  <c r="AZ118" i="33"/>
  <c r="AY118" i="33"/>
  <c r="AX118" i="33"/>
  <c r="AW118" i="33"/>
  <c r="AV118" i="33"/>
  <c r="BS117" i="33"/>
  <c r="BR117" i="33"/>
  <c r="BQ117" i="33"/>
  <c r="BP117" i="33"/>
  <c r="BO117" i="33"/>
  <c r="BN117" i="33"/>
  <c r="BM117" i="33"/>
  <c r="BL117" i="33"/>
  <c r="BK117" i="33"/>
  <c r="BJ117" i="33"/>
  <c r="BI117" i="33"/>
  <c r="BH117" i="33"/>
  <c r="BG117" i="33"/>
  <c r="BF117" i="33"/>
  <c r="BE117" i="33"/>
  <c r="BD117" i="33"/>
  <c r="BC117" i="33"/>
  <c r="BB117" i="33"/>
  <c r="BA117" i="33"/>
  <c r="AZ117" i="33"/>
  <c r="AY117" i="33"/>
  <c r="AX117" i="33"/>
  <c r="AW117" i="33"/>
  <c r="AV117" i="33"/>
  <c r="BS116" i="33"/>
  <c r="BR116" i="33"/>
  <c r="BQ116" i="33"/>
  <c r="BP116" i="33"/>
  <c r="BO116" i="33"/>
  <c r="BN116" i="33"/>
  <c r="BM116" i="33"/>
  <c r="BL116" i="33"/>
  <c r="BK116" i="33"/>
  <c r="BJ116" i="33"/>
  <c r="BI116" i="33"/>
  <c r="BH116" i="33"/>
  <c r="BG116" i="33"/>
  <c r="BF116" i="33"/>
  <c r="BE116" i="33"/>
  <c r="BD116" i="33"/>
  <c r="BC116" i="33"/>
  <c r="BB116" i="33"/>
  <c r="BA116" i="33"/>
  <c r="AZ116" i="33"/>
  <c r="AY116" i="33"/>
  <c r="AX116" i="33"/>
  <c r="AW116" i="33"/>
  <c r="AV116" i="33"/>
  <c r="BS115" i="33"/>
  <c r="BR115" i="33"/>
  <c r="BQ115" i="33"/>
  <c r="BP115" i="33"/>
  <c r="BO115" i="33"/>
  <c r="BN115" i="33"/>
  <c r="BM115" i="33"/>
  <c r="BL115" i="33"/>
  <c r="BK115" i="33"/>
  <c r="BJ115" i="33"/>
  <c r="BI115" i="33"/>
  <c r="BH115" i="33"/>
  <c r="BG115" i="33"/>
  <c r="BF115" i="33"/>
  <c r="BE115" i="33"/>
  <c r="BD115" i="33"/>
  <c r="BC115" i="33"/>
  <c r="BB115" i="33"/>
  <c r="BA115" i="33"/>
  <c r="AZ115" i="33"/>
  <c r="AY115" i="33"/>
  <c r="AX115" i="33"/>
  <c r="AW115" i="33"/>
  <c r="AV115" i="33"/>
  <c r="BS114" i="33"/>
  <c r="BR114" i="33"/>
  <c r="BQ114" i="33"/>
  <c r="BP114" i="33"/>
  <c r="BO114" i="33"/>
  <c r="BN114" i="33"/>
  <c r="BM114" i="33"/>
  <c r="BL114" i="33"/>
  <c r="BK114" i="33"/>
  <c r="BJ114" i="33"/>
  <c r="BI114" i="33"/>
  <c r="BH114" i="33"/>
  <c r="BG114" i="33"/>
  <c r="BF114" i="33"/>
  <c r="BE114" i="33"/>
  <c r="BD114" i="33"/>
  <c r="BC114" i="33"/>
  <c r="BB114" i="33"/>
  <c r="BA114" i="33"/>
  <c r="AZ114" i="33"/>
  <c r="AY114" i="33"/>
  <c r="AX114" i="33"/>
  <c r="AW114" i="33"/>
  <c r="AV114" i="33"/>
  <c r="BS113" i="33"/>
  <c r="BR113" i="33"/>
  <c r="BQ113" i="33"/>
  <c r="BP113" i="33"/>
  <c r="BO113" i="33"/>
  <c r="BN113" i="33"/>
  <c r="BM113" i="33"/>
  <c r="BL113" i="33"/>
  <c r="BK113" i="33"/>
  <c r="BJ113" i="33"/>
  <c r="BI113" i="33"/>
  <c r="BH113" i="33"/>
  <c r="BG113" i="33"/>
  <c r="BF113" i="33"/>
  <c r="BE113" i="33"/>
  <c r="BD113" i="33"/>
  <c r="BC113" i="33"/>
  <c r="BB113" i="33"/>
  <c r="BA113" i="33"/>
  <c r="AZ113" i="33"/>
  <c r="AY113" i="33"/>
  <c r="AX113" i="33"/>
  <c r="AW113" i="33"/>
  <c r="AV113" i="33"/>
  <c r="BS112" i="33"/>
  <c r="BR112" i="33"/>
  <c r="BQ112" i="33"/>
  <c r="BP112" i="33"/>
  <c r="BO112" i="33"/>
  <c r="BN112" i="33"/>
  <c r="BM112" i="33"/>
  <c r="BL112" i="33"/>
  <c r="BK112" i="33"/>
  <c r="BJ112" i="33"/>
  <c r="BI112" i="33"/>
  <c r="BH112" i="33"/>
  <c r="BG112" i="33"/>
  <c r="BF112" i="33"/>
  <c r="BE112" i="33"/>
  <c r="BD112" i="33"/>
  <c r="BC112" i="33"/>
  <c r="BB112" i="33"/>
  <c r="BA112" i="33"/>
  <c r="AZ112" i="33"/>
  <c r="AY112" i="33"/>
  <c r="AX112" i="33"/>
  <c r="AW112" i="33"/>
  <c r="AV112" i="33"/>
  <c r="BS111" i="33"/>
  <c r="BR111" i="33"/>
  <c r="BQ111" i="33"/>
  <c r="BP111" i="33"/>
  <c r="BO111" i="33"/>
  <c r="BN111" i="33"/>
  <c r="BM111" i="33"/>
  <c r="BL111" i="33"/>
  <c r="BK111" i="33"/>
  <c r="BJ111" i="33"/>
  <c r="BI111" i="33"/>
  <c r="BH111" i="33"/>
  <c r="BG111" i="33"/>
  <c r="BF111" i="33"/>
  <c r="BE111" i="33"/>
  <c r="BD111" i="33"/>
  <c r="BC111" i="33"/>
  <c r="BB111" i="33"/>
  <c r="BA111" i="33"/>
  <c r="AZ111" i="33"/>
  <c r="AY111" i="33"/>
  <c r="AX111" i="33"/>
  <c r="AW111" i="33"/>
  <c r="AV111" i="33"/>
  <c r="BS110" i="33"/>
  <c r="BR110" i="33"/>
  <c r="BQ110" i="33"/>
  <c r="BP110" i="33"/>
  <c r="BO110" i="33"/>
  <c r="BN110" i="33"/>
  <c r="BM110" i="33"/>
  <c r="BL110" i="33"/>
  <c r="BK110" i="33"/>
  <c r="BJ110" i="33"/>
  <c r="BI110" i="33"/>
  <c r="BH110" i="33"/>
  <c r="BG110" i="33"/>
  <c r="BF110" i="33"/>
  <c r="BE110" i="33"/>
  <c r="BD110" i="33"/>
  <c r="BC110" i="33"/>
  <c r="BB110" i="33"/>
  <c r="BA110" i="33"/>
  <c r="AZ110" i="33"/>
  <c r="AY110" i="33"/>
  <c r="AX110" i="33"/>
  <c r="AW110" i="33"/>
  <c r="AV110" i="33"/>
  <c r="BS109" i="33"/>
  <c r="BR109" i="33"/>
  <c r="BQ109" i="33"/>
  <c r="BP109" i="33"/>
  <c r="BO109" i="33"/>
  <c r="BN109" i="33"/>
  <c r="BM109" i="33"/>
  <c r="BL109" i="33"/>
  <c r="BK109" i="33"/>
  <c r="BJ109" i="33"/>
  <c r="BI109" i="33"/>
  <c r="BG109" i="33"/>
  <c r="BF109" i="33"/>
  <c r="BE109" i="33"/>
  <c r="BD109" i="33"/>
  <c r="BC109" i="33"/>
  <c r="BB109" i="33"/>
  <c r="BA109" i="33"/>
  <c r="AZ109" i="33"/>
  <c r="AY109" i="33"/>
  <c r="AX109" i="33"/>
  <c r="AW109" i="33"/>
  <c r="AV109" i="33"/>
  <c r="BS107" i="33"/>
  <c r="BS159" i="33" s="1"/>
  <c r="BR107" i="33"/>
  <c r="BQ107" i="33"/>
  <c r="BP107" i="33"/>
  <c r="BP159" i="33" s="1"/>
  <c r="BO107" i="33"/>
  <c r="BN107" i="33"/>
  <c r="BN159" i="33" s="1"/>
  <c r="BM107" i="33"/>
  <c r="BL107" i="33"/>
  <c r="BL159" i="33" s="1"/>
  <c r="BK107" i="33"/>
  <c r="BK159" i="33" s="1"/>
  <c r="BJ107" i="33"/>
  <c r="BI107" i="33"/>
  <c r="BH107" i="33"/>
  <c r="BH159" i="33" s="1"/>
  <c r="BG107" i="33"/>
  <c r="BG159" i="33" s="1"/>
  <c r="BF107" i="33"/>
  <c r="BF159" i="33" s="1"/>
  <c r="BE107" i="33"/>
  <c r="BD107" i="33"/>
  <c r="BD159" i="33" s="1"/>
  <c r="BC107" i="33"/>
  <c r="BB107" i="33"/>
  <c r="BA107" i="33"/>
  <c r="AZ107" i="33"/>
  <c r="AZ159" i="33" s="1"/>
  <c r="AY107" i="33"/>
  <c r="AX107" i="33"/>
  <c r="AX159" i="33" s="1"/>
  <c r="AW107" i="33"/>
  <c r="AV107" i="33"/>
  <c r="AV159" i="33" s="1"/>
  <c r="BS106" i="33"/>
  <c r="BR106" i="33"/>
  <c r="BQ106" i="33"/>
  <c r="BQ158" i="33" s="1"/>
  <c r="BP106" i="33"/>
  <c r="BO106" i="33"/>
  <c r="BO158" i="33" s="1"/>
  <c r="BN106" i="33"/>
  <c r="BM106" i="33"/>
  <c r="BM158" i="33" s="1"/>
  <c r="BL106" i="33"/>
  <c r="BL158" i="33" s="1"/>
  <c r="BK106" i="33"/>
  <c r="BJ106" i="33"/>
  <c r="BI106" i="33"/>
  <c r="BI158" i="33" s="1"/>
  <c r="BH106" i="33"/>
  <c r="BH158" i="33" s="1"/>
  <c r="BG106" i="33"/>
  <c r="BG158" i="33" s="1"/>
  <c r="BF106" i="33"/>
  <c r="BE106" i="33"/>
  <c r="BE158" i="33" s="1"/>
  <c r="BD106" i="33"/>
  <c r="BD158" i="33" s="1"/>
  <c r="BC106" i="33"/>
  <c r="BB106" i="33"/>
  <c r="BA106" i="33"/>
  <c r="BA158" i="33" s="1"/>
  <c r="AZ106" i="33"/>
  <c r="AY106" i="33"/>
  <c r="AY158" i="33" s="1"/>
  <c r="AX106" i="33"/>
  <c r="AW106" i="33"/>
  <c r="AW158" i="33" s="1"/>
  <c r="AV106" i="33"/>
  <c r="BS105" i="33"/>
  <c r="BR105" i="33"/>
  <c r="BR157" i="33" s="1"/>
  <c r="BQ105" i="33"/>
  <c r="BP105" i="33"/>
  <c r="BO105" i="33"/>
  <c r="BN105" i="33"/>
  <c r="BN157" i="33" s="1"/>
  <c r="BM105" i="33"/>
  <c r="BM157" i="33" s="1"/>
  <c r="BL105" i="33"/>
  <c r="BK105" i="33"/>
  <c r="BJ105" i="33"/>
  <c r="BJ157" i="33" s="1"/>
  <c r="BI105" i="33"/>
  <c r="BI157" i="33" s="1"/>
  <c r="BH105" i="33"/>
  <c r="BH157" i="33" s="1"/>
  <c r="BG105" i="33"/>
  <c r="BF105" i="33"/>
  <c r="BF157" i="33" s="1"/>
  <c r="BE105" i="33"/>
  <c r="BE157" i="33" s="1"/>
  <c r="BD105" i="33"/>
  <c r="BC105" i="33"/>
  <c r="BB105" i="33"/>
  <c r="BB157" i="33" s="1"/>
  <c r="BA105" i="33"/>
  <c r="AZ105" i="33"/>
  <c r="AZ157" i="33" s="1"/>
  <c r="AY105" i="33"/>
  <c r="AX105" i="33"/>
  <c r="AX157" i="33" s="1"/>
  <c r="AW105" i="33"/>
  <c r="AW157" i="33" s="1"/>
  <c r="AV105" i="33"/>
  <c r="BS104" i="33"/>
  <c r="BR104" i="33"/>
  <c r="BQ104" i="33"/>
  <c r="BP104" i="33"/>
  <c r="BO104" i="33"/>
  <c r="BN104" i="33"/>
  <c r="BM104" i="33"/>
  <c r="BL104" i="33"/>
  <c r="BK104" i="33"/>
  <c r="BJ104" i="33"/>
  <c r="BI104" i="33"/>
  <c r="BH104" i="33"/>
  <c r="BG104" i="33"/>
  <c r="BF104" i="33"/>
  <c r="BE104" i="33"/>
  <c r="BD104" i="33"/>
  <c r="BC104" i="33"/>
  <c r="BB104" i="33"/>
  <c r="BA104" i="33"/>
  <c r="AZ104" i="33"/>
  <c r="AY104" i="33"/>
  <c r="AX104" i="33"/>
  <c r="AW104" i="33"/>
  <c r="AV104" i="33"/>
  <c r="BS103" i="33"/>
  <c r="BS156" i="33" s="1"/>
  <c r="BR103" i="33"/>
  <c r="BR156" i="33" s="1"/>
  <c r="BQ103" i="33"/>
  <c r="BP103" i="33"/>
  <c r="BP156" i="33" s="1"/>
  <c r="BO103" i="33"/>
  <c r="BO156" i="33" s="1"/>
  <c r="BN103" i="33"/>
  <c r="BM103" i="33"/>
  <c r="BL103" i="33"/>
  <c r="BL156" i="33" s="1"/>
  <c r="BK103" i="33"/>
  <c r="BJ103" i="33"/>
  <c r="BJ156" i="33" s="1"/>
  <c r="BI103" i="33"/>
  <c r="BH103" i="33"/>
  <c r="BH156" i="33" s="1"/>
  <c r="BG103" i="33"/>
  <c r="BG156" i="33" s="1"/>
  <c r="BF103" i="33"/>
  <c r="BE103" i="33"/>
  <c r="BD103" i="33"/>
  <c r="BD156" i="33" s="1"/>
  <c r="BC103" i="33"/>
  <c r="BC156" i="33" s="1"/>
  <c r="BB103" i="33"/>
  <c r="BB156" i="33" s="1"/>
  <c r="BA103" i="33"/>
  <c r="AZ103" i="33"/>
  <c r="AZ156" i="33" s="1"/>
  <c r="AY103" i="33"/>
  <c r="AY156" i="33" s="1"/>
  <c r="AX103" i="33"/>
  <c r="AW103" i="33"/>
  <c r="AV103" i="33"/>
  <c r="AV156" i="33" s="1"/>
  <c r="BS102" i="33"/>
  <c r="BR102" i="33"/>
  <c r="BQ102" i="33"/>
  <c r="BP102" i="33"/>
  <c r="BO102" i="33"/>
  <c r="BN102" i="33"/>
  <c r="BM102" i="33"/>
  <c r="BL102" i="33"/>
  <c r="BK102" i="33"/>
  <c r="BJ102" i="33"/>
  <c r="BI102" i="33"/>
  <c r="BH102" i="33"/>
  <c r="BG102" i="33"/>
  <c r="BF102" i="33"/>
  <c r="BE102" i="33"/>
  <c r="BD102" i="33"/>
  <c r="BC102" i="33"/>
  <c r="BB102" i="33"/>
  <c r="BA102" i="33"/>
  <c r="AZ102" i="33"/>
  <c r="AY102" i="33"/>
  <c r="AX102" i="33"/>
  <c r="AW102" i="33"/>
  <c r="AV102" i="33"/>
  <c r="BS101" i="33"/>
  <c r="BR101" i="33"/>
  <c r="BQ101" i="33"/>
  <c r="BP101" i="33"/>
  <c r="BO101" i="33"/>
  <c r="BN101" i="33"/>
  <c r="BM101" i="33"/>
  <c r="BL101" i="33"/>
  <c r="BK101" i="33"/>
  <c r="BJ101" i="33"/>
  <c r="BI101" i="33"/>
  <c r="BH101" i="33"/>
  <c r="BG101" i="33"/>
  <c r="BF101" i="33"/>
  <c r="BE101" i="33"/>
  <c r="BD101" i="33"/>
  <c r="BC101" i="33"/>
  <c r="BB101" i="33"/>
  <c r="BA101" i="33"/>
  <c r="AZ101" i="33"/>
  <c r="AY101" i="33"/>
  <c r="AX101" i="33"/>
  <c r="AW101" i="33"/>
  <c r="AV101" i="33"/>
  <c r="BS100" i="33"/>
  <c r="BR100" i="33"/>
  <c r="BQ100" i="33"/>
  <c r="BP100" i="33"/>
  <c r="BO100" i="33"/>
  <c r="BN100" i="33"/>
  <c r="BM100" i="33"/>
  <c r="BL100" i="33"/>
  <c r="BK100" i="33"/>
  <c r="BJ100" i="33"/>
  <c r="BI100" i="33"/>
  <c r="BH100" i="33"/>
  <c r="BG100" i="33"/>
  <c r="BF100" i="33"/>
  <c r="BE100" i="33"/>
  <c r="BD100" i="33"/>
  <c r="BC100" i="33"/>
  <c r="BB100" i="33"/>
  <c r="BA100" i="33"/>
  <c r="AZ100" i="33"/>
  <c r="AY100" i="33"/>
  <c r="AX100" i="33"/>
  <c r="AW100" i="33"/>
  <c r="AV100" i="33"/>
  <c r="BS99" i="33"/>
  <c r="BR99" i="33"/>
  <c r="BQ99" i="33"/>
  <c r="BP99" i="33"/>
  <c r="BO99" i="33"/>
  <c r="BO152" i="33" s="1"/>
  <c r="BN99" i="33"/>
  <c r="BN152" i="33" s="1"/>
  <c r="BM99" i="33"/>
  <c r="BL99" i="33"/>
  <c r="BL152" i="33" s="1"/>
  <c r="BK99" i="33"/>
  <c r="BK152" i="33" s="1"/>
  <c r="BJ99" i="33"/>
  <c r="BI99" i="33"/>
  <c r="BH99" i="33"/>
  <c r="BH152" i="33" s="1"/>
  <c r="BG99" i="33"/>
  <c r="BF99" i="33"/>
  <c r="BF152" i="33" s="1"/>
  <c r="BE99" i="33"/>
  <c r="BD99" i="33"/>
  <c r="BD152" i="33" s="1"/>
  <c r="BC99" i="33"/>
  <c r="BC152" i="33" s="1"/>
  <c r="BB99" i="33"/>
  <c r="BA99" i="33"/>
  <c r="AZ99" i="33"/>
  <c r="AY99" i="33"/>
  <c r="AX99" i="33"/>
  <c r="AW99" i="33"/>
  <c r="AV99" i="33"/>
  <c r="BS98" i="33"/>
  <c r="BR98" i="33"/>
  <c r="BQ98" i="33"/>
  <c r="BP98" i="33"/>
  <c r="BO98" i="33"/>
  <c r="BO151" i="33" s="1"/>
  <c r="BN98" i="33"/>
  <c r="BM98" i="33"/>
  <c r="BM151" i="33" s="1"/>
  <c r="BL98" i="33"/>
  <c r="BL151" i="33" s="1"/>
  <c r="BK98" i="33"/>
  <c r="BJ98" i="33"/>
  <c r="BI98" i="33"/>
  <c r="BI151" i="33" s="1"/>
  <c r="BH98" i="33"/>
  <c r="BG98" i="33"/>
  <c r="BG151" i="33" s="1"/>
  <c r="BF98" i="33"/>
  <c r="BE98" i="33"/>
  <c r="BE151" i="33" s="1"/>
  <c r="BD98" i="33"/>
  <c r="BD151" i="33" s="1"/>
  <c r="BC98" i="33"/>
  <c r="BB98" i="33"/>
  <c r="BA98" i="33"/>
  <c r="BA151" i="33" s="1"/>
  <c r="AZ98" i="33"/>
  <c r="AZ151" i="33" s="1"/>
  <c r="AY98" i="33"/>
  <c r="AX98" i="33"/>
  <c r="AW98" i="33"/>
  <c r="AV98" i="33"/>
  <c r="AT96" i="33"/>
  <c r="AT95" i="33"/>
  <c r="AT158" i="33" s="1"/>
  <c r="AT94" i="33"/>
  <c r="AT93" i="33"/>
  <c r="AT81" i="33" s="1"/>
  <c r="AT92" i="33"/>
  <c r="AT91" i="33"/>
  <c r="AT79" i="33" s="1"/>
  <c r="AT90" i="33"/>
  <c r="AT154" i="33" s="1"/>
  <c r="AT89" i="33"/>
  <c r="AT88" i="33"/>
  <c r="AT87" i="33"/>
  <c r="AT64" i="33" s="1"/>
  <c r="D286" i="33"/>
  <c r="C286" i="33"/>
  <c r="D285" i="33"/>
  <c r="C285" i="33"/>
  <c r="H218" i="33"/>
  <c r="H217" i="33"/>
  <c r="H216" i="33"/>
  <c r="C215" i="33"/>
  <c r="C213" i="33"/>
  <c r="C212" i="33"/>
  <c r="AP198" i="33"/>
  <c r="AP201" i="33" s="1"/>
  <c r="AQ201" i="33" s="1"/>
  <c r="C200" i="33"/>
  <c r="C198" i="33"/>
  <c r="C197" i="33"/>
  <c r="C196" i="33"/>
  <c r="C195" i="33"/>
  <c r="C168" i="33"/>
  <c r="C167" i="33"/>
  <c r="C164" i="33"/>
  <c r="C163" i="33"/>
  <c r="C162" i="33"/>
  <c r="C161" i="33"/>
  <c r="G156" i="33"/>
  <c r="G154" i="33"/>
  <c r="G153" i="33"/>
  <c r="G150" i="33"/>
  <c r="G149" i="33"/>
  <c r="C150" i="33"/>
  <c r="C149" i="33"/>
  <c r="C148" i="33"/>
  <c r="C147" i="33"/>
  <c r="C146" i="33"/>
  <c r="C141" i="33"/>
  <c r="C140" i="33"/>
  <c r="C139" i="33"/>
  <c r="C138" i="33"/>
  <c r="C137" i="33"/>
  <c r="C66" i="33"/>
  <c r="C65" i="33"/>
  <c r="C64" i="33"/>
  <c r="C63" i="33"/>
  <c r="DC62" i="33"/>
  <c r="BZ62" i="33"/>
  <c r="CA62" i="33" s="1"/>
  <c r="AT62" i="33"/>
  <c r="K225" i="33"/>
  <c r="K224" i="33"/>
  <c r="K223" i="33"/>
  <c r="AL207" i="33"/>
  <c r="D210" i="33" s="1"/>
  <c r="AJ198" i="33"/>
  <c r="AJ204" i="33" s="1"/>
  <c r="AK204" i="33" s="1"/>
  <c r="DD96" i="33"/>
  <c r="DD95" i="33"/>
  <c r="DQ95" i="33" s="1"/>
  <c r="DD94" i="33"/>
  <c r="DZ94" i="33" s="1"/>
  <c r="DD93" i="33"/>
  <c r="DY93" i="33" s="1"/>
  <c r="DD92" i="33"/>
  <c r="DD91" i="33"/>
  <c r="DJ91" i="33" s="1"/>
  <c r="DD90" i="33"/>
  <c r="DY90" i="33" s="1"/>
  <c r="DD89" i="33"/>
  <c r="DP89" i="33" s="1"/>
  <c r="DD88" i="33"/>
  <c r="DD87" i="33"/>
  <c r="DU87" i="33" s="1"/>
  <c r="CA96" i="33"/>
  <c r="CM96" i="33" s="1"/>
  <c r="CA95" i="33"/>
  <c r="CA94" i="33"/>
  <c r="CA93" i="33"/>
  <c r="CW93" i="33" s="1"/>
  <c r="CA92" i="33"/>
  <c r="CU92" i="33" s="1"/>
  <c r="CA91" i="33"/>
  <c r="CA90" i="33"/>
  <c r="CA89" i="33"/>
  <c r="CA88" i="33"/>
  <c r="CV88" i="33" s="1"/>
  <c r="CA87" i="33"/>
  <c r="AU96" i="33"/>
  <c r="AU95" i="33"/>
  <c r="BB95" i="33" s="1"/>
  <c r="AU94" i="33"/>
  <c r="CY94" i="33" s="1"/>
  <c r="AU93" i="33"/>
  <c r="AU92" i="33"/>
  <c r="AU91" i="33"/>
  <c r="BN91" i="33" s="1"/>
  <c r="AU90" i="33"/>
  <c r="AU89" i="33"/>
  <c r="BQ89" i="33" s="1"/>
  <c r="AU88" i="33"/>
  <c r="AU87" i="33"/>
  <c r="C83" i="33"/>
  <c r="C62" i="33"/>
  <c r="C61" i="33"/>
  <c r="C60" i="33"/>
  <c r="D60" i="33" s="1"/>
  <c r="C59" i="33"/>
  <c r="C58" i="33"/>
  <c r="D58" i="33" s="1"/>
  <c r="C57" i="33"/>
  <c r="C56" i="33"/>
  <c r="D56" i="33" s="1"/>
  <c r="C55" i="33"/>
  <c r="D55" i="33" s="1"/>
  <c r="C54" i="33"/>
  <c r="C53" i="33"/>
  <c r="C52" i="33"/>
  <c r="D52" i="33" s="1"/>
  <c r="C51" i="33"/>
  <c r="C50" i="33"/>
  <c r="D50" i="33" s="1"/>
  <c r="C49" i="33"/>
  <c r="C47" i="33"/>
  <c r="D47" i="33" s="1"/>
  <c r="C46" i="33"/>
  <c r="C44" i="33"/>
  <c r="D44" i="33" s="1"/>
  <c r="C43" i="33"/>
  <c r="D43" i="33" s="1"/>
  <c r="C37" i="33"/>
  <c r="C36" i="33"/>
  <c r="D36" i="33" s="1"/>
  <c r="C35" i="33"/>
  <c r="C33" i="33"/>
  <c r="C32" i="33"/>
  <c r="D32" i="33" s="1"/>
  <c r="C31" i="33"/>
  <c r="D31" i="33" s="1"/>
  <c r="C29" i="33"/>
  <c r="C28" i="33"/>
  <c r="D28" i="33" s="1"/>
  <c r="C27" i="33"/>
  <c r="D27" i="33" s="1"/>
  <c r="C26" i="33"/>
  <c r="D26" i="33" s="1"/>
  <c r="C25" i="33"/>
  <c r="C24" i="33"/>
  <c r="D24" i="33" s="1"/>
  <c r="C23" i="33"/>
  <c r="D23" i="33" s="1"/>
  <c r="C21" i="33"/>
  <c r="C20" i="33"/>
  <c r="D20" i="33" s="1"/>
  <c r="C19" i="33"/>
  <c r="D19" i="33" s="1"/>
  <c r="C18" i="33"/>
  <c r="D18" i="33" s="1"/>
  <c r="C17" i="33"/>
  <c r="C16" i="33"/>
  <c r="D16" i="33" s="1"/>
  <c r="C15" i="33"/>
  <c r="D15" i="33" s="1"/>
  <c r="C14" i="33"/>
  <c r="C13" i="33"/>
  <c r="C12" i="33"/>
  <c r="C11" i="33"/>
  <c r="C8" i="33"/>
  <c r="C7" i="33"/>
  <c r="D7" i="33" s="1"/>
  <c r="C6" i="33"/>
  <c r="C5" i="33"/>
  <c r="C4" i="33"/>
  <c r="D4" i="33" s="1"/>
  <c r="C3" i="33"/>
  <c r="D3" i="33" s="1"/>
  <c r="C2" i="33"/>
  <c r="C1" i="33"/>
  <c r="EA159" i="33"/>
  <c r="DZ159" i="33"/>
  <c r="DY159" i="33"/>
  <c r="DW159" i="33"/>
  <c r="DV159" i="33"/>
  <c r="DU159" i="33"/>
  <c r="DS159" i="33"/>
  <c r="DR159" i="33"/>
  <c r="DQ159" i="33"/>
  <c r="DO159" i="33"/>
  <c r="DN159" i="33"/>
  <c r="DM159" i="33"/>
  <c r="DK159" i="33"/>
  <c r="DJ159" i="33"/>
  <c r="DI159" i="33"/>
  <c r="DG159" i="33"/>
  <c r="DF159" i="33"/>
  <c r="DE159" i="33"/>
  <c r="CY159" i="33"/>
  <c r="CU159" i="33"/>
  <c r="CT159" i="33"/>
  <c r="CS159" i="33"/>
  <c r="CQ159" i="33"/>
  <c r="CM159" i="33"/>
  <c r="CL159" i="33"/>
  <c r="CK159" i="33"/>
  <c r="CI159" i="33"/>
  <c r="CE159" i="33"/>
  <c r="CD159" i="33"/>
  <c r="CC159" i="33"/>
  <c r="BR159" i="33"/>
  <c r="BQ159" i="33"/>
  <c r="BO159" i="33"/>
  <c r="BM159" i="33"/>
  <c r="BJ159" i="33"/>
  <c r="BI159" i="33"/>
  <c r="BE159" i="33"/>
  <c r="BC159" i="33"/>
  <c r="BB159" i="33"/>
  <c r="BA159" i="33"/>
  <c r="AY159" i="33"/>
  <c r="AW159" i="33"/>
  <c r="EA158" i="33"/>
  <c r="DZ158" i="33"/>
  <c r="DY158" i="33"/>
  <c r="DW158" i="33"/>
  <c r="DV158" i="33"/>
  <c r="DU158" i="33"/>
  <c r="DS158" i="33"/>
  <c r="DR158" i="33"/>
  <c r="DQ158" i="33"/>
  <c r="DO158" i="33"/>
  <c r="DN158" i="33"/>
  <c r="DM158" i="33"/>
  <c r="DK158" i="33"/>
  <c r="DJ158" i="33"/>
  <c r="DI158" i="33"/>
  <c r="DG158" i="33"/>
  <c r="DF158" i="33"/>
  <c r="DE158" i="33"/>
  <c r="CY158" i="33"/>
  <c r="CU158" i="33"/>
  <c r="CT158" i="33"/>
  <c r="CS158" i="33"/>
  <c r="CQ158" i="33"/>
  <c r="CM158" i="33"/>
  <c r="CL158" i="33"/>
  <c r="CK158" i="33"/>
  <c r="CI158" i="33"/>
  <c r="CE158" i="33"/>
  <c r="CD158" i="33"/>
  <c r="CC158" i="33"/>
  <c r="BS158" i="33"/>
  <c r="BR158" i="33"/>
  <c r="BP158" i="33"/>
  <c r="BN158" i="33"/>
  <c r="BK158" i="33"/>
  <c r="BJ158" i="33"/>
  <c r="BF158" i="33"/>
  <c r="BC158" i="33"/>
  <c r="BB158" i="33"/>
  <c r="AZ158" i="33"/>
  <c r="AX158" i="33"/>
  <c r="AV158" i="33"/>
  <c r="EA157" i="33"/>
  <c r="DZ157" i="33"/>
  <c r="DY157" i="33"/>
  <c r="DW157" i="33"/>
  <c r="DV157" i="33"/>
  <c r="DU157" i="33"/>
  <c r="DS157" i="33"/>
  <c r="DR157" i="33"/>
  <c r="DQ157" i="33"/>
  <c r="DO157" i="33"/>
  <c r="DN157" i="33"/>
  <c r="DM157" i="33"/>
  <c r="DK157" i="33"/>
  <c r="DJ157" i="33"/>
  <c r="DI157" i="33"/>
  <c r="DG157" i="33"/>
  <c r="DF157" i="33"/>
  <c r="DE157" i="33"/>
  <c r="CY157" i="33"/>
  <c r="CX157" i="33"/>
  <c r="CU157" i="33"/>
  <c r="CT157" i="33"/>
  <c r="CS157" i="33"/>
  <c r="CQ157" i="33"/>
  <c r="CP157" i="33"/>
  <c r="CM157" i="33"/>
  <c r="CL157" i="33"/>
  <c r="CK157" i="33"/>
  <c r="CI157" i="33"/>
  <c r="CH157" i="33"/>
  <c r="CE157" i="33"/>
  <c r="CD157" i="33"/>
  <c r="CC157" i="33"/>
  <c r="BS157" i="33"/>
  <c r="BQ157" i="33"/>
  <c r="BP157" i="33"/>
  <c r="BO157" i="33"/>
  <c r="BL157" i="33"/>
  <c r="BK157" i="33"/>
  <c r="BG157" i="33"/>
  <c r="BD157" i="33"/>
  <c r="BC157" i="33"/>
  <c r="BA157" i="33"/>
  <c r="AY157" i="33"/>
  <c r="AV157" i="33"/>
  <c r="EA156" i="33"/>
  <c r="DZ156" i="33"/>
  <c r="DY156" i="33"/>
  <c r="DW156" i="33"/>
  <c r="DV156" i="33"/>
  <c r="DU156" i="33"/>
  <c r="DS156" i="33"/>
  <c r="DR156" i="33"/>
  <c r="DQ156" i="33"/>
  <c r="DO156" i="33"/>
  <c r="DN156" i="33"/>
  <c r="DM156" i="33"/>
  <c r="DK156" i="33"/>
  <c r="DJ156" i="33"/>
  <c r="DI156" i="33"/>
  <c r="DG156" i="33"/>
  <c r="DF156" i="33"/>
  <c r="DE156" i="33"/>
  <c r="CY156" i="33"/>
  <c r="CX156" i="33"/>
  <c r="CU156" i="33"/>
  <c r="CT156" i="33"/>
  <c r="CS156" i="33"/>
  <c r="CQ156" i="33"/>
  <c r="CP156" i="33"/>
  <c r="CM156" i="33"/>
  <c r="CL156" i="33"/>
  <c r="CK156" i="33"/>
  <c r="CI156" i="33"/>
  <c r="CH156" i="33"/>
  <c r="CE156" i="33"/>
  <c r="CD156" i="33"/>
  <c r="CC156" i="33"/>
  <c r="BQ156" i="33"/>
  <c r="BN156" i="33"/>
  <c r="BM156" i="33"/>
  <c r="BK156" i="33"/>
  <c r="BI156" i="33"/>
  <c r="BF156" i="33"/>
  <c r="BE156" i="33"/>
  <c r="BA156" i="33"/>
  <c r="AX156" i="33"/>
  <c r="AW156" i="33"/>
  <c r="EA155" i="33"/>
  <c r="DZ155" i="33"/>
  <c r="DY155" i="33"/>
  <c r="DW155" i="33"/>
  <c r="DV155" i="33"/>
  <c r="DU155" i="33"/>
  <c r="DS155" i="33"/>
  <c r="DR155" i="33"/>
  <c r="DQ155" i="33"/>
  <c r="DO155" i="33"/>
  <c r="DN155" i="33"/>
  <c r="DM155" i="33"/>
  <c r="DK155" i="33"/>
  <c r="DJ155" i="33"/>
  <c r="DI155" i="33"/>
  <c r="DG155" i="33"/>
  <c r="DF155" i="33"/>
  <c r="DE155" i="33"/>
  <c r="CY155" i="33"/>
  <c r="CX155" i="33"/>
  <c r="CW155" i="33"/>
  <c r="CU155" i="33"/>
  <c r="CT155" i="33"/>
  <c r="CS155" i="33"/>
  <c r="CQ155" i="33"/>
  <c r="CP155" i="33"/>
  <c r="CO155" i="33"/>
  <c r="CM155" i="33"/>
  <c r="CL155" i="33"/>
  <c r="CK155" i="33"/>
  <c r="CI155" i="33"/>
  <c r="CH155" i="33"/>
  <c r="CG155" i="33"/>
  <c r="CE155" i="33"/>
  <c r="CD155" i="33"/>
  <c r="CC155" i="33"/>
  <c r="EA154" i="33"/>
  <c r="DZ154" i="33"/>
  <c r="DY154" i="33"/>
  <c r="DW154" i="33"/>
  <c r="DV154" i="33"/>
  <c r="DU154" i="33"/>
  <c r="DS154" i="33"/>
  <c r="DR154" i="33"/>
  <c r="DQ154" i="33"/>
  <c r="DO154" i="33"/>
  <c r="DN154" i="33"/>
  <c r="DM154" i="33"/>
  <c r="DK154" i="33"/>
  <c r="DJ154" i="33"/>
  <c r="DI154" i="33"/>
  <c r="DG154" i="33"/>
  <c r="DF154" i="33"/>
  <c r="DE154" i="33"/>
  <c r="CY154" i="33"/>
  <c r="CX154" i="33"/>
  <c r="CW154" i="33"/>
  <c r="CU154" i="33"/>
  <c r="CT154" i="33"/>
  <c r="CS154" i="33"/>
  <c r="CQ154" i="33"/>
  <c r="CP154" i="33"/>
  <c r="CO154" i="33"/>
  <c r="CM154" i="33"/>
  <c r="CL154" i="33"/>
  <c r="CK154" i="33"/>
  <c r="CI154" i="33"/>
  <c r="CH154" i="33"/>
  <c r="CG154" i="33"/>
  <c r="CE154" i="33"/>
  <c r="CD154" i="33"/>
  <c r="CC154" i="33"/>
  <c r="EA153" i="33"/>
  <c r="DZ153" i="33"/>
  <c r="DY153" i="33"/>
  <c r="DW153" i="33"/>
  <c r="DV153" i="33"/>
  <c r="DU153" i="33"/>
  <c r="DS153" i="33"/>
  <c r="DR153" i="33"/>
  <c r="DQ153" i="33"/>
  <c r="DO153" i="33"/>
  <c r="DN153" i="33"/>
  <c r="DM153" i="33"/>
  <c r="DK153" i="33"/>
  <c r="DJ153" i="33"/>
  <c r="DI153" i="33"/>
  <c r="DG153" i="33"/>
  <c r="DF153" i="33"/>
  <c r="DE153" i="33"/>
  <c r="CY153" i="33"/>
  <c r="CX153" i="33"/>
  <c r="CU153" i="33"/>
  <c r="CT153" i="33"/>
  <c r="CS153" i="33"/>
  <c r="CQ153" i="33"/>
  <c r="CP153" i="33"/>
  <c r="CM153" i="33"/>
  <c r="CL153" i="33"/>
  <c r="CK153" i="33"/>
  <c r="CI153" i="33"/>
  <c r="CH153" i="33"/>
  <c r="CE153" i="33"/>
  <c r="CD153" i="33"/>
  <c r="CC153" i="33"/>
  <c r="EA152" i="33"/>
  <c r="DZ152" i="33"/>
  <c r="DY152" i="33"/>
  <c r="DW152" i="33"/>
  <c r="DV152" i="33"/>
  <c r="DU152" i="33"/>
  <c r="DS152" i="33"/>
  <c r="DR152" i="33"/>
  <c r="DQ152" i="33"/>
  <c r="DO152" i="33"/>
  <c r="DN152" i="33"/>
  <c r="DM152" i="33"/>
  <c r="DK152" i="33"/>
  <c r="DJ152" i="33"/>
  <c r="DI152" i="33"/>
  <c r="DG152" i="33"/>
  <c r="DF152" i="33"/>
  <c r="DE152" i="33"/>
  <c r="CY152" i="33"/>
  <c r="CX152" i="33"/>
  <c r="CU152" i="33"/>
  <c r="CT152" i="33"/>
  <c r="CS152" i="33"/>
  <c r="CQ152" i="33"/>
  <c r="CP152" i="33"/>
  <c r="CM152" i="33"/>
  <c r="CL152" i="33"/>
  <c r="CK152" i="33"/>
  <c r="CI152" i="33"/>
  <c r="CH152" i="33"/>
  <c r="CE152" i="33"/>
  <c r="CD152" i="33"/>
  <c r="CC152" i="33"/>
  <c r="BM152" i="33"/>
  <c r="BJ152" i="33"/>
  <c r="BI152" i="33"/>
  <c r="BG152" i="33"/>
  <c r="BE152" i="33"/>
  <c r="BB152" i="33"/>
  <c r="EA151" i="33"/>
  <c r="DZ151" i="33"/>
  <c r="DY151" i="33"/>
  <c r="DW151" i="33"/>
  <c r="DV151" i="33"/>
  <c r="DU151" i="33"/>
  <c r="DS151" i="33"/>
  <c r="DR151" i="33"/>
  <c r="DQ151" i="33"/>
  <c r="DO151" i="33"/>
  <c r="DN151" i="33"/>
  <c r="DM151" i="33"/>
  <c r="DK151" i="33"/>
  <c r="DJ151" i="33"/>
  <c r="DI151" i="33"/>
  <c r="DG151" i="33"/>
  <c r="DF151" i="33"/>
  <c r="DE151" i="33"/>
  <c r="CY151" i="33"/>
  <c r="CX151" i="33"/>
  <c r="CU151" i="33"/>
  <c r="CT151" i="33"/>
  <c r="CS151" i="33"/>
  <c r="CQ151" i="33"/>
  <c r="CP151" i="33"/>
  <c r="CM151" i="33"/>
  <c r="CL151" i="33"/>
  <c r="CK151" i="33"/>
  <c r="CI151" i="33"/>
  <c r="CH151" i="33"/>
  <c r="CE151" i="33"/>
  <c r="CD151" i="33"/>
  <c r="CC151" i="33"/>
  <c r="BN151" i="33"/>
  <c r="BK151" i="33"/>
  <c r="BJ151" i="33"/>
  <c r="BH151" i="33"/>
  <c r="BF151" i="33"/>
  <c r="BC151" i="33"/>
  <c r="BB151" i="33"/>
  <c r="EA96" i="33"/>
  <c r="DX96" i="33"/>
  <c r="DV96" i="33"/>
  <c r="DS96" i="33"/>
  <c r="DP96" i="33"/>
  <c r="DN96" i="33"/>
  <c r="DK96" i="33"/>
  <c r="DH96" i="33"/>
  <c r="DF96" i="33"/>
  <c r="DU96" i="33"/>
  <c r="CU96" i="33"/>
  <c r="CO96" i="33"/>
  <c r="CY96" i="33"/>
  <c r="BS96" i="33"/>
  <c r="BQ96" i="33"/>
  <c r="BK96" i="33"/>
  <c r="BI96" i="33"/>
  <c r="BC96" i="33"/>
  <c r="BA96" i="33"/>
  <c r="AT159" i="33"/>
  <c r="DV95" i="33"/>
  <c r="DX94" i="33"/>
  <c r="DW94" i="33"/>
  <c r="DR94" i="33"/>
  <c r="DQ94" i="33"/>
  <c r="DN94" i="33"/>
  <c r="DM94" i="33"/>
  <c r="DH94" i="33"/>
  <c r="DG94" i="33"/>
  <c r="EB94" i="33"/>
  <c r="BE94" i="33"/>
  <c r="AT157" i="33"/>
  <c r="DX93" i="33"/>
  <c r="DS93" i="33"/>
  <c r="DN93" i="33"/>
  <c r="DI93" i="33"/>
  <c r="AX93" i="33"/>
  <c r="EA92" i="33"/>
  <c r="DZ92" i="33"/>
  <c r="DY92" i="33"/>
  <c r="DX92" i="33"/>
  <c r="DW92" i="33"/>
  <c r="DV92" i="33"/>
  <c r="DS92" i="33"/>
  <c r="DR92" i="33"/>
  <c r="DQ92" i="33"/>
  <c r="DP92" i="33"/>
  <c r="DO92" i="33"/>
  <c r="DN92" i="33"/>
  <c r="DK92" i="33"/>
  <c r="DJ92" i="33"/>
  <c r="DI92" i="33"/>
  <c r="DH92" i="33"/>
  <c r="DG92" i="33"/>
  <c r="DF92" i="33"/>
  <c r="DU92" i="33"/>
  <c r="BQ92" i="33"/>
  <c r="BN92" i="33"/>
  <c r="BL92" i="33"/>
  <c r="BI92" i="33"/>
  <c r="BF92" i="33"/>
  <c r="BD92" i="33"/>
  <c r="BA92" i="33"/>
  <c r="AX92" i="33"/>
  <c r="AV92" i="33"/>
  <c r="AT156" i="33"/>
  <c r="DK90" i="33"/>
  <c r="CX90" i="33"/>
  <c r="CP90" i="33"/>
  <c r="CN90" i="33"/>
  <c r="CH90" i="33"/>
  <c r="CF90" i="33"/>
  <c r="CT90" i="33"/>
  <c r="BR90" i="33"/>
  <c r="BL90" i="33"/>
  <c r="BJ90" i="33"/>
  <c r="BD90" i="33"/>
  <c r="BB90" i="33"/>
  <c r="AV90" i="33"/>
  <c r="CW90" i="33"/>
  <c r="DS89" i="33"/>
  <c r="DG89" i="33"/>
  <c r="BN89" i="33"/>
  <c r="BI89" i="33"/>
  <c r="AX89" i="33"/>
  <c r="AT153" i="33"/>
  <c r="EA88" i="33"/>
  <c r="DY88" i="33"/>
  <c r="DX88" i="33"/>
  <c r="DW88" i="33"/>
  <c r="DV88" i="33"/>
  <c r="DS88" i="33"/>
  <c r="DQ88" i="33"/>
  <c r="DP88" i="33"/>
  <c r="DO88" i="33"/>
  <c r="DN88" i="33"/>
  <c r="DK88" i="33"/>
  <c r="DI88" i="33"/>
  <c r="DH88" i="33"/>
  <c r="DG88" i="33"/>
  <c r="DF88" i="33"/>
  <c r="DE88" i="33"/>
  <c r="DU88" i="33"/>
  <c r="CX88" i="33"/>
  <c r="CR88" i="33"/>
  <c r="CP88" i="33"/>
  <c r="CJ88" i="33"/>
  <c r="CH88" i="33"/>
  <c r="CB88" i="33"/>
  <c r="CT88" i="33"/>
  <c r="BR88" i="33"/>
  <c r="BQ88" i="33"/>
  <c r="BN88" i="33"/>
  <c r="BL88" i="33"/>
  <c r="BJ88" i="33"/>
  <c r="BI88" i="33"/>
  <c r="BF88" i="33"/>
  <c r="BD88" i="33"/>
  <c r="BB88" i="33"/>
  <c r="BA88" i="33"/>
  <c r="AX88" i="33"/>
  <c r="AV88" i="33"/>
  <c r="AT152" i="33"/>
  <c r="DY87" i="33"/>
  <c r="BQ87" i="33"/>
  <c r="AT85" i="33"/>
  <c r="AT82" i="33"/>
  <c r="AT80" i="33"/>
  <c r="DC79" i="33"/>
  <c r="DC113" i="33" s="1"/>
  <c r="DC78" i="33"/>
  <c r="DC112" i="33" s="1"/>
  <c r="AT77" i="33"/>
  <c r="BZ76" i="33"/>
  <c r="BZ110" i="33" s="1"/>
  <c r="AT76" i="33"/>
  <c r="BZ85" i="33"/>
  <c r="BZ118" i="33" s="1"/>
  <c r="AT73" i="33"/>
  <c r="BZ95" i="33"/>
  <c r="BZ158" i="33" s="1"/>
  <c r="AT71" i="33"/>
  <c r="BZ81" i="33"/>
  <c r="BZ115" i="33" s="1"/>
  <c r="AT70" i="33"/>
  <c r="AT69" i="33"/>
  <c r="DC91" i="33"/>
  <c r="DC155" i="33" s="1"/>
  <c r="DC90" i="33"/>
  <c r="DC154" i="33" s="1"/>
  <c r="BZ123" i="33"/>
  <c r="AT66" i="33"/>
  <c r="DC88" i="33"/>
  <c r="DC152" i="33" s="1"/>
  <c r="AT65" i="33"/>
  <c r="BZ75" i="33"/>
  <c r="BZ109" i="33" s="1"/>
  <c r="DD62" i="33"/>
  <c r="AU62" i="33"/>
  <c r="D62" i="33"/>
  <c r="D61" i="33"/>
  <c r="D59" i="33"/>
  <c r="D57" i="33"/>
  <c r="D54" i="33"/>
  <c r="D53" i="33"/>
  <c r="D51" i="33"/>
  <c r="D49" i="33"/>
  <c r="D46" i="33"/>
  <c r="D37" i="33"/>
  <c r="D35" i="33"/>
  <c r="D33" i="33"/>
  <c r="D29" i="33"/>
  <c r="D25" i="33"/>
  <c r="D21" i="33"/>
  <c r="D17" i="33"/>
  <c r="D14" i="33"/>
  <c r="D13" i="33"/>
  <c r="D12" i="33"/>
  <c r="D11" i="33"/>
  <c r="D8" i="33"/>
  <c r="D6" i="33"/>
  <c r="D5" i="33"/>
  <c r="D2" i="33"/>
  <c r="D1" i="33"/>
  <c r="BB89" i="33" l="1"/>
  <c r="BR89" i="33"/>
  <c r="DU90" i="33"/>
  <c r="DW90" i="33"/>
  <c r="CM92" i="33"/>
  <c r="DF93" i="33"/>
  <c r="DP93" i="33"/>
  <c r="DZ93" i="33"/>
  <c r="CX89" i="33"/>
  <c r="C115" i="33"/>
  <c r="D115" i="33" s="1"/>
  <c r="DQ90" i="33"/>
  <c r="BD89" i="33"/>
  <c r="DG90" i="33"/>
  <c r="DZ90" i="33"/>
  <c r="CP92" i="33"/>
  <c r="DG93" i="33"/>
  <c r="DQ93" i="33"/>
  <c r="EA93" i="33"/>
  <c r="BF89" i="33"/>
  <c r="DH90" i="33"/>
  <c r="EA90" i="33"/>
  <c r="CX92" i="33"/>
  <c r="DH93" i="33"/>
  <c r="DR93" i="33"/>
  <c r="BJ89" i="33"/>
  <c r="DM90" i="33"/>
  <c r="CO92" i="33"/>
  <c r="DJ93" i="33"/>
  <c r="DV93" i="33"/>
  <c r="CQ94" i="33"/>
  <c r="CU87" i="33"/>
  <c r="M131" i="33"/>
  <c r="T136" i="33"/>
  <c r="AV89" i="33"/>
  <c r="BL89" i="33"/>
  <c r="DP90" i="33"/>
  <c r="DK93" i="33"/>
  <c r="DW93" i="33"/>
  <c r="CB92" i="33"/>
  <c r="AT78" i="33"/>
  <c r="BA89" i="33"/>
  <c r="DV90" i="33"/>
  <c r="CE92" i="33"/>
  <c r="DU93" i="33"/>
  <c r="DO93" i="33"/>
  <c r="CU90" i="33"/>
  <c r="CM87" i="33"/>
  <c r="CE88" i="33"/>
  <c r="CM88" i="33"/>
  <c r="CU88" i="33"/>
  <c r="AX90" i="33"/>
  <c r="BF90" i="33"/>
  <c r="BN90" i="33"/>
  <c r="CB90" i="33"/>
  <c r="CJ90" i="33"/>
  <c r="CR90" i="33"/>
  <c r="DE90" i="33"/>
  <c r="DI90" i="33"/>
  <c r="DN90" i="33"/>
  <c r="DR90" i="33"/>
  <c r="DX90" i="33"/>
  <c r="CH92" i="33"/>
  <c r="CR92" i="33"/>
  <c r="BS94" i="33"/>
  <c r="DE94" i="33"/>
  <c r="DI94" i="33"/>
  <c r="DO94" i="33"/>
  <c r="DU94" i="33"/>
  <c r="DY94" i="33"/>
  <c r="CG96" i="33"/>
  <c r="CW96" i="33"/>
  <c r="AT67" i="33"/>
  <c r="DE87" i="33"/>
  <c r="CW88" i="33"/>
  <c r="CF88" i="33"/>
  <c r="CN88" i="33"/>
  <c r="CH89" i="33"/>
  <c r="BA90" i="33"/>
  <c r="BI90" i="33"/>
  <c r="BQ90" i="33"/>
  <c r="CE90" i="33"/>
  <c r="CM90" i="33"/>
  <c r="DF90" i="33"/>
  <c r="DJ90" i="33"/>
  <c r="DO90" i="33"/>
  <c r="DS90" i="33"/>
  <c r="DV91" i="33"/>
  <c r="CW92" i="33"/>
  <c r="CJ92" i="33"/>
  <c r="DF94" i="33"/>
  <c r="DJ94" i="33"/>
  <c r="DP94" i="33"/>
  <c r="DV94" i="33"/>
  <c r="BA87" i="33"/>
  <c r="DO87" i="33"/>
  <c r="BL91" i="33"/>
  <c r="BA91" i="33"/>
  <c r="CR91" i="33"/>
  <c r="BI91" i="33"/>
  <c r="AX91" i="33"/>
  <c r="BQ91" i="33"/>
  <c r="BF91" i="33"/>
  <c r="AV91" i="33"/>
  <c r="CX95" i="33"/>
  <c r="CK95" i="33"/>
  <c r="CU95" i="33"/>
  <c r="BJ95" i="33"/>
  <c r="AY95" i="33"/>
  <c r="CV95" i="33"/>
  <c r="CH95" i="33"/>
  <c r="BR95" i="33"/>
  <c r="BG95" i="33"/>
  <c r="AV95" i="33"/>
  <c r="CP95" i="33"/>
  <c r="CF95" i="33"/>
  <c r="BO95" i="33"/>
  <c r="BD95" i="33"/>
  <c r="CE95" i="33"/>
  <c r="CR89" i="33"/>
  <c r="CJ89" i="33"/>
  <c r="CB89" i="33"/>
  <c r="CV89" i="33"/>
  <c r="CN89" i="33"/>
  <c r="CF89" i="33"/>
  <c r="CW89" i="33"/>
  <c r="AT72" i="33"/>
  <c r="AT75" i="33"/>
  <c r="DC77" i="33"/>
  <c r="DC111" i="33" s="1"/>
  <c r="BD87" i="33"/>
  <c r="CS87" i="33"/>
  <c r="CP87" i="33"/>
  <c r="DG87" i="33"/>
  <c r="DQ87" i="33"/>
  <c r="CM89" i="33"/>
  <c r="DF91" i="33"/>
  <c r="DZ91" i="33"/>
  <c r="BL95" i="33"/>
  <c r="AT151" i="33"/>
  <c r="BI87" i="33"/>
  <c r="CE87" i="33"/>
  <c r="DI87" i="33"/>
  <c r="CT89" i="33"/>
  <c r="CP89" i="33"/>
  <c r="AT155" i="33"/>
  <c r="CC95" i="33"/>
  <c r="CV87" i="33"/>
  <c r="CN87" i="33"/>
  <c r="CF87" i="33"/>
  <c r="BR87" i="33"/>
  <c r="BJ87" i="33"/>
  <c r="BB87" i="33"/>
  <c r="CW87" i="33"/>
  <c r="CR87" i="33"/>
  <c r="CJ87" i="33"/>
  <c r="CB87" i="33"/>
  <c r="BN87" i="33"/>
  <c r="BF87" i="33"/>
  <c r="AX87" i="33"/>
  <c r="EA87" i="33"/>
  <c r="DV87" i="33"/>
  <c r="DP87" i="33"/>
  <c r="DK87" i="33"/>
  <c r="DF87" i="33"/>
  <c r="DX87" i="33"/>
  <c r="DS87" i="33"/>
  <c r="DN87" i="33"/>
  <c r="DH87" i="33"/>
  <c r="EB87" i="33"/>
  <c r="DY91" i="33"/>
  <c r="DS91" i="33"/>
  <c r="DO91" i="33"/>
  <c r="DI91" i="33"/>
  <c r="DU91" i="33"/>
  <c r="DX91" i="33"/>
  <c r="DR91" i="33"/>
  <c r="DN91" i="33"/>
  <c r="DH91" i="33"/>
  <c r="EA91" i="33"/>
  <c r="DW91" i="33"/>
  <c r="DQ91" i="33"/>
  <c r="DK91" i="33"/>
  <c r="DG91" i="33"/>
  <c r="DO95" i="33"/>
  <c r="DY95" i="33"/>
  <c r="DI95" i="33"/>
  <c r="DW95" i="33"/>
  <c r="DG95" i="33"/>
  <c r="C118" i="33"/>
  <c r="D118" i="33" s="1"/>
  <c r="AT68" i="33"/>
  <c r="AV87" i="33"/>
  <c r="BL87" i="33"/>
  <c r="CH87" i="33"/>
  <c r="CX87" i="33"/>
  <c r="DM87" i="33"/>
  <c r="DW87" i="33"/>
  <c r="CE89" i="33"/>
  <c r="CU89" i="33"/>
  <c r="BD91" i="33"/>
  <c r="DP91" i="33"/>
  <c r="CU93" i="33"/>
  <c r="CN95" i="33"/>
  <c r="CP93" i="33"/>
  <c r="CM91" i="33"/>
  <c r="AJ203" i="33"/>
  <c r="AK203" i="33" s="1"/>
  <c r="AP204" i="33"/>
  <c r="AQ204" i="33" s="1"/>
  <c r="CR160" i="33"/>
  <c r="CR161" i="33" s="1"/>
  <c r="CR162" i="33" s="1"/>
  <c r="CJ160" i="33"/>
  <c r="CJ161" i="33" s="1"/>
  <c r="CJ162" i="33" s="1"/>
  <c r="CB160" i="33"/>
  <c r="CB161" i="33" s="1"/>
  <c r="CB162" i="33" s="1"/>
  <c r="DE160" i="33"/>
  <c r="DE161" i="33" s="1"/>
  <c r="DE162" i="33" s="1"/>
  <c r="CK160" i="33"/>
  <c r="CK161" i="33" s="1"/>
  <c r="CK162" i="33" s="1"/>
  <c r="DM160" i="33"/>
  <c r="DM161" i="33" s="1"/>
  <c r="DM162" i="33" s="1"/>
  <c r="CS160" i="33"/>
  <c r="CS161" i="33" s="1"/>
  <c r="CS162" i="33" s="1"/>
  <c r="DL160" i="33"/>
  <c r="DL161" i="33" s="1"/>
  <c r="DL162" i="33" s="1"/>
  <c r="DT160" i="33"/>
  <c r="DT161" i="33" s="1"/>
  <c r="DT162" i="33" s="1"/>
  <c r="EB160" i="33"/>
  <c r="EB161" i="33" s="1"/>
  <c r="EB162" i="33" s="1"/>
  <c r="DS160" i="33"/>
  <c r="DS161" i="33" s="1"/>
  <c r="DS162" i="33" s="1"/>
  <c r="DK160" i="33"/>
  <c r="DK161" i="33" s="1"/>
  <c r="DK162" i="33" s="1"/>
  <c r="DU160" i="33"/>
  <c r="DU161" i="33" s="1"/>
  <c r="DU162" i="33" s="1"/>
  <c r="DF89" i="33"/>
  <c r="DQ89" i="33"/>
  <c r="CW91" i="33"/>
  <c r="CP91" i="33"/>
  <c r="AV93" i="33"/>
  <c r="BQ93" i="33"/>
  <c r="CR93" i="33"/>
  <c r="DH89" i="33"/>
  <c r="DV89" i="33"/>
  <c r="CT91" i="33"/>
  <c r="CU91" i="33"/>
  <c r="BA93" i="33"/>
  <c r="CB93" i="33"/>
  <c r="CX93" i="33"/>
  <c r="EA160" i="33"/>
  <c r="EA161" i="33" s="1"/>
  <c r="EA162" i="33" s="1"/>
  <c r="DI89" i="33"/>
  <c r="DW89" i="33"/>
  <c r="CB91" i="33"/>
  <c r="CX91" i="33"/>
  <c r="BD93" i="33"/>
  <c r="CE93" i="33"/>
  <c r="CI160" i="33"/>
  <c r="CI161" i="33" s="1"/>
  <c r="CI162" i="33" s="1"/>
  <c r="CQ160" i="33"/>
  <c r="CQ161" i="33" s="1"/>
  <c r="CQ162" i="33" s="1"/>
  <c r="CY160" i="33"/>
  <c r="CY161" i="33" s="1"/>
  <c r="CY162" i="33" s="1"/>
  <c r="DK89" i="33"/>
  <c r="DX89" i="33"/>
  <c r="CE91" i="33"/>
  <c r="BF93" i="33"/>
  <c r="CH93" i="33"/>
  <c r="DN89" i="33"/>
  <c r="DY89" i="33"/>
  <c r="CH91" i="33"/>
  <c r="BI93" i="33"/>
  <c r="CJ93" i="33"/>
  <c r="CC160" i="33"/>
  <c r="CC161" i="33" s="1"/>
  <c r="CC162" i="33" s="1"/>
  <c r="DO89" i="33"/>
  <c r="EA89" i="33"/>
  <c r="CJ91" i="33"/>
  <c r="BL93" i="33"/>
  <c r="CM93" i="33"/>
  <c r="DU89" i="33"/>
  <c r="BS93" i="33"/>
  <c r="BN93" i="33"/>
  <c r="CE160" i="33"/>
  <c r="CE161" i="33" s="1"/>
  <c r="CE162" i="33" s="1"/>
  <c r="CM160" i="33"/>
  <c r="CM161" i="33" s="1"/>
  <c r="CM162" i="33" s="1"/>
  <c r="CU160" i="33"/>
  <c r="CU161" i="33" s="1"/>
  <c r="CU162" i="33" s="1"/>
  <c r="BZ122" i="33"/>
  <c r="BZ99" i="33"/>
  <c r="BZ88" i="33"/>
  <c r="BZ152" i="33" s="1"/>
  <c r="BZ125" i="33"/>
  <c r="BZ102" i="33"/>
  <c r="BZ79" i="33"/>
  <c r="BZ113" i="33" s="1"/>
  <c r="BZ91" i="33"/>
  <c r="BZ155" i="33" s="1"/>
  <c r="BZ126" i="33"/>
  <c r="BZ103" i="33"/>
  <c r="BZ80" i="33"/>
  <c r="BZ114" i="33" s="1"/>
  <c r="BZ92" i="33"/>
  <c r="BZ156" i="33" s="1"/>
  <c r="DC129" i="33"/>
  <c r="DC106" i="33"/>
  <c r="DC95" i="33"/>
  <c r="DC158" i="33" s="1"/>
  <c r="DC84" i="33"/>
  <c r="DC117" i="33" s="1"/>
  <c r="BZ124" i="33"/>
  <c r="BZ101" i="33"/>
  <c r="BZ78" i="33"/>
  <c r="BZ112" i="33" s="1"/>
  <c r="BZ90" i="33"/>
  <c r="BZ154" i="33" s="1"/>
  <c r="DC127" i="33"/>
  <c r="DC104" i="33"/>
  <c r="DC81" i="33"/>
  <c r="DC115" i="33" s="1"/>
  <c r="DC93" i="33"/>
  <c r="DC128" i="33"/>
  <c r="DC105" i="33"/>
  <c r="DC94" i="33"/>
  <c r="DC157" i="33" s="1"/>
  <c r="DC82" i="33"/>
  <c r="DC116" i="33" s="1"/>
  <c r="DC121" i="33"/>
  <c r="DC98" i="33"/>
  <c r="DC75" i="33"/>
  <c r="DC109" i="33" s="1"/>
  <c r="DC87" i="33"/>
  <c r="DC151" i="33" s="1"/>
  <c r="BZ121" i="33"/>
  <c r="BZ98" i="33"/>
  <c r="BZ87" i="33"/>
  <c r="BZ151" i="33" s="1"/>
  <c r="I138" i="33"/>
  <c r="I134" i="33"/>
  <c r="I129" i="33"/>
  <c r="Q138" i="33"/>
  <c r="Q129" i="33"/>
  <c r="Q134" i="33"/>
  <c r="Y138" i="33"/>
  <c r="Y134" i="33"/>
  <c r="Y129" i="33"/>
  <c r="BR94" i="33"/>
  <c r="BJ94" i="33"/>
  <c r="BB94" i="33"/>
  <c r="BQ94" i="33"/>
  <c r="BI94" i="33"/>
  <c r="BA94" i="33"/>
  <c r="BP94" i="33"/>
  <c r="BH94" i="33"/>
  <c r="AZ94" i="33"/>
  <c r="BO94" i="33"/>
  <c r="BG94" i="33"/>
  <c r="AY94" i="33"/>
  <c r="BN94" i="33"/>
  <c r="BF94" i="33"/>
  <c r="AX94" i="33"/>
  <c r="BL94" i="33"/>
  <c r="BD94" i="33"/>
  <c r="AV94" i="33"/>
  <c r="CG94" i="33"/>
  <c r="BZ169" i="33"/>
  <c r="BZ134" i="33"/>
  <c r="DC126" i="33"/>
  <c r="DC103" i="33"/>
  <c r="DC76" i="33"/>
  <c r="DC110" i="33" s="1"/>
  <c r="AW94" i="33"/>
  <c r="CI94" i="33"/>
  <c r="C114" i="33"/>
  <c r="D114" i="33" s="1"/>
  <c r="O136" i="33"/>
  <c r="O140" i="33"/>
  <c r="O131" i="33"/>
  <c r="C112" i="33"/>
  <c r="W140" i="33"/>
  <c r="W136" i="33"/>
  <c r="W131" i="33"/>
  <c r="AE140" i="33"/>
  <c r="AE131" i="33"/>
  <c r="AE136" i="33"/>
  <c r="DC123" i="33"/>
  <c r="DC100" i="33"/>
  <c r="BZ128" i="33"/>
  <c r="BZ105" i="33"/>
  <c r="BZ94" i="33"/>
  <c r="BZ157" i="33" s="1"/>
  <c r="AT84" i="33"/>
  <c r="K138" i="33"/>
  <c r="K134" i="33"/>
  <c r="K129" i="33"/>
  <c r="S138" i="33"/>
  <c r="S129" i="33"/>
  <c r="S134" i="33"/>
  <c r="AA138" i="33"/>
  <c r="AA129" i="33"/>
  <c r="AA134" i="33"/>
  <c r="BC94" i="33"/>
  <c r="CO94" i="33"/>
  <c r="CT96" i="33"/>
  <c r="CL96" i="33"/>
  <c r="CD96" i="33"/>
  <c r="BP96" i="33"/>
  <c r="BH96" i="33"/>
  <c r="AZ96" i="33"/>
  <c r="CS96" i="33"/>
  <c r="CK96" i="33"/>
  <c r="CC96" i="33"/>
  <c r="BO96" i="33"/>
  <c r="BG96" i="33"/>
  <c r="AY96" i="33"/>
  <c r="CR96" i="33"/>
  <c r="CJ96" i="33"/>
  <c r="CB96" i="33"/>
  <c r="BN96" i="33"/>
  <c r="BF96" i="33"/>
  <c r="AX96" i="33"/>
  <c r="BM96" i="33"/>
  <c r="BE96" i="33"/>
  <c r="AW96" i="33"/>
  <c r="BL96" i="33"/>
  <c r="BD96" i="33"/>
  <c r="AV96" i="33"/>
  <c r="CF96" i="33"/>
  <c r="BR96" i="33"/>
  <c r="BJ96" i="33"/>
  <c r="BB96" i="33"/>
  <c r="CE96" i="33"/>
  <c r="BZ89" i="33"/>
  <c r="BZ153" i="33" s="1"/>
  <c r="DC125" i="33"/>
  <c r="DC102" i="33"/>
  <c r="BZ130" i="33"/>
  <c r="BZ107" i="33"/>
  <c r="BZ96" i="33"/>
  <c r="BZ159" i="33" s="1"/>
  <c r="BK94" i="33"/>
  <c r="CW94" i="33"/>
  <c r="BZ100" i="33"/>
  <c r="DC122" i="33"/>
  <c r="DC99" i="33"/>
  <c r="BZ127" i="33"/>
  <c r="BZ104" i="33"/>
  <c r="DC130" i="33"/>
  <c r="DC96" i="33"/>
  <c r="DC159" i="33" s="1"/>
  <c r="DC107" i="33"/>
  <c r="DC85" i="33"/>
  <c r="DC118" i="33" s="1"/>
  <c r="BZ77" i="33"/>
  <c r="BZ111" i="33" s="1"/>
  <c r="DC80" i="33"/>
  <c r="DC114" i="33" s="1"/>
  <c r="BM94" i="33"/>
  <c r="DG160" i="33"/>
  <c r="DG161" i="33" s="1"/>
  <c r="DG162" i="33" s="1"/>
  <c r="DO160" i="33"/>
  <c r="DO161" i="33" s="1"/>
  <c r="DO162" i="33" s="1"/>
  <c r="DW160" i="33"/>
  <c r="DW161" i="33" s="1"/>
  <c r="DW162" i="33" s="1"/>
  <c r="L135" i="33"/>
  <c r="L139" i="33"/>
  <c r="L130" i="33"/>
  <c r="T139" i="33"/>
  <c r="T135" i="33"/>
  <c r="T130" i="33"/>
  <c r="AB135" i="33"/>
  <c r="AB139" i="33"/>
  <c r="AB130" i="33"/>
  <c r="DC92" i="33"/>
  <c r="DC156" i="33" s="1"/>
  <c r="BZ93" i="33"/>
  <c r="DC124" i="33"/>
  <c r="DC101" i="33"/>
  <c r="BZ129" i="33"/>
  <c r="BZ106" i="33"/>
  <c r="BZ84" i="33"/>
  <c r="BZ117" i="33" s="1"/>
  <c r="C119" i="33"/>
  <c r="D119" i="33" s="1"/>
  <c r="CV94" i="33"/>
  <c r="CN94" i="33"/>
  <c r="CF94" i="33"/>
  <c r="CU94" i="33"/>
  <c r="CM94" i="33"/>
  <c r="CE94" i="33"/>
  <c r="CT94" i="33"/>
  <c r="CL94" i="33"/>
  <c r="CD94" i="33"/>
  <c r="CS94" i="33"/>
  <c r="CK94" i="33"/>
  <c r="CC94" i="33"/>
  <c r="CR94" i="33"/>
  <c r="CJ94" i="33"/>
  <c r="CB94" i="33"/>
  <c r="CX94" i="33"/>
  <c r="CP94" i="33"/>
  <c r="CH94" i="33"/>
  <c r="AW87" i="33"/>
  <c r="BE87" i="33"/>
  <c r="BM87" i="33"/>
  <c r="CI87" i="33"/>
  <c r="CQ87" i="33"/>
  <c r="CY87" i="33"/>
  <c r="DJ87" i="33"/>
  <c r="DR87" i="33"/>
  <c r="DZ87" i="33"/>
  <c r="AW88" i="33"/>
  <c r="BE88" i="33"/>
  <c r="BM88" i="33"/>
  <c r="CI88" i="33"/>
  <c r="CQ88" i="33"/>
  <c r="CY88" i="33"/>
  <c r="DJ88" i="33"/>
  <c r="DR88" i="33"/>
  <c r="DZ88" i="33"/>
  <c r="AW89" i="33"/>
  <c r="BE89" i="33"/>
  <c r="BM89" i="33"/>
  <c r="CI89" i="33"/>
  <c r="CQ89" i="33"/>
  <c r="CY89" i="33"/>
  <c r="DJ89" i="33"/>
  <c r="DR89" i="33"/>
  <c r="DZ89" i="33"/>
  <c r="AW90" i="33"/>
  <c r="BE90" i="33"/>
  <c r="BM90" i="33"/>
  <c r="CI90" i="33"/>
  <c r="CQ90" i="33"/>
  <c r="CY90" i="33"/>
  <c r="AW91" i="33"/>
  <c r="BE91" i="33"/>
  <c r="BM91" i="33"/>
  <c r="CI91" i="33"/>
  <c r="CQ91" i="33"/>
  <c r="CY91" i="33"/>
  <c r="AW92" i="33"/>
  <c r="BE92" i="33"/>
  <c r="BM92" i="33"/>
  <c r="CI92" i="33"/>
  <c r="CQ92" i="33"/>
  <c r="CY92" i="33"/>
  <c r="AW93" i="33"/>
  <c r="BE93" i="33"/>
  <c r="BM93" i="33"/>
  <c r="CI93" i="33"/>
  <c r="CQ93" i="33"/>
  <c r="CY93" i="33"/>
  <c r="J138" i="33"/>
  <c r="J129" i="33"/>
  <c r="J134" i="33"/>
  <c r="R138" i="33"/>
  <c r="R129" i="33"/>
  <c r="R134" i="33"/>
  <c r="Z138" i="33"/>
  <c r="Z129" i="33"/>
  <c r="BC95" i="33"/>
  <c r="BK95" i="33"/>
  <c r="BS95" i="33"/>
  <c r="CG95" i="33"/>
  <c r="CO95" i="33"/>
  <c r="CW95" i="33"/>
  <c r="DH95" i="33"/>
  <c r="DP95" i="33"/>
  <c r="DX95" i="33"/>
  <c r="CN96" i="33"/>
  <c r="CV96" i="33"/>
  <c r="DG96" i="33"/>
  <c r="DO96" i="33"/>
  <c r="DW96" i="33"/>
  <c r="CD160" i="33"/>
  <c r="CD161" i="33" s="1"/>
  <c r="CD162" i="33" s="1"/>
  <c r="CL160" i="33"/>
  <c r="CL161" i="33" s="1"/>
  <c r="CL162" i="33" s="1"/>
  <c r="CT160" i="33"/>
  <c r="CT161" i="33" s="1"/>
  <c r="CT162" i="33" s="1"/>
  <c r="DF160" i="33"/>
  <c r="DF161" i="33" s="1"/>
  <c r="DF162" i="33" s="1"/>
  <c r="DN160" i="33"/>
  <c r="DN161" i="33" s="1"/>
  <c r="DN162" i="33" s="1"/>
  <c r="DV160" i="33"/>
  <c r="DV161" i="33" s="1"/>
  <c r="DV162" i="33" s="1"/>
  <c r="K139" i="33"/>
  <c r="K135" i="33"/>
  <c r="S139" i="33"/>
  <c r="S135" i="33"/>
  <c r="S130" i="33"/>
  <c r="AA139" i="33"/>
  <c r="AA135" i="33"/>
  <c r="AA130" i="33"/>
  <c r="N140" i="33"/>
  <c r="N136" i="33"/>
  <c r="N131" i="33"/>
  <c r="V140" i="33"/>
  <c r="V136" i="33"/>
  <c r="V131" i="33"/>
  <c r="AD140" i="33"/>
  <c r="AD136" i="33"/>
  <c r="AD131" i="33"/>
  <c r="AY87" i="33"/>
  <c r="BG87" i="33"/>
  <c r="BO87" i="33"/>
  <c r="CC87" i="33"/>
  <c r="CK87" i="33"/>
  <c r="DL87" i="33"/>
  <c r="DT87" i="33"/>
  <c r="AY88" i="33"/>
  <c r="BG88" i="33"/>
  <c r="BO88" i="33"/>
  <c r="CC88" i="33"/>
  <c r="CK88" i="33"/>
  <c r="CS88" i="33"/>
  <c r="DL88" i="33"/>
  <c r="DT88" i="33"/>
  <c r="EB88" i="33"/>
  <c r="AY89" i="33"/>
  <c r="BG89" i="33"/>
  <c r="BO89" i="33"/>
  <c r="CC89" i="33"/>
  <c r="CK89" i="33"/>
  <c r="CS89" i="33"/>
  <c r="DL89" i="33"/>
  <c r="DT89" i="33"/>
  <c r="EB89" i="33"/>
  <c r="AY90" i="33"/>
  <c r="BG90" i="33"/>
  <c r="BO90" i="33"/>
  <c r="CC90" i="33"/>
  <c r="CK90" i="33"/>
  <c r="CS90" i="33"/>
  <c r="DL90" i="33"/>
  <c r="DT90" i="33"/>
  <c r="EB90" i="33"/>
  <c r="AY91" i="33"/>
  <c r="BG91" i="33"/>
  <c r="BO91" i="33"/>
  <c r="CC91" i="33"/>
  <c r="CK91" i="33"/>
  <c r="CS91" i="33"/>
  <c r="DL91" i="33"/>
  <c r="DT91" i="33"/>
  <c r="EB91" i="33"/>
  <c r="AY92" i="33"/>
  <c r="BG92" i="33"/>
  <c r="BO92" i="33"/>
  <c r="CC92" i="33"/>
  <c r="CK92" i="33"/>
  <c r="CS92" i="33"/>
  <c r="DL92" i="33"/>
  <c r="DT92" i="33"/>
  <c r="EB92" i="33"/>
  <c r="AY93" i="33"/>
  <c r="BG93" i="33"/>
  <c r="BO93" i="33"/>
  <c r="CC93" i="33"/>
  <c r="CK93" i="33"/>
  <c r="CS93" i="33"/>
  <c r="DL93" i="33"/>
  <c r="DT93" i="33"/>
  <c r="EB93" i="33"/>
  <c r="L138" i="33"/>
  <c r="L129" i="33"/>
  <c r="L134" i="33"/>
  <c r="T138" i="33"/>
  <c r="T129" i="33"/>
  <c r="T134" i="33"/>
  <c r="AB138" i="33"/>
  <c r="AB129" i="33"/>
  <c r="AB134" i="33"/>
  <c r="DK94" i="33"/>
  <c r="DS94" i="33"/>
  <c r="EA94" i="33"/>
  <c r="AW95" i="33"/>
  <c r="BE95" i="33"/>
  <c r="BM95" i="33"/>
  <c r="CI95" i="33"/>
  <c r="CQ95" i="33"/>
  <c r="CY95" i="33"/>
  <c r="DJ95" i="33"/>
  <c r="DR95" i="33"/>
  <c r="DZ95" i="33"/>
  <c r="CH96" i="33"/>
  <c r="CP96" i="33"/>
  <c r="CX96" i="33"/>
  <c r="DI96" i="33"/>
  <c r="DQ96" i="33"/>
  <c r="DY96" i="33"/>
  <c r="CF160" i="33"/>
  <c r="CF161" i="33" s="1"/>
  <c r="CF162" i="33" s="1"/>
  <c r="CN160" i="33"/>
  <c r="CN161" i="33" s="1"/>
  <c r="CN162" i="33" s="1"/>
  <c r="CV160" i="33"/>
  <c r="CV161" i="33" s="1"/>
  <c r="CV162" i="33" s="1"/>
  <c r="DH160" i="33"/>
  <c r="DH161" i="33" s="1"/>
  <c r="DH162" i="33" s="1"/>
  <c r="DP160" i="33"/>
  <c r="DP161" i="33" s="1"/>
  <c r="DP162" i="33" s="1"/>
  <c r="DX160" i="33"/>
  <c r="DX161" i="33" s="1"/>
  <c r="DX162" i="33" s="1"/>
  <c r="M139" i="33"/>
  <c r="M130" i="33"/>
  <c r="M135" i="33"/>
  <c r="U139" i="33"/>
  <c r="U130" i="33"/>
  <c r="AC139" i="33"/>
  <c r="AC130" i="33"/>
  <c r="AC135" i="33"/>
  <c r="C111" i="33"/>
  <c r="H140" i="33"/>
  <c r="H131" i="33"/>
  <c r="H136" i="33"/>
  <c r="C121" i="33"/>
  <c r="D121" i="33" s="1"/>
  <c r="C124" i="33"/>
  <c r="D124" i="33" s="1"/>
  <c r="P140" i="33"/>
  <c r="P131" i="33"/>
  <c r="P136" i="33"/>
  <c r="X140" i="33"/>
  <c r="X136" i="33"/>
  <c r="X131" i="33"/>
  <c r="AZ87" i="33"/>
  <c r="BH87" i="33"/>
  <c r="BP87" i="33"/>
  <c r="CD87" i="33"/>
  <c r="CL87" i="33"/>
  <c r="CT87" i="33"/>
  <c r="AZ88" i="33"/>
  <c r="BH88" i="33"/>
  <c r="BP88" i="33"/>
  <c r="CD88" i="33"/>
  <c r="CL88" i="33"/>
  <c r="DM88" i="33"/>
  <c r="AZ89" i="33"/>
  <c r="BH89" i="33"/>
  <c r="BP89" i="33"/>
  <c r="CD89" i="33"/>
  <c r="CL89" i="33"/>
  <c r="DE89" i="33"/>
  <c r="DM89" i="33"/>
  <c r="AZ90" i="33"/>
  <c r="BH90" i="33"/>
  <c r="BP90" i="33"/>
  <c r="CD90" i="33"/>
  <c r="CL90" i="33"/>
  <c r="AZ91" i="33"/>
  <c r="BH91" i="33"/>
  <c r="BP91" i="33"/>
  <c r="CD91" i="33"/>
  <c r="CL91" i="33"/>
  <c r="DE91" i="33"/>
  <c r="DM91" i="33"/>
  <c r="AZ92" i="33"/>
  <c r="BH92" i="33"/>
  <c r="BP92" i="33"/>
  <c r="CD92" i="33"/>
  <c r="CL92" i="33"/>
  <c r="CT92" i="33"/>
  <c r="DE92" i="33"/>
  <c r="DM92" i="33"/>
  <c r="AZ93" i="33"/>
  <c r="BH93" i="33"/>
  <c r="BP93" i="33"/>
  <c r="CD93" i="33"/>
  <c r="CL93" i="33"/>
  <c r="CT93" i="33"/>
  <c r="DE93" i="33"/>
  <c r="DM93" i="33"/>
  <c r="M138" i="33"/>
  <c r="M129" i="33"/>
  <c r="U138" i="33"/>
  <c r="U129" i="33"/>
  <c r="U134" i="33"/>
  <c r="AC129" i="33"/>
  <c r="AC134" i="33"/>
  <c r="DL94" i="33"/>
  <c r="DT94" i="33"/>
  <c r="AX95" i="33"/>
  <c r="BF95" i="33"/>
  <c r="BN95" i="33"/>
  <c r="CB95" i="33"/>
  <c r="CJ95" i="33"/>
  <c r="CR95" i="33"/>
  <c r="DK95" i="33"/>
  <c r="DS95" i="33"/>
  <c r="EA95" i="33"/>
  <c r="CI96" i="33"/>
  <c r="CQ96" i="33"/>
  <c r="DJ96" i="33"/>
  <c r="DR96" i="33"/>
  <c r="DZ96" i="33"/>
  <c r="CG160" i="33"/>
  <c r="CG161" i="33" s="1"/>
  <c r="CG162" i="33" s="1"/>
  <c r="CO160" i="33"/>
  <c r="CO161" i="33" s="1"/>
  <c r="CO162" i="33" s="1"/>
  <c r="CW160" i="33"/>
  <c r="CW161" i="33" s="1"/>
  <c r="CW162" i="33" s="1"/>
  <c r="DI160" i="33"/>
  <c r="DI161" i="33" s="1"/>
  <c r="DI162" i="33" s="1"/>
  <c r="DQ160" i="33"/>
  <c r="DQ161" i="33" s="1"/>
  <c r="DQ162" i="33" s="1"/>
  <c r="DY160" i="33"/>
  <c r="DY161" i="33" s="1"/>
  <c r="DY162" i="33" s="1"/>
  <c r="N139" i="33"/>
  <c r="N135" i="33"/>
  <c r="N130" i="33"/>
  <c r="V139" i="33"/>
  <c r="V130" i="33"/>
  <c r="V135" i="33"/>
  <c r="AD139" i="33"/>
  <c r="AD135" i="33"/>
  <c r="AD130" i="33"/>
  <c r="I140" i="33"/>
  <c r="I136" i="33"/>
  <c r="I131" i="33"/>
  <c r="Q140" i="33"/>
  <c r="Q136" i="33"/>
  <c r="Q131" i="33"/>
  <c r="Y140" i="33"/>
  <c r="Y136" i="33"/>
  <c r="N129" i="33"/>
  <c r="N138" i="33"/>
  <c r="N134" i="33"/>
  <c r="V138" i="33"/>
  <c r="V129" i="33"/>
  <c r="V134" i="33"/>
  <c r="AD129" i="33"/>
  <c r="AD134" i="33"/>
  <c r="AD138" i="33"/>
  <c r="CS95" i="33"/>
  <c r="DL95" i="33"/>
  <c r="DT95" i="33"/>
  <c r="EB95" i="33"/>
  <c r="CH160" i="33"/>
  <c r="CH161" i="33" s="1"/>
  <c r="CH162" i="33" s="1"/>
  <c r="CP160" i="33"/>
  <c r="CP161" i="33" s="1"/>
  <c r="CP162" i="33" s="1"/>
  <c r="CX160" i="33"/>
  <c r="CX161" i="33" s="1"/>
  <c r="CX162" i="33" s="1"/>
  <c r="DJ160" i="33"/>
  <c r="DJ161" i="33" s="1"/>
  <c r="DJ162" i="33" s="1"/>
  <c r="DR160" i="33"/>
  <c r="DR161" i="33" s="1"/>
  <c r="DR162" i="33" s="1"/>
  <c r="DZ160" i="33"/>
  <c r="DZ161" i="33" s="1"/>
  <c r="DZ162" i="33" s="1"/>
  <c r="O139" i="33"/>
  <c r="O130" i="33"/>
  <c r="O135" i="33"/>
  <c r="W139" i="33"/>
  <c r="W130" i="33"/>
  <c r="W135" i="33"/>
  <c r="AE139" i="33"/>
  <c r="AE130" i="33"/>
  <c r="AE135" i="33"/>
  <c r="C110" i="33"/>
  <c r="J140" i="33"/>
  <c r="J136" i="33"/>
  <c r="J131" i="33"/>
  <c r="R140" i="33"/>
  <c r="R136" i="33"/>
  <c r="R131" i="33"/>
  <c r="Z140" i="33"/>
  <c r="Z136" i="33"/>
  <c r="Z131" i="33"/>
  <c r="U135" i="33"/>
  <c r="CV90" i="33"/>
  <c r="BB91" i="33"/>
  <c r="BJ91" i="33"/>
  <c r="BR91" i="33"/>
  <c r="CF91" i="33"/>
  <c r="CN91" i="33"/>
  <c r="CV91" i="33"/>
  <c r="BB92" i="33"/>
  <c r="BJ92" i="33"/>
  <c r="BR92" i="33"/>
  <c r="CF92" i="33"/>
  <c r="CN92" i="33"/>
  <c r="CV92" i="33"/>
  <c r="BB93" i="33"/>
  <c r="BJ93" i="33"/>
  <c r="BR93" i="33"/>
  <c r="CF93" i="33"/>
  <c r="CN93" i="33"/>
  <c r="CV93" i="33"/>
  <c r="O138" i="33"/>
  <c r="O129" i="33"/>
  <c r="O134" i="33"/>
  <c r="W138" i="33"/>
  <c r="W134" i="33"/>
  <c r="AE138" i="33"/>
  <c r="AE129" i="33"/>
  <c r="AE134" i="33"/>
  <c r="AZ95" i="33"/>
  <c r="BH95" i="33"/>
  <c r="BP95" i="33"/>
  <c r="CD95" i="33"/>
  <c r="CL95" i="33"/>
  <c r="CT95" i="33"/>
  <c r="DE95" i="33"/>
  <c r="DM95" i="33"/>
  <c r="DU95" i="33"/>
  <c r="DL96" i="33"/>
  <c r="DT96" i="33"/>
  <c r="EB96" i="33"/>
  <c r="C120" i="33"/>
  <c r="D120" i="33" s="1"/>
  <c r="H130" i="33"/>
  <c r="H139" i="33"/>
  <c r="H135" i="33"/>
  <c r="P139" i="33"/>
  <c r="P135" i="33"/>
  <c r="P130" i="33"/>
  <c r="X139" i="33"/>
  <c r="X135" i="33"/>
  <c r="K140" i="33"/>
  <c r="K136" i="33"/>
  <c r="K131" i="33"/>
  <c r="S140" i="33"/>
  <c r="S136" i="33"/>
  <c r="S131" i="33"/>
  <c r="AA136" i="33"/>
  <c r="AA140" i="33"/>
  <c r="AA131" i="33"/>
  <c r="C117" i="33"/>
  <c r="D117" i="33" s="1"/>
  <c r="C123" i="33"/>
  <c r="D123" i="33" s="1"/>
  <c r="BC87" i="33"/>
  <c r="BK87" i="33"/>
  <c r="BS87" i="33"/>
  <c r="CG87" i="33"/>
  <c r="CO87" i="33"/>
  <c r="BC88" i="33"/>
  <c r="BK88" i="33"/>
  <c r="BS88" i="33"/>
  <c r="CG88" i="33"/>
  <c r="CO88" i="33"/>
  <c r="BC89" i="33"/>
  <c r="BK89" i="33"/>
  <c r="BS89" i="33"/>
  <c r="CG89" i="33"/>
  <c r="CO89" i="33"/>
  <c r="BC90" i="33"/>
  <c r="BK90" i="33"/>
  <c r="BS90" i="33"/>
  <c r="CG90" i="33"/>
  <c r="CO90" i="33"/>
  <c r="BC91" i="33"/>
  <c r="BK91" i="33"/>
  <c r="BS91" i="33"/>
  <c r="CG91" i="33"/>
  <c r="CO91" i="33"/>
  <c r="BC92" i="33"/>
  <c r="BK92" i="33"/>
  <c r="BS92" i="33"/>
  <c r="CG92" i="33"/>
  <c r="BC93" i="33"/>
  <c r="BK93" i="33"/>
  <c r="CG93" i="33"/>
  <c r="CO93" i="33"/>
  <c r="H138" i="33"/>
  <c r="H134" i="33"/>
  <c r="H129" i="33"/>
  <c r="C122" i="33"/>
  <c r="D122" i="33" s="1"/>
  <c r="P138" i="33"/>
  <c r="P134" i="33"/>
  <c r="P129" i="33"/>
  <c r="X138" i="33"/>
  <c r="X134" i="33"/>
  <c r="X129" i="33"/>
  <c r="BA95" i="33"/>
  <c r="BI95" i="33"/>
  <c r="BQ95" i="33"/>
  <c r="CM95" i="33"/>
  <c r="DF95" i="33"/>
  <c r="DN95" i="33"/>
  <c r="DE96" i="33"/>
  <c r="DM96" i="33"/>
  <c r="I130" i="33"/>
  <c r="I135" i="33"/>
  <c r="I139" i="33"/>
  <c r="Q130" i="33"/>
  <c r="Q135" i="33"/>
  <c r="Q139" i="33"/>
  <c r="Y139" i="33"/>
  <c r="Y130" i="33"/>
  <c r="Y135" i="33"/>
  <c r="C113" i="33"/>
  <c r="D113" i="33" s="1"/>
  <c r="L136" i="33"/>
  <c r="L131" i="33"/>
  <c r="L140" i="33"/>
  <c r="T140" i="33"/>
  <c r="T131" i="33"/>
  <c r="AB140" i="33"/>
  <c r="AB131" i="33"/>
  <c r="AB136" i="33"/>
  <c r="K130" i="33"/>
  <c r="M134" i="33"/>
  <c r="AC138" i="33"/>
  <c r="J139" i="33"/>
  <c r="J135" i="33"/>
  <c r="J130" i="33"/>
  <c r="R135" i="33"/>
  <c r="R139" i="33"/>
  <c r="R130" i="33"/>
  <c r="Z139" i="33"/>
  <c r="Z135" i="33"/>
  <c r="Z130" i="33"/>
  <c r="C116" i="33"/>
  <c r="D116" i="33" s="1"/>
  <c r="M140" i="33"/>
  <c r="M136" i="33"/>
  <c r="U140" i="33"/>
  <c r="U136" i="33"/>
  <c r="U131" i="33"/>
  <c r="AC140" i="33"/>
  <c r="AC136" i="33"/>
  <c r="AC131" i="33"/>
  <c r="W129" i="33"/>
  <c r="X130" i="33"/>
  <c r="Y131" i="33"/>
  <c r="Z134" i="33"/>
  <c r="AP200" i="33"/>
  <c r="AQ200" i="33" s="1"/>
  <c r="AJ202" i="33"/>
  <c r="AK202" i="33" s="1"/>
  <c r="AP203" i="33"/>
  <c r="AQ203" i="33" s="1"/>
  <c r="AJ201" i="33"/>
  <c r="AK201" i="33" s="1"/>
  <c r="AP202" i="33"/>
  <c r="AQ202" i="33" s="1"/>
  <c r="AJ200" i="33"/>
  <c r="AK200" i="33" s="1"/>
  <c r="M132" i="33" l="1"/>
  <c r="T137" i="33"/>
  <c r="W137" i="33"/>
  <c r="N141" i="33"/>
  <c r="W132" i="33"/>
  <c r="M137" i="33"/>
  <c r="AD141" i="33"/>
  <c r="V132" i="33"/>
  <c r="X137" i="33"/>
  <c r="X141" i="33"/>
  <c r="W141" i="33"/>
  <c r="N132" i="33"/>
  <c r="P137" i="33"/>
  <c r="O132" i="33"/>
  <c r="AD132" i="33"/>
  <c r="AB132" i="33"/>
  <c r="Z137" i="33"/>
  <c r="P141" i="33"/>
  <c r="V137" i="33"/>
  <c r="X132" i="33"/>
  <c r="AE141" i="33"/>
  <c r="N137" i="33"/>
  <c r="AC141" i="33"/>
  <c r="P132" i="33"/>
  <c r="C126" i="33"/>
  <c r="D126" i="33" s="1"/>
  <c r="O137" i="33"/>
  <c r="C136" i="33"/>
  <c r="D136" i="33" s="1"/>
  <c r="C133" i="33"/>
  <c r="D133" i="33" s="1"/>
  <c r="D110" i="33"/>
  <c r="AD137" i="33"/>
  <c r="M141" i="33"/>
  <c r="L137" i="33"/>
  <c r="Z132" i="33"/>
  <c r="DC168" i="33"/>
  <c r="DC133" i="33"/>
  <c r="BZ176" i="33"/>
  <c r="BZ141" i="33"/>
  <c r="S137" i="33"/>
  <c r="Y132" i="33"/>
  <c r="I141" i="33"/>
  <c r="DC167" i="33"/>
  <c r="DC132" i="33"/>
  <c r="C130" i="33"/>
  <c r="D130" i="33" s="1"/>
  <c r="L132" i="33"/>
  <c r="Z141" i="33"/>
  <c r="BZ175" i="33"/>
  <c r="BZ140" i="33"/>
  <c r="S132" i="33"/>
  <c r="Y137" i="33"/>
  <c r="DC174" i="33"/>
  <c r="DC139" i="33"/>
  <c r="BZ170" i="33"/>
  <c r="BZ135" i="33"/>
  <c r="BZ172" i="33"/>
  <c r="BZ137" i="33"/>
  <c r="C107" i="33"/>
  <c r="D107" i="33" s="1"/>
  <c r="C99" i="33"/>
  <c r="D99" i="33" s="1"/>
  <c r="C103" i="33"/>
  <c r="D103" i="33" s="1"/>
  <c r="O141" i="33"/>
  <c r="AC137" i="33"/>
  <c r="AB137" i="33"/>
  <c r="L141" i="33"/>
  <c r="R137" i="33"/>
  <c r="DC171" i="33"/>
  <c r="DC136" i="33"/>
  <c r="S141" i="33"/>
  <c r="DC172" i="33"/>
  <c r="DC137" i="33"/>
  <c r="Y141" i="33"/>
  <c r="AE137" i="33"/>
  <c r="R132" i="33"/>
  <c r="DC170" i="33"/>
  <c r="DC135" i="33"/>
  <c r="K132" i="33"/>
  <c r="BZ174" i="33"/>
  <c r="BZ139" i="33"/>
  <c r="Q137" i="33"/>
  <c r="BZ167" i="33"/>
  <c r="BZ132" i="33"/>
  <c r="BZ168" i="33"/>
  <c r="BZ133" i="33"/>
  <c r="AC132" i="33"/>
  <c r="C127" i="33"/>
  <c r="D127" i="33" s="1"/>
  <c r="H132" i="33"/>
  <c r="C106" i="33"/>
  <c r="D106" i="33" s="1"/>
  <c r="C98" i="33"/>
  <c r="D98" i="33" s="1"/>
  <c r="C102" i="33"/>
  <c r="D102" i="33" s="1"/>
  <c r="AE132" i="33"/>
  <c r="V141" i="33"/>
  <c r="U137" i="33"/>
  <c r="C104" i="33"/>
  <c r="D104" i="33" s="1"/>
  <c r="C100" i="33"/>
  <c r="D100" i="33" s="1"/>
  <c r="C108" i="33"/>
  <c r="D108" i="33" s="1"/>
  <c r="AB141" i="33"/>
  <c r="R141" i="33"/>
  <c r="DC176" i="33"/>
  <c r="DC141" i="33"/>
  <c r="K137" i="33"/>
  <c r="C135" i="33"/>
  <c r="D135" i="33" s="1"/>
  <c r="D112" i="33"/>
  <c r="Q132" i="33"/>
  <c r="H137" i="33"/>
  <c r="C125" i="33"/>
  <c r="D125" i="33" s="1"/>
  <c r="U132" i="33"/>
  <c r="C131" i="33"/>
  <c r="D131" i="33" s="1"/>
  <c r="J137" i="33"/>
  <c r="AA137" i="33"/>
  <c r="K141" i="33"/>
  <c r="DC169" i="33"/>
  <c r="DC134" i="33"/>
  <c r="Q141" i="33"/>
  <c r="DC173" i="33"/>
  <c r="DC138" i="33"/>
  <c r="DC175" i="33"/>
  <c r="DC140" i="33"/>
  <c r="BZ171" i="33"/>
  <c r="BZ136" i="33"/>
  <c r="U141" i="33"/>
  <c r="C134" i="33"/>
  <c r="D134" i="33" s="1"/>
  <c r="D111" i="33"/>
  <c r="T132" i="33"/>
  <c r="J132" i="33"/>
  <c r="BZ173" i="33"/>
  <c r="BZ138" i="33"/>
  <c r="AA132" i="33"/>
  <c r="I132" i="33"/>
  <c r="H141" i="33"/>
  <c r="C129" i="33"/>
  <c r="D129" i="33" s="1"/>
  <c r="T141" i="33"/>
  <c r="J141" i="33"/>
  <c r="AA141" i="33"/>
  <c r="I137" i="33"/>
  <c r="C132" i="33" l="1"/>
  <c r="D132" i="33" s="1"/>
  <c r="C109" i="33"/>
  <c r="D109" i="33" s="1"/>
  <c r="C101" i="33"/>
  <c r="D101" i="33" s="1"/>
  <c r="C105" i="33"/>
  <c r="D105" i="33" s="1"/>
  <c r="C128" i="33"/>
  <c r="D128" i="33" s="1"/>
  <c r="T6" i="7" l="1"/>
  <c r="T8" i="7"/>
  <c r="T11" i="7"/>
  <c r="T13" i="7"/>
  <c r="T20" i="7"/>
  <c r="T21" i="7"/>
  <c r="T31" i="7"/>
  <c r="T5" i="7"/>
  <c r="DE49" i="30" l="1"/>
  <c r="DF49" i="30"/>
  <c r="DG49" i="30"/>
  <c r="DH49" i="30"/>
  <c r="DI49" i="30"/>
  <c r="DJ49" i="30"/>
  <c r="DK49" i="30"/>
  <c r="DL49" i="30"/>
  <c r="DM49" i="30"/>
  <c r="DN49" i="30"/>
  <c r="DO49" i="30"/>
  <c r="DP49" i="30"/>
  <c r="DQ49" i="30"/>
  <c r="DR49" i="30"/>
  <c r="DS49" i="30"/>
  <c r="DT49" i="30"/>
  <c r="DU49" i="30"/>
  <c r="DV49" i="30"/>
  <c r="DW49" i="30"/>
  <c r="DX49" i="30"/>
  <c r="DY49" i="30"/>
  <c r="DZ49" i="30"/>
  <c r="EA49" i="30"/>
  <c r="EB49" i="30"/>
  <c r="DE50" i="30"/>
  <c r="DF50" i="30"/>
  <c r="DG50" i="30"/>
  <c r="DH50" i="30"/>
  <c r="DI50" i="30"/>
  <c r="DJ50" i="30"/>
  <c r="DK50" i="30"/>
  <c r="DL50" i="30"/>
  <c r="DM50" i="30"/>
  <c r="DN50" i="30"/>
  <c r="DO50" i="30"/>
  <c r="DP50" i="30"/>
  <c r="DQ50" i="30"/>
  <c r="DR50" i="30"/>
  <c r="DS50" i="30"/>
  <c r="DT50" i="30"/>
  <c r="DU50" i="30"/>
  <c r="DV50" i="30"/>
  <c r="DW50" i="30"/>
  <c r="DX50" i="30"/>
  <c r="DY50" i="30"/>
  <c r="DZ50" i="30"/>
  <c r="EA50" i="30"/>
  <c r="EB50" i="30"/>
  <c r="DE51" i="30"/>
  <c r="DF51" i="30"/>
  <c r="DG51" i="30"/>
  <c r="DH51" i="30"/>
  <c r="DI51" i="30"/>
  <c r="DJ51" i="30"/>
  <c r="DK51" i="30"/>
  <c r="DL51" i="30"/>
  <c r="DM51" i="30"/>
  <c r="DN51" i="30"/>
  <c r="DO51" i="30"/>
  <c r="DP51" i="30"/>
  <c r="DQ51" i="30"/>
  <c r="DR51" i="30"/>
  <c r="DS51" i="30"/>
  <c r="DT51" i="30"/>
  <c r="DU51" i="30"/>
  <c r="DV51" i="30"/>
  <c r="DW51" i="30"/>
  <c r="DX51" i="30"/>
  <c r="DY51" i="30"/>
  <c r="DZ51" i="30"/>
  <c r="EA51" i="30"/>
  <c r="EB51" i="30"/>
  <c r="DE52" i="30"/>
  <c r="DF52" i="30"/>
  <c r="DG52" i="30"/>
  <c r="DH52" i="30"/>
  <c r="DI52" i="30"/>
  <c r="DJ52" i="30"/>
  <c r="DK52" i="30"/>
  <c r="DL52" i="30"/>
  <c r="DM52" i="30"/>
  <c r="DN52" i="30"/>
  <c r="DO52" i="30"/>
  <c r="DP52" i="30"/>
  <c r="DQ52" i="30"/>
  <c r="DR52" i="30"/>
  <c r="DS52" i="30"/>
  <c r="DT52" i="30"/>
  <c r="DU52" i="30"/>
  <c r="DV52" i="30"/>
  <c r="DW52" i="30"/>
  <c r="DX52" i="30"/>
  <c r="DY52" i="30"/>
  <c r="DZ52" i="30"/>
  <c r="EA52" i="30"/>
  <c r="EB52" i="30"/>
  <c r="DE53" i="30"/>
  <c r="DF53" i="30"/>
  <c r="DG53" i="30"/>
  <c r="DH53" i="30"/>
  <c r="DI53" i="30"/>
  <c r="DJ53" i="30"/>
  <c r="DK53" i="30"/>
  <c r="DL53" i="30"/>
  <c r="DM53" i="30"/>
  <c r="DN53" i="30"/>
  <c r="DO53" i="30"/>
  <c r="DP53" i="30"/>
  <c r="DQ53" i="30"/>
  <c r="DR53" i="30"/>
  <c r="DS53" i="30"/>
  <c r="DT53" i="30"/>
  <c r="DU53" i="30"/>
  <c r="DV53" i="30"/>
  <c r="DW53" i="30"/>
  <c r="DX53" i="30"/>
  <c r="DY53" i="30"/>
  <c r="DZ53" i="30"/>
  <c r="EA53" i="30"/>
  <c r="EB53" i="30"/>
  <c r="DE54" i="30"/>
  <c r="DF54" i="30"/>
  <c r="DG54" i="30"/>
  <c r="DH54" i="30"/>
  <c r="DI54" i="30"/>
  <c r="DJ54" i="30"/>
  <c r="DK54" i="30"/>
  <c r="DL54" i="30"/>
  <c r="DM54" i="30"/>
  <c r="DN54" i="30"/>
  <c r="DO54" i="30"/>
  <c r="DP54" i="30"/>
  <c r="DQ54" i="30"/>
  <c r="DR54" i="30"/>
  <c r="DS54" i="30"/>
  <c r="DT54" i="30"/>
  <c r="DU54" i="30"/>
  <c r="DV54" i="30"/>
  <c r="DW54" i="30"/>
  <c r="DX54" i="30"/>
  <c r="DY54" i="30"/>
  <c r="DZ54" i="30"/>
  <c r="EA54" i="30"/>
  <c r="EB54" i="30"/>
  <c r="DE55" i="30"/>
  <c r="DF55" i="30"/>
  <c r="DG55" i="30"/>
  <c r="DH55" i="30"/>
  <c r="DI55" i="30"/>
  <c r="DJ55" i="30"/>
  <c r="DK55" i="30"/>
  <c r="DL55" i="30"/>
  <c r="DM55" i="30"/>
  <c r="DN55" i="30"/>
  <c r="DO55" i="30"/>
  <c r="DP55" i="30"/>
  <c r="DQ55" i="30"/>
  <c r="DR55" i="30"/>
  <c r="DS55" i="30"/>
  <c r="DT55" i="30"/>
  <c r="DU55" i="30"/>
  <c r="DV55" i="30"/>
  <c r="DW55" i="30"/>
  <c r="DX55" i="30"/>
  <c r="DY55" i="30"/>
  <c r="DZ55" i="30"/>
  <c r="EA55" i="30"/>
  <c r="EB55" i="30"/>
  <c r="DE56" i="30"/>
  <c r="DF56" i="30"/>
  <c r="DG56" i="30"/>
  <c r="DH56" i="30"/>
  <c r="DI56" i="30"/>
  <c r="DJ56" i="30"/>
  <c r="DK56" i="30"/>
  <c r="DL56" i="30"/>
  <c r="DM56" i="30"/>
  <c r="DN56" i="30"/>
  <c r="DO56" i="30"/>
  <c r="DP56" i="30"/>
  <c r="DQ56" i="30"/>
  <c r="DR56" i="30"/>
  <c r="DS56" i="30"/>
  <c r="DT56" i="30"/>
  <c r="DU56" i="30"/>
  <c r="DV56" i="30"/>
  <c r="DW56" i="30"/>
  <c r="DX56" i="30"/>
  <c r="DY56" i="30"/>
  <c r="DZ56" i="30"/>
  <c r="EA56" i="30"/>
  <c r="EB56" i="30"/>
  <c r="DE57" i="30"/>
  <c r="DF57" i="30"/>
  <c r="DG57" i="30"/>
  <c r="DH57" i="30"/>
  <c r="DI57" i="30"/>
  <c r="DJ57" i="30"/>
  <c r="DK57" i="30"/>
  <c r="DL57" i="30"/>
  <c r="DM57" i="30"/>
  <c r="DN57" i="30"/>
  <c r="DO57" i="30"/>
  <c r="DP57" i="30"/>
  <c r="DQ57" i="30"/>
  <c r="DR57" i="30"/>
  <c r="DS57" i="30"/>
  <c r="DT57" i="30"/>
  <c r="DU57" i="30"/>
  <c r="DV57" i="30"/>
  <c r="DW57" i="30"/>
  <c r="DX57" i="30"/>
  <c r="DY57" i="30"/>
  <c r="DZ57" i="30"/>
  <c r="EA57" i="30"/>
  <c r="EB57" i="30"/>
  <c r="DF48" i="30"/>
  <c r="DG48" i="30"/>
  <c r="DH48" i="30"/>
  <c r="DI48" i="30"/>
  <c r="DJ48" i="30"/>
  <c r="DK48" i="30"/>
  <c r="DL48" i="30"/>
  <c r="DM48" i="30"/>
  <c r="DN48" i="30"/>
  <c r="DO48" i="30"/>
  <c r="DP48" i="30"/>
  <c r="DQ48" i="30"/>
  <c r="DR48" i="30"/>
  <c r="DS48" i="30"/>
  <c r="DT48" i="30"/>
  <c r="DU48" i="30"/>
  <c r="DV48" i="30"/>
  <c r="DW48" i="30"/>
  <c r="DX48" i="30"/>
  <c r="DY48" i="30"/>
  <c r="DZ48" i="30"/>
  <c r="EA48" i="30"/>
  <c r="EB48" i="30"/>
  <c r="DE48" i="30"/>
  <c r="CB49" i="30"/>
  <c r="CC49" i="30"/>
  <c r="CD49" i="30"/>
  <c r="CE49" i="30"/>
  <c r="CF49" i="30"/>
  <c r="CG49" i="30"/>
  <c r="CH49" i="30"/>
  <c r="CI49" i="30"/>
  <c r="CJ49" i="30"/>
  <c r="CK49" i="30"/>
  <c r="CL49" i="30"/>
  <c r="CM49" i="30"/>
  <c r="CN49" i="30"/>
  <c r="CO49" i="30"/>
  <c r="CP49" i="30"/>
  <c r="CQ49" i="30"/>
  <c r="CR49" i="30"/>
  <c r="CS49" i="30"/>
  <c r="CT49" i="30"/>
  <c r="CU49" i="30"/>
  <c r="CV49" i="30"/>
  <c r="CW49" i="30"/>
  <c r="CX49" i="30"/>
  <c r="CY49" i="30"/>
  <c r="CB50" i="30"/>
  <c r="CC50" i="30"/>
  <c r="CD50" i="30"/>
  <c r="CE50" i="30"/>
  <c r="CF50" i="30"/>
  <c r="CG50" i="30"/>
  <c r="CH50" i="30"/>
  <c r="CI50" i="30"/>
  <c r="CJ50" i="30"/>
  <c r="CK50" i="30"/>
  <c r="CL50" i="30"/>
  <c r="CM50" i="30"/>
  <c r="CN50" i="30"/>
  <c r="CO50" i="30"/>
  <c r="CP50" i="30"/>
  <c r="CQ50" i="30"/>
  <c r="CR50" i="30"/>
  <c r="CS50" i="30"/>
  <c r="CT50" i="30"/>
  <c r="CU50" i="30"/>
  <c r="CV50" i="30"/>
  <c r="CW50" i="30"/>
  <c r="CX50" i="30"/>
  <c r="CY50" i="30"/>
  <c r="CB51" i="30"/>
  <c r="CC51" i="30"/>
  <c r="CD51" i="30"/>
  <c r="CE51" i="30"/>
  <c r="CF51" i="30"/>
  <c r="CG51" i="30"/>
  <c r="CH51" i="30"/>
  <c r="CI51" i="30"/>
  <c r="CJ51" i="30"/>
  <c r="CK51" i="30"/>
  <c r="CL51" i="30"/>
  <c r="CM51" i="30"/>
  <c r="CN51" i="30"/>
  <c r="CO51" i="30"/>
  <c r="CP51" i="30"/>
  <c r="CQ51" i="30"/>
  <c r="CR51" i="30"/>
  <c r="CS51" i="30"/>
  <c r="CT51" i="30"/>
  <c r="CU51" i="30"/>
  <c r="CV51" i="30"/>
  <c r="CW51" i="30"/>
  <c r="CX51" i="30"/>
  <c r="CY51" i="30"/>
  <c r="CB52" i="30"/>
  <c r="CC52" i="30"/>
  <c r="CD52" i="30"/>
  <c r="CE52" i="30"/>
  <c r="CF52" i="30"/>
  <c r="CG52" i="30"/>
  <c r="CH52" i="30"/>
  <c r="CI52" i="30"/>
  <c r="CJ52" i="30"/>
  <c r="CK52" i="30"/>
  <c r="CL52" i="30"/>
  <c r="CM52" i="30"/>
  <c r="CN52" i="30"/>
  <c r="CO52" i="30"/>
  <c r="CP52" i="30"/>
  <c r="CQ52" i="30"/>
  <c r="CR52" i="30"/>
  <c r="CS52" i="30"/>
  <c r="CT52" i="30"/>
  <c r="CU52" i="30"/>
  <c r="CV52" i="30"/>
  <c r="CW52" i="30"/>
  <c r="CX52" i="30"/>
  <c r="CY52" i="30"/>
  <c r="CB53" i="30"/>
  <c r="CC53" i="30"/>
  <c r="CD53" i="30"/>
  <c r="CE53" i="30"/>
  <c r="CF53" i="30"/>
  <c r="CG53" i="30"/>
  <c r="CH53" i="30"/>
  <c r="CI53" i="30"/>
  <c r="CJ53" i="30"/>
  <c r="CK53" i="30"/>
  <c r="CL53" i="30"/>
  <c r="CM53" i="30"/>
  <c r="CN53" i="30"/>
  <c r="CO53" i="30"/>
  <c r="CP53" i="30"/>
  <c r="CQ53" i="30"/>
  <c r="CR53" i="30"/>
  <c r="CS53" i="30"/>
  <c r="CT53" i="30"/>
  <c r="CU53" i="30"/>
  <c r="CV53" i="30"/>
  <c r="CW53" i="30"/>
  <c r="CX53" i="30"/>
  <c r="CY53" i="30"/>
  <c r="CB54" i="30"/>
  <c r="CC54" i="30"/>
  <c r="CD54" i="30"/>
  <c r="CE54" i="30"/>
  <c r="CF54" i="30"/>
  <c r="CG54" i="30"/>
  <c r="CH54" i="30"/>
  <c r="CI54" i="30"/>
  <c r="CJ54" i="30"/>
  <c r="CK54" i="30"/>
  <c r="CL54" i="30"/>
  <c r="CM54" i="30"/>
  <c r="CN54" i="30"/>
  <c r="CO54" i="30"/>
  <c r="CP54" i="30"/>
  <c r="CQ54" i="30"/>
  <c r="CR54" i="30"/>
  <c r="CS54" i="30"/>
  <c r="CT54" i="30"/>
  <c r="CU54" i="30"/>
  <c r="CV54" i="30"/>
  <c r="CW54" i="30"/>
  <c r="CX54" i="30"/>
  <c r="CY54" i="30"/>
  <c r="CB55" i="30"/>
  <c r="CC55" i="30"/>
  <c r="CD55" i="30"/>
  <c r="CE55" i="30"/>
  <c r="CF55" i="30"/>
  <c r="CG55" i="30"/>
  <c r="CH55" i="30"/>
  <c r="CI55" i="30"/>
  <c r="CJ55" i="30"/>
  <c r="CK55" i="30"/>
  <c r="CL55" i="30"/>
  <c r="CM55" i="30"/>
  <c r="CN55" i="30"/>
  <c r="CO55" i="30"/>
  <c r="CP55" i="30"/>
  <c r="CQ55" i="30"/>
  <c r="CR55" i="30"/>
  <c r="CS55" i="30"/>
  <c r="CT55" i="30"/>
  <c r="CU55" i="30"/>
  <c r="CV55" i="30"/>
  <c r="CW55" i="30"/>
  <c r="CX55" i="30"/>
  <c r="CY55" i="30"/>
  <c r="CB56" i="30"/>
  <c r="CC56" i="30"/>
  <c r="CD56" i="30"/>
  <c r="CE56" i="30"/>
  <c r="CF56" i="30"/>
  <c r="CG56" i="30"/>
  <c r="CH56" i="30"/>
  <c r="CI56" i="30"/>
  <c r="CJ56" i="30"/>
  <c r="CK56" i="30"/>
  <c r="CL56" i="30"/>
  <c r="CM56" i="30"/>
  <c r="CN56" i="30"/>
  <c r="CO56" i="30"/>
  <c r="CP56" i="30"/>
  <c r="CQ56" i="30"/>
  <c r="CR56" i="30"/>
  <c r="CS56" i="30"/>
  <c r="CT56" i="30"/>
  <c r="CU56" i="30"/>
  <c r="CV56" i="30"/>
  <c r="CW56" i="30"/>
  <c r="CX56" i="30"/>
  <c r="CY56" i="30"/>
  <c r="CB57" i="30"/>
  <c r="CC57" i="30"/>
  <c r="CD57" i="30"/>
  <c r="CE57" i="30"/>
  <c r="CF57" i="30"/>
  <c r="CG57" i="30"/>
  <c r="CH57" i="30"/>
  <c r="CI57" i="30"/>
  <c r="CJ57" i="30"/>
  <c r="CK57" i="30"/>
  <c r="CL57" i="30"/>
  <c r="CM57" i="30"/>
  <c r="CN57" i="30"/>
  <c r="CO57" i="30"/>
  <c r="CP57" i="30"/>
  <c r="CQ57" i="30"/>
  <c r="CR57" i="30"/>
  <c r="CS57" i="30"/>
  <c r="CT57" i="30"/>
  <c r="CU57" i="30"/>
  <c r="CV57" i="30"/>
  <c r="CW57" i="30"/>
  <c r="CX57" i="30"/>
  <c r="CY57" i="30"/>
  <c r="CC48" i="30"/>
  <c r="CD48" i="30"/>
  <c r="CE48" i="30"/>
  <c r="CF48" i="30"/>
  <c r="CG48" i="30"/>
  <c r="CH48" i="30"/>
  <c r="CI48" i="30"/>
  <c r="CJ48" i="30"/>
  <c r="CK48" i="30"/>
  <c r="CL48" i="30"/>
  <c r="CM48" i="30"/>
  <c r="CN48" i="30"/>
  <c r="CO48" i="30"/>
  <c r="CP48" i="30"/>
  <c r="CQ48" i="30"/>
  <c r="CR48" i="30"/>
  <c r="CS48" i="30"/>
  <c r="CT48" i="30"/>
  <c r="CU48" i="30"/>
  <c r="CV48" i="30"/>
  <c r="CW48" i="30"/>
  <c r="CX48" i="30"/>
  <c r="CY48" i="30"/>
  <c r="CB48" i="30"/>
  <c r="AV49" i="30"/>
  <c r="AW49" i="30"/>
  <c r="AX49" i="30"/>
  <c r="AY49" i="30"/>
  <c r="AZ49" i="30"/>
  <c r="BA49" i="30"/>
  <c r="BB49" i="30"/>
  <c r="BC49" i="30"/>
  <c r="BD49" i="30"/>
  <c r="BE49" i="30"/>
  <c r="BF49" i="30"/>
  <c r="BG49" i="30"/>
  <c r="BH49" i="30"/>
  <c r="BI49" i="30"/>
  <c r="BJ49" i="30"/>
  <c r="BK49" i="30"/>
  <c r="BL49" i="30"/>
  <c r="BM49" i="30"/>
  <c r="BN49" i="30"/>
  <c r="BO49" i="30"/>
  <c r="BP49" i="30"/>
  <c r="BQ49" i="30"/>
  <c r="BR49" i="30"/>
  <c r="BS49" i="30"/>
  <c r="AV50" i="30"/>
  <c r="AW50" i="30"/>
  <c r="AX50" i="30"/>
  <c r="AY50" i="30"/>
  <c r="AZ50" i="30"/>
  <c r="BA50" i="30"/>
  <c r="BB50" i="30"/>
  <c r="BC50" i="30"/>
  <c r="BD50" i="30"/>
  <c r="BE50" i="30"/>
  <c r="BF50" i="30"/>
  <c r="BG50" i="30"/>
  <c r="BH50" i="30"/>
  <c r="BI50" i="30"/>
  <c r="BJ50" i="30"/>
  <c r="BK50" i="30"/>
  <c r="BL50" i="30"/>
  <c r="BM50" i="30"/>
  <c r="BN50" i="30"/>
  <c r="BO50" i="30"/>
  <c r="BP50" i="30"/>
  <c r="BQ50" i="30"/>
  <c r="BR50" i="30"/>
  <c r="BS50" i="30"/>
  <c r="AV51" i="30"/>
  <c r="AW51" i="30"/>
  <c r="AX51" i="30"/>
  <c r="AY51" i="30"/>
  <c r="AZ51" i="30"/>
  <c r="BA51" i="30"/>
  <c r="BB51" i="30"/>
  <c r="BC51" i="30"/>
  <c r="BD51" i="30"/>
  <c r="BE51" i="30"/>
  <c r="BF51" i="30"/>
  <c r="BG51" i="30"/>
  <c r="BH51" i="30"/>
  <c r="BI51" i="30"/>
  <c r="BJ51" i="30"/>
  <c r="BK51" i="30"/>
  <c r="BL51" i="30"/>
  <c r="BM51" i="30"/>
  <c r="BN51" i="30"/>
  <c r="BO51" i="30"/>
  <c r="BP51" i="30"/>
  <c r="BQ51" i="30"/>
  <c r="BR51" i="30"/>
  <c r="BS51" i="30"/>
  <c r="AV52" i="30"/>
  <c r="AW52" i="30"/>
  <c r="AX52" i="30"/>
  <c r="AY52" i="30"/>
  <c r="AZ52" i="30"/>
  <c r="BA52" i="30"/>
  <c r="BB52" i="30"/>
  <c r="BC52" i="30"/>
  <c r="BD52" i="30"/>
  <c r="BE52" i="30"/>
  <c r="BF52" i="30"/>
  <c r="BG52" i="30"/>
  <c r="BH52" i="30"/>
  <c r="BI52" i="30"/>
  <c r="BJ52" i="30"/>
  <c r="BK52" i="30"/>
  <c r="BL52" i="30"/>
  <c r="BM52" i="30"/>
  <c r="BN52" i="30"/>
  <c r="BO52" i="30"/>
  <c r="BP52" i="30"/>
  <c r="BQ52" i="30"/>
  <c r="BR52" i="30"/>
  <c r="BS52" i="30"/>
  <c r="AV53" i="30"/>
  <c r="AW53" i="30"/>
  <c r="AX53" i="30"/>
  <c r="AY53" i="30"/>
  <c r="AZ53" i="30"/>
  <c r="BA53" i="30"/>
  <c r="BB53" i="30"/>
  <c r="BC53" i="30"/>
  <c r="BD53" i="30"/>
  <c r="BE53" i="30"/>
  <c r="BF53" i="30"/>
  <c r="BG53" i="30"/>
  <c r="BH53" i="30"/>
  <c r="BI53" i="30"/>
  <c r="BJ53" i="30"/>
  <c r="BK53" i="30"/>
  <c r="BL53" i="30"/>
  <c r="BM53" i="30"/>
  <c r="BN53" i="30"/>
  <c r="BO53" i="30"/>
  <c r="BP53" i="30"/>
  <c r="BQ53" i="30"/>
  <c r="BR53" i="30"/>
  <c r="BS53" i="30"/>
  <c r="AV54" i="30"/>
  <c r="AW54" i="30"/>
  <c r="AX54" i="30"/>
  <c r="AY54" i="30"/>
  <c r="AZ54" i="30"/>
  <c r="BA54" i="30"/>
  <c r="BB54" i="30"/>
  <c r="BC54" i="30"/>
  <c r="BD54" i="30"/>
  <c r="BE54" i="30"/>
  <c r="BF54" i="30"/>
  <c r="BG54" i="30"/>
  <c r="BH54" i="30"/>
  <c r="BI54" i="30"/>
  <c r="BJ54" i="30"/>
  <c r="BK54" i="30"/>
  <c r="BL54" i="30"/>
  <c r="BM54" i="30"/>
  <c r="BN54" i="30"/>
  <c r="BO54" i="30"/>
  <c r="BP54" i="30"/>
  <c r="BQ54" i="30"/>
  <c r="BR54" i="30"/>
  <c r="BS54" i="30"/>
  <c r="AV55" i="30"/>
  <c r="AW55" i="30"/>
  <c r="AX55" i="30"/>
  <c r="AY55" i="30"/>
  <c r="AZ55" i="30"/>
  <c r="BA55" i="30"/>
  <c r="BB55" i="30"/>
  <c r="BC55" i="30"/>
  <c r="BD55" i="30"/>
  <c r="BE55" i="30"/>
  <c r="BF55" i="30"/>
  <c r="BG55" i="30"/>
  <c r="BH55" i="30"/>
  <c r="BI55" i="30"/>
  <c r="BJ55" i="30"/>
  <c r="BK55" i="30"/>
  <c r="BL55" i="30"/>
  <c r="BM55" i="30"/>
  <c r="BN55" i="30"/>
  <c r="BO55" i="30"/>
  <c r="BP55" i="30"/>
  <c r="BQ55" i="30"/>
  <c r="BR55" i="30"/>
  <c r="BS55" i="30"/>
  <c r="AV56" i="30"/>
  <c r="AW56" i="30"/>
  <c r="AX56" i="30"/>
  <c r="AY56" i="30"/>
  <c r="AZ56" i="30"/>
  <c r="BA56" i="30"/>
  <c r="BB56" i="30"/>
  <c r="BC56" i="30"/>
  <c r="BD56" i="30"/>
  <c r="BE56" i="30"/>
  <c r="BF56" i="30"/>
  <c r="BG56" i="30"/>
  <c r="BH56" i="30"/>
  <c r="BI56" i="30"/>
  <c r="BJ56" i="30"/>
  <c r="BK56" i="30"/>
  <c r="BL56" i="30"/>
  <c r="BM56" i="30"/>
  <c r="BN56" i="30"/>
  <c r="BO56" i="30"/>
  <c r="BP56" i="30"/>
  <c r="BQ56" i="30"/>
  <c r="BR56" i="30"/>
  <c r="BS56" i="30"/>
  <c r="AV57" i="30"/>
  <c r="AW57" i="30"/>
  <c r="AX57" i="30"/>
  <c r="AY57" i="30"/>
  <c r="AZ57" i="30"/>
  <c r="BA57" i="30"/>
  <c r="BB57" i="30"/>
  <c r="BC57" i="30"/>
  <c r="BD57" i="30"/>
  <c r="BE57" i="30"/>
  <c r="BF57" i="30"/>
  <c r="BG57" i="30"/>
  <c r="BH57" i="30"/>
  <c r="BI57" i="30"/>
  <c r="BJ57" i="30"/>
  <c r="BK57" i="30"/>
  <c r="BL57" i="30"/>
  <c r="BM57" i="30"/>
  <c r="BN57" i="30"/>
  <c r="BO57" i="30"/>
  <c r="BP57" i="30"/>
  <c r="BQ57" i="30"/>
  <c r="BR57" i="30"/>
  <c r="BS57" i="30"/>
  <c r="AW48" i="30"/>
  <c r="AX48" i="30"/>
  <c r="AY48" i="30"/>
  <c r="AZ48" i="30"/>
  <c r="BA48" i="30"/>
  <c r="BB48" i="30"/>
  <c r="BC48" i="30"/>
  <c r="BD48" i="30"/>
  <c r="BE48" i="30"/>
  <c r="BF48" i="30"/>
  <c r="BG48" i="30"/>
  <c r="BH48" i="30"/>
  <c r="BI48" i="30"/>
  <c r="BJ48" i="30"/>
  <c r="BK48" i="30"/>
  <c r="BL48" i="30"/>
  <c r="BM48" i="30"/>
  <c r="BN48" i="30"/>
  <c r="BO48" i="30"/>
  <c r="BP48" i="30"/>
  <c r="BQ48" i="30"/>
  <c r="BR48" i="30"/>
  <c r="BS48" i="30"/>
  <c r="AV48" i="30"/>
  <c r="B86" i="30" l="1"/>
  <c r="C279" i="33" s="1"/>
  <c r="B87" i="30"/>
  <c r="C280" i="33" s="1"/>
  <c r="D280" i="33" s="1"/>
  <c r="T246" i="31"/>
  <c r="C190" i="33" l="1"/>
  <c r="D190" i="33" s="1"/>
  <c r="AK190" i="33" s="1"/>
  <c r="AO190" i="33" s="1"/>
  <c r="C291" i="33"/>
  <c r="C293" i="33"/>
  <c r="D279" i="33"/>
  <c r="C83" i="29"/>
  <c r="G81" i="29"/>
  <c r="D291" i="33" l="1"/>
  <c r="D293" i="33"/>
  <c r="T25" i="31"/>
  <c r="EJ67" i="31" l="1"/>
  <c r="EI67" i="31"/>
  <c r="EH67" i="31"/>
  <c r="EG67" i="31"/>
  <c r="EF67" i="31"/>
  <c r="EE67" i="31"/>
  <c r="ED67" i="31"/>
  <c r="EC67" i="31"/>
  <c r="EB67" i="31"/>
  <c r="EA67" i="31"/>
  <c r="DZ67" i="31"/>
  <c r="DY67" i="31"/>
  <c r="DX67" i="31"/>
  <c r="DW67" i="31"/>
  <c r="DV67" i="31"/>
  <c r="DU67" i="31"/>
  <c r="DT67" i="31"/>
  <c r="DS67" i="31"/>
  <c r="DR67" i="31"/>
  <c r="DQ67" i="31"/>
  <c r="DP67" i="31"/>
  <c r="DO67" i="31"/>
  <c r="DN67" i="31"/>
  <c r="DM67" i="31"/>
  <c r="EJ66" i="31"/>
  <c r="EI66" i="31"/>
  <c r="EH66" i="31"/>
  <c r="EG66" i="31"/>
  <c r="EF66" i="31"/>
  <c r="EE66" i="31"/>
  <c r="ED66" i="31"/>
  <c r="EC66" i="31"/>
  <c r="EB66" i="31"/>
  <c r="EA66" i="31"/>
  <c r="DZ66" i="31"/>
  <c r="DY66" i="31"/>
  <c r="DX66" i="31"/>
  <c r="DW66" i="31"/>
  <c r="DV66" i="31"/>
  <c r="DU66" i="31"/>
  <c r="DT66" i="31"/>
  <c r="DS66" i="31"/>
  <c r="DR66" i="31"/>
  <c r="DQ66" i="31"/>
  <c r="DP66" i="31"/>
  <c r="DO66" i="31"/>
  <c r="DN66" i="31"/>
  <c r="DM66" i="31"/>
  <c r="EJ65" i="31"/>
  <c r="EI65" i="31"/>
  <c r="EH65" i="31"/>
  <c r="EG65" i="31"/>
  <c r="EF65" i="31"/>
  <c r="EE65" i="31"/>
  <c r="ED65" i="31"/>
  <c r="EC65" i="31"/>
  <c r="EB65" i="31"/>
  <c r="EA65" i="31"/>
  <c r="DZ65" i="31"/>
  <c r="DY65" i="31"/>
  <c r="DX65" i="31"/>
  <c r="DW65" i="31"/>
  <c r="DV65" i="31"/>
  <c r="DU65" i="31"/>
  <c r="DT65" i="31"/>
  <c r="DS65" i="31"/>
  <c r="DR65" i="31"/>
  <c r="DQ65" i="31"/>
  <c r="DP65" i="31"/>
  <c r="DO65" i="31"/>
  <c r="DN65" i="31"/>
  <c r="DM65" i="31"/>
  <c r="EJ64" i="31"/>
  <c r="EI64" i="31"/>
  <c r="EH64" i="31"/>
  <c r="EG64" i="31"/>
  <c r="EF64" i="31"/>
  <c r="EE64" i="31"/>
  <c r="ED64" i="31"/>
  <c r="EC64" i="31"/>
  <c r="EB64" i="31"/>
  <c r="EA64" i="31"/>
  <c r="DZ64" i="31"/>
  <c r="DY64" i="31"/>
  <c r="DX64" i="31"/>
  <c r="DW64" i="31"/>
  <c r="DV64" i="31"/>
  <c r="DU64" i="31"/>
  <c r="DT64" i="31"/>
  <c r="DS64" i="31"/>
  <c r="DR64" i="31"/>
  <c r="DQ64" i="31"/>
  <c r="DP64" i="31"/>
  <c r="DO64" i="31"/>
  <c r="DN64" i="31"/>
  <c r="DM64" i="31"/>
  <c r="EJ63" i="31"/>
  <c r="EI63" i="31"/>
  <c r="EH63" i="31"/>
  <c r="EG63" i="31"/>
  <c r="EF63" i="31"/>
  <c r="EE63" i="31"/>
  <c r="ED63" i="31"/>
  <c r="EC63" i="31"/>
  <c r="EB63" i="31"/>
  <c r="EA63" i="31"/>
  <c r="DZ63" i="31"/>
  <c r="DY63" i="31"/>
  <c r="DX63" i="31"/>
  <c r="DW63" i="31"/>
  <c r="DV63" i="31"/>
  <c r="DU63" i="31"/>
  <c r="DT63" i="31"/>
  <c r="DS63" i="31"/>
  <c r="DR63" i="31"/>
  <c r="DQ63" i="31"/>
  <c r="DP63" i="31"/>
  <c r="DO63" i="31"/>
  <c r="DN63" i="31"/>
  <c r="DM63" i="31"/>
  <c r="EJ62" i="31"/>
  <c r="EI62" i="31"/>
  <c r="EH62" i="31"/>
  <c r="EG62" i="31"/>
  <c r="EF62" i="31"/>
  <c r="EE62" i="31"/>
  <c r="ED62" i="31"/>
  <c r="EC62" i="31"/>
  <c r="EB62" i="31"/>
  <c r="EA62" i="31"/>
  <c r="DZ62" i="31"/>
  <c r="DY62" i="31"/>
  <c r="DX62" i="31"/>
  <c r="DW62" i="31"/>
  <c r="DV62" i="31"/>
  <c r="DU62" i="31"/>
  <c r="DT62" i="31"/>
  <c r="DS62" i="31"/>
  <c r="DR62" i="31"/>
  <c r="DQ62" i="31"/>
  <c r="DP62" i="31"/>
  <c r="DO62" i="31"/>
  <c r="DN62" i="31"/>
  <c r="DM62" i="31"/>
  <c r="EJ61" i="31"/>
  <c r="EI61" i="31"/>
  <c r="EH61" i="31"/>
  <c r="EG61" i="31"/>
  <c r="EF61" i="31"/>
  <c r="EE61" i="31"/>
  <c r="ED61" i="31"/>
  <c r="EC61" i="31"/>
  <c r="EB61" i="31"/>
  <c r="EA61" i="31"/>
  <c r="DZ61" i="31"/>
  <c r="DY61" i="31"/>
  <c r="DX61" i="31"/>
  <c r="DW61" i="31"/>
  <c r="DV61" i="31"/>
  <c r="DU61" i="31"/>
  <c r="DT61" i="31"/>
  <c r="DS61" i="31"/>
  <c r="DR61" i="31"/>
  <c r="DQ61" i="31"/>
  <c r="DP61" i="31"/>
  <c r="DO61" i="31"/>
  <c r="DN61" i="31"/>
  <c r="DM61" i="31"/>
  <c r="EJ60" i="31"/>
  <c r="EI60" i="31"/>
  <c r="EH60" i="31"/>
  <c r="EG60" i="31"/>
  <c r="EF60" i="31"/>
  <c r="EE60" i="31"/>
  <c r="ED60" i="31"/>
  <c r="EC60" i="31"/>
  <c r="EB60" i="31"/>
  <c r="EA60" i="31"/>
  <c r="DZ60" i="31"/>
  <c r="DY60" i="31"/>
  <c r="DX60" i="31"/>
  <c r="DW60" i="31"/>
  <c r="DV60" i="31"/>
  <c r="DU60" i="31"/>
  <c r="DT60" i="31"/>
  <c r="DS60" i="31"/>
  <c r="DR60" i="31"/>
  <c r="DQ60" i="31"/>
  <c r="DP60" i="31"/>
  <c r="DO60" i="31"/>
  <c r="DN60" i="31"/>
  <c r="DM60" i="31"/>
  <c r="EJ59" i="31"/>
  <c r="EI59" i="31"/>
  <c r="EH59" i="31"/>
  <c r="EG59" i="31"/>
  <c r="EF59" i="31"/>
  <c r="EE59" i="31"/>
  <c r="ED59" i="31"/>
  <c r="EC59" i="31"/>
  <c r="EB59" i="31"/>
  <c r="EA59" i="31"/>
  <c r="DZ59" i="31"/>
  <c r="DY59" i="31"/>
  <c r="DX59" i="31"/>
  <c r="DW59" i="31"/>
  <c r="DV59" i="31"/>
  <c r="DU59" i="31"/>
  <c r="DT59" i="31"/>
  <c r="DS59" i="31"/>
  <c r="DR59" i="31"/>
  <c r="DQ59" i="31"/>
  <c r="DP59" i="31"/>
  <c r="DO59" i="31"/>
  <c r="DN59" i="31"/>
  <c r="DM59" i="31"/>
  <c r="EJ58" i="31"/>
  <c r="EI58" i="31"/>
  <c r="EH58" i="31"/>
  <c r="EG58" i="31"/>
  <c r="EF58" i="31"/>
  <c r="EE58" i="31"/>
  <c r="ED58" i="31"/>
  <c r="EC58" i="31"/>
  <c r="EB58" i="31"/>
  <c r="EA58" i="31"/>
  <c r="DZ58" i="31"/>
  <c r="DY58" i="31"/>
  <c r="DX58" i="31"/>
  <c r="DW58" i="31"/>
  <c r="DV58" i="31"/>
  <c r="DU58" i="31"/>
  <c r="DT58" i="31"/>
  <c r="DS58" i="31"/>
  <c r="DR58" i="31"/>
  <c r="DQ58" i="31"/>
  <c r="DP58" i="31"/>
  <c r="DO58" i="31"/>
  <c r="DN58" i="31"/>
  <c r="DM58" i="31"/>
  <c r="V263" i="31"/>
  <c r="J46" i="31" s="1"/>
  <c r="C210" i="33" s="1"/>
  <c r="T240" i="31"/>
  <c r="T273" i="31" s="1"/>
  <c r="B152" i="31"/>
  <c r="S52" i="31"/>
  <c r="I218" i="33" s="1"/>
  <c r="S51" i="31"/>
  <c r="I217" i="33" s="1"/>
  <c r="S50" i="31"/>
  <c r="I216" i="33" s="1"/>
  <c r="Z35" i="31"/>
  <c r="AJ38" i="31" s="1"/>
  <c r="W10" i="31"/>
  <c r="V10" i="31"/>
  <c r="U10" i="31"/>
  <c r="T10" i="31"/>
  <c r="T5" i="31"/>
  <c r="DD35" i="30"/>
  <c r="DD34" i="30"/>
  <c r="DD33" i="30"/>
  <c r="DD32" i="30"/>
  <c r="DD31" i="30"/>
  <c r="DD30" i="30"/>
  <c r="DS30" i="30" s="1"/>
  <c r="DD29" i="30"/>
  <c r="EA29" i="30" s="1"/>
  <c r="DD28" i="30"/>
  <c r="DD27" i="30"/>
  <c r="DD26" i="30"/>
  <c r="CA35" i="30"/>
  <c r="CA34" i="30"/>
  <c r="CA33" i="30"/>
  <c r="CA32" i="30"/>
  <c r="CA31" i="30"/>
  <c r="CA30" i="30"/>
  <c r="CA29" i="30"/>
  <c r="CA28" i="30"/>
  <c r="CA27" i="30"/>
  <c r="CA26" i="30"/>
  <c r="AU35" i="30"/>
  <c r="AU34" i="30"/>
  <c r="AU33" i="30"/>
  <c r="AU32" i="30"/>
  <c r="AU31" i="30"/>
  <c r="AU30" i="30"/>
  <c r="AU29" i="30"/>
  <c r="BM29" i="30" s="1"/>
  <c r="AU28" i="30"/>
  <c r="AU27" i="30"/>
  <c r="AU26" i="30"/>
  <c r="E22" i="30"/>
  <c r="E21" i="30"/>
  <c r="E20" i="30"/>
  <c r="E18" i="30"/>
  <c r="C18" i="30"/>
  <c r="B18" i="30"/>
  <c r="E17" i="30"/>
  <c r="C17" i="30"/>
  <c r="B17" i="30"/>
  <c r="E16" i="30"/>
  <c r="C16" i="30"/>
  <c r="B16" i="30"/>
  <c r="AZ3" i="29"/>
  <c r="AY3" i="29"/>
  <c r="AX3" i="29"/>
  <c r="AW3" i="29"/>
  <c r="AV3" i="29"/>
  <c r="DH67" i="31"/>
  <c r="DG67" i="31"/>
  <c r="DF67" i="31"/>
  <c r="DE67" i="31"/>
  <c r="DD67" i="31"/>
  <c r="DC67" i="31"/>
  <c r="DB67" i="31"/>
  <c r="DA67" i="31"/>
  <c r="CZ67" i="31"/>
  <c r="CY67" i="31"/>
  <c r="CX67" i="31"/>
  <c r="CW67" i="31"/>
  <c r="CV67" i="31"/>
  <c r="CU67" i="31"/>
  <c r="CT67" i="31"/>
  <c r="CS67" i="31"/>
  <c r="CR67" i="31"/>
  <c r="CQ67" i="31"/>
  <c r="CP67" i="31"/>
  <c r="CO67" i="31"/>
  <c r="CN67" i="31"/>
  <c r="CM67" i="31"/>
  <c r="CL67" i="31"/>
  <c r="CK67" i="31"/>
  <c r="DH66" i="31"/>
  <c r="DG66" i="31"/>
  <c r="DF66" i="31"/>
  <c r="DE66" i="31"/>
  <c r="DD66" i="31"/>
  <c r="DC66" i="31"/>
  <c r="DB66" i="31"/>
  <c r="DA66" i="31"/>
  <c r="CZ66" i="31"/>
  <c r="CY66" i="31"/>
  <c r="CX66" i="31"/>
  <c r="CW66" i="31"/>
  <c r="CV66" i="31"/>
  <c r="CU66" i="31"/>
  <c r="CT66" i="31"/>
  <c r="CS66" i="31"/>
  <c r="CR66" i="31"/>
  <c r="CQ66" i="31"/>
  <c r="CP66" i="31"/>
  <c r="CO66" i="31"/>
  <c r="CN66" i="31"/>
  <c r="CM66" i="31"/>
  <c r="CL66" i="31"/>
  <c r="CK66" i="31"/>
  <c r="DH65" i="31"/>
  <c r="DG65" i="31"/>
  <c r="DF65" i="31"/>
  <c r="DE65" i="31"/>
  <c r="DD65" i="31"/>
  <c r="DC65" i="31"/>
  <c r="DB65" i="31"/>
  <c r="DA65" i="31"/>
  <c r="CZ65" i="31"/>
  <c r="CY65" i="31"/>
  <c r="CX65" i="31"/>
  <c r="CW65" i="31"/>
  <c r="CV65" i="31"/>
  <c r="CU65" i="31"/>
  <c r="CT65" i="31"/>
  <c r="CS65" i="31"/>
  <c r="CR65" i="31"/>
  <c r="CQ65" i="31"/>
  <c r="CP65" i="31"/>
  <c r="CO65" i="31"/>
  <c r="CN65" i="31"/>
  <c r="CM65" i="31"/>
  <c r="CL65" i="31"/>
  <c r="CK65" i="31"/>
  <c r="DH64" i="31"/>
  <c r="DG64" i="31"/>
  <c r="DF64" i="31"/>
  <c r="DE64" i="31"/>
  <c r="DD64" i="31"/>
  <c r="DC64" i="31"/>
  <c r="DB64" i="31"/>
  <c r="DA64" i="31"/>
  <c r="CZ64" i="31"/>
  <c r="CY64" i="31"/>
  <c r="CX64" i="31"/>
  <c r="CW64" i="31"/>
  <c r="CV64" i="31"/>
  <c r="CU64" i="31"/>
  <c r="CT64" i="31"/>
  <c r="CS64" i="31"/>
  <c r="CR64" i="31"/>
  <c r="CQ64" i="31"/>
  <c r="CP64" i="31"/>
  <c r="CO64" i="31"/>
  <c r="CN64" i="31"/>
  <c r="CM64" i="31"/>
  <c r="CL64" i="31"/>
  <c r="CK64" i="31"/>
  <c r="DH63" i="31"/>
  <c r="DG63" i="31"/>
  <c r="DF63" i="31"/>
  <c r="DE63" i="31"/>
  <c r="DD63" i="31"/>
  <c r="DC63" i="31"/>
  <c r="DB63" i="31"/>
  <c r="DA63" i="31"/>
  <c r="CZ63" i="31"/>
  <c r="CY63" i="31"/>
  <c r="CX63" i="31"/>
  <c r="CW63" i="31"/>
  <c r="CV63" i="31"/>
  <c r="CU63" i="31"/>
  <c r="CT63" i="31"/>
  <c r="CS63" i="31"/>
  <c r="CR63" i="31"/>
  <c r="CQ63" i="31"/>
  <c r="CP63" i="31"/>
  <c r="CO63" i="31"/>
  <c r="CN63" i="31"/>
  <c r="CM63" i="31"/>
  <c r="CL63" i="31"/>
  <c r="CK63" i="31"/>
  <c r="DH62" i="31"/>
  <c r="DG62" i="31"/>
  <c r="DF62" i="31"/>
  <c r="DE62" i="31"/>
  <c r="DD62" i="31"/>
  <c r="DC62" i="31"/>
  <c r="DB62" i="31"/>
  <c r="DA62" i="31"/>
  <c r="CZ62" i="31"/>
  <c r="CY62" i="31"/>
  <c r="CX62" i="31"/>
  <c r="CW62" i="31"/>
  <c r="CV62" i="31"/>
  <c r="CU62" i="31"/>
  <c r="CT62" i="31"/>
  <c r="CS62" i="31"/>
  <c r="CR62" i="31"/>
  <c r="CQ62" i="31"/>
  <c r="CP62" i="31"/>
  <c r="CO62" i="31"/>
  <c r="CN62" i="31"/>
  <c r="CM62" i="31"/>
  <c r="CL62" i="31"/>
  <c r="CK62" i="31"/>
  <c r="DH61" i="31"/>
  <c r="DG61" i="31"/>
  <c r="DF61" i="31"/>
  <c r="DE61" i="31"/>
  <c r="DD61" i="31"/>
  <c r="DC61" i="31"/>
  <c r="DB61" i="31"/>
  <c r="DA61" i="31"/>
  <c r="CZ61" i="31"/>
  <c r="CY61" i="31"/>
  <c r="CX61" i="31"/>
  <c r="CW61" i="31"/>
  <c r="CV61" i="31"/>
  <c r="CU61" i="31"/>
  <c r="CT61" i="31"/>
  <c r="CS61" i="31"/>
  <c r="CR61" i="31"/>
  <c r="CQ61" i="31"/>
  <c r="CP61" i="31"/>
  <c r="CO61" i="31"/>
  <c r="CN61" i="31"/>
  <c r="CM61" i="31"/>
  <c r="CL61" i="31"/>
  <c r="CK61" i="31"/>
  <c r="DH60" i="31"/>
  <c r="DG60" i="31"/>
  <c r="DF60" i="31"/>
  <c r="DE60" i="31"/>
  <c r="DD60" i="31"/>
  <c r="DC60" i="31"/>
  <c r="DB60" i="31"/>
  <c r="DA60" i="31"/>
  <c r="CZ60" i="31"/>
  <c r="CY60" i="31"/>
  <c r="CX60" i="31"/>
  <c r="CW60" i="31"/>
  <c r="CV60" i="31"/>
  <c r="CU60" i="31"/>
  <c r="CT60" i="31"/>
  <c r="CS60" i="31"/>
  <c r="CR60" i="31"/>
  <c r="CQ60" i="31"/>
  <c r="CP60" i="31"/>
  <c r="CO60" i="31"/>
  <c r="CN60" i="31"/>
  <c r="CM60" i="31"/>
  <c r="CL60" i="31"/>
  <c r="CK60" i="31"/>
  <c r="DH59" i="31"/>
  <c r="DG59" i="31"/>
  <c r="DF59" i="31"/>
  <c r="DE59" i="31"/>
  <c r="DD59" i="31"/>
  <c r="DC59" i="31"/>
  <c r="DB59" i="31"/>
  <c r="DA59" i="31"/>
  <c r="CZ59" i="31"/>
  <c r="CY59" i="31"/>
  <c r="CX59" i="31"/>
  <c r="CW59" i="31"/>
  <c r="CV59" i="31"/>
  <c r="CU59" i="31"/>
  <c r="CT59" i="31"/>
  <c r="CS59" i="31"/>
  <c r="CR59" i="31"/>
  <c r="CQ59" i="31"/>
  <c r="CP59" i="31"/>
  <c r="CO59" i="31"/>
  <c r="CN59" i="31"/>
  <c r="CM59" i="31"/>
  <c r="CL59" i="31"/>
  <c r="CK59" i="31"/>
  <c r="DH58" i="31"/>
  <c r="DG58" i="31"/>
  <c r="DF58" i="31"/>
  <c r="DE58" i="31"/>
  <c r="DD58" i="31"/>
  <c r="DC58" i="31"/>
  <c r="DB58" i="31"/>
  <c r="DA58" i="31"/>
  <c r="CZ58" i="31"/>
  <c r="CY58" i="31"/>
  <c r="CX58" i="31"/>
  <c r="CW58" i="31"/>
  <c r="CV58" i="31"/>
  <c r="CU58" i="31"/>
  <c r="CT58" i="31"/>
  <c r="CS58" i="31"/>
  <c r="CR58" i="31"/>
  <c r="CQ58" i="31"/>
  <c r="CP58" i="31"/>
  <c r="CO58" i="31"/>
  <c r="CN58" i="31"/>
  <c r="CM58" i="31"/>
  <c r="CL58" i="31"/>
  <c r="CK58" i="31"/>
  <c r="EB46" i="30"/>
  <c r="EA46" i="30"/>
  <c r="DZ46" i="30"/>
  <c r="DY46" i="30"/>
  <c r="DX46" i="30"/>
  <c r="DW46" i="30"/>
  <c r="DV46" i="30"/>
  <c r="DU46" i="30"/>
  <c r="DU98" i="30" s="1"/>
  <c r="DT46" i="30"/>
  <c r="DS46" i="30"/>
  <c r="DR46" i="30"/>
  <c r="DQ46" i="30"/>
  <c r="DP46" i="30"/>
  <c r="DO46" i="30"/>
  <c r="DN46" i="30"/>
  <c r="DM46" i="30"/>
  <c r="DM98" i="30" s="1"/>
  <c r="DL46" i="30"/>
  <c r="DK46" i="30"/>
  <c r="DJ46" i="30"/>
  <c r="DI46" i="30"/>
  <c r="DH46" i="30"/>
  <c r="DG46" i="30"/>
  <c r="DF46" i="30"/>
  <c r="DE46" i="30"/>
  <c r="DE98" i="30" s="1"/>
  <c r="EB45" i="30"/>
  <c r="EA45" i="30"/>
  <c r="DZ45" i="30"/>
  <c r="DY45" i="30"/>
  <c r="DX45" i="30"/>
  <c r="DW45" i="30"/>
  <c r="DV45" i="30"/>
  <c r="DU45" i="30"/>
  <c r="DU97" i="30" s="1"/>
  <c r="DT45" i="30"/>
  <c r="DS45" i="30"/>
  <c r="DR45" i="30"/>
  <c r="DQ45" i="30"/>
  <c r="DP45" i="30"/>
  <c r="DO45" i="30"/>
  <c r="DN45" i="30"/>
  <c r="DM45" i="30"/>
  <c r="DM97" i="30" s="1"/>
  <c r="DL45" i="30"/>
  <c r="DK45" i="30"/>
  <c r="DJ45" i="30"/>
  <c r="DI45" i="30"/>
  <c r="DH45" i="30"/>
  <c r="DG45" i="30"/>
  <c r="DF45" i="30"/>
  <c r="DE45" i="30"/>
  <c r="DE97" i="30" s="1"/>
  <c r="EB44" i="30"/>
  <c r="EA44" i="30"/>
  <c r="DZ44" i="30"/>
  <c r="DY44" i="30"/>
  <c r="DX44" i="30"/>
  <c r="DW44" i="30"/>
  <c r="DV44" i="30"/>
  <c r="DU44" i="30"/>
  <c r="DU96" i="30" s="1"/>
  <c r="DT44" i="30"/>
  <c r="DS44" i="30"/>
  <c r="DR44" i="30"/>
  <c r="DQ44" i="30"/>
  <c r="DP44" i="30"/>
  <c r="DO44" i="30"/>
  <c r="DN44" i="30"/>
  <c r="DM44" i="30"/>
  <c r="DM96" i="30" s="1"/>
  <c r="DL44" i="30"/>
  <c r="DK44" i="30"/>
  <c r="DJ44" i="30"/>
  <c r="DI44" i="30"/>
  <c r="DH44" i="30"/>
  <c r="DG44" i="30"/>
  <c r="DF44" i="30"/>
  <c r="DE44" i="30"/>
  <c r="DE96" i="30" s="1"/>
  <c r="EB43" i="30"/>
  <c r="EA43" i="30"/>
  <c r="DZ43" i="30"/>
  <c r="DY43" i="30"/>
  <c r="DX43" i="30"/>
  <c r="DW43" i="30"/>
  <c r="DV43" i="30"/>
  <c r="DU43" i="30"/>
  <c r="DT43" i="30"/>
  <c r="DS43" i="30"/>
  <c r="DR43" i="30"/>
  <c r="DQ43" i="30"/>
  <c r="DP43" i="30"/>
  <c r="DO43" i="30"/>
  <c r="DN43" i="30"/>
  <c r="DM43" i="30"/>
  <c r="DL43" i="30"/>
  <c r="DK43" i="30"/>
  <c r="DJ43" i="30"/>
  <c r="DI43" i="30"/>
  <c r="DH43" i="30"/>
  <c r="DG43" i="30"/>
  <c r="DF43" i="30"/>
  <c r="DE43" i="30"/>
  <c r="EB42" i="30"/>
  <c r="EA42" i="30"/>
  <c r="DZ42" i="30"/>
  <c r="DY42" i="30"/>
  <c r="DX42" i="30"/>
  <c r="DW42" i="30"/>
  <c r="DV42" i="30"/>
  <c r="DU42" i="30"/>
  <c r="DU95" i="30" s="1"/>
  <c r="DT42" i="30"/>
  <c r="DS42" i="30"/>
  <c r="DR42" i="30"/>
  <c r="DQ42" i="30"/>
  <c r="DP42" i="30"/>
  <c r="DO42" i="30"/>
  <c r="DN42" i="30"/>
  <c r="DM42" i="30"/>
  <c r="DM95" i="30" s="1"/>
  <c r="DL42" i="30"/>
  <c r="DK42" i="30"/>
  <c r="DJ42" i="30"/>
  <c r="DI42" i="30"/>
  <c r="DH42" i="30"/>
  <c r="DG42" i="30"/>
  <c r="DF42" i="30"/>
  <c r="DE42" i="30"/>
  <c r="DE95" i="30" s="1"/>
  <c r="EB41" i="30"/>
  <c r="EA41" i="30"/>
  <c r="DZ41" i="30"/>
  <c r="DY41" i="30"/>
  <c r="DX41" i="30"/>
  <c r="DW41" i="30"/>
  <c r="DV41" i="30"/>
  <c r="DU41" i="30"/>
  <c r="DU94" i="30" s="1"/>
  <c r="DT41" i="30"/>
  <c r="DS41" i="30"/>
  <c r="DR41" i="30"/>
  <c r="DQ41" i="30"/>
  <c r="DP41" i="30"/>
  <c r="DO41" i="30"/>
  <c r="DN41" i="30"/>
  <c r="DM41" i="30"/>
  <c r="DM94" i="30" s="1"/>
  <c r="DL41" i="30"/>
  <c r="DK41" i="30"/>
  <c r="DJ41" i="30"/>
  <c r="DI41" i="30"/>
  <c r="DH41" i="30"/>
  <c r="DG41" i="30"/>
  <c r="DF41" i="30"/>
  <c r="DE41" i="30"/>
  <c r="DE94" i="30" s="1"/>
  <c r="EB40" i="30"/>
  <c r="EA40" i="30"/>
  <c r="DZ40" i="30"/>
  <c r="DY40" i="30"/>
  <c r="DX40" i="30"/>
  <c r="DW40" i="30"/>
  <c r="DV40" i="30"/>
  <c r="DU40" i="30"/>
  <c r="DU93" i="30" s="1"/>
  <c r="DT40" i="30"/>
  <c r="DS40" i="30"/>
  <c r="DR40" i="30"/>
  <c r="DQ40" i="30"/>
  <c r="DP40" i="30"/>
  <c r="DO40" i="30"/>
  <c r="DN40" i="30"/>
  <c r="DM40" i="30"/>
  <c r="DM93" i="30" s="1"/>
  <c r="DL40" i="30"/>
  <c r="DK40" i="30"/>
  <c r="DJ40" i="30"/>
  <c r="DI40" i="30"/>
  <c r="DH40" i="30"/>
  <c r="DG40" i="30"/>
  <c r="DF40" i="30"/>
  <c r="DE40" i="30"/>
  <c r="DE93" i="30" s="1"/>
  <c r="EB39" i="30"/>
  <c r="EA39" i="30"/>
  <c r="DZ39" i="30"/>
  <c r="DY39" i="30"/>
  <c r="DX39" i="30"/>
  <c r="DW39" i="30"/>
  <c r="DV39" i="30"/>
  <c r="DU39" i="30"/>
  <c r="DU92" i="30" s="1"/>
  <c r="DT39" i="30"/>
  <c r="DS39" i="30"/>
  <c r="DR39" i="30"/>
  <c r="DQ39" i="30"/>
  <c r="DP39" i="30"/>
  <c r="DO39" i="30"/>
  <c r="DN39" i="30"/>
  <c r="DM39" i="30"/>
  <c r="DM92" i="30" s="1"/>
  <c r="DL39" i="30"/>
  <c r="DK39" i="30"/>
  <c r="DJ39" i="30"/>
  <c r="DI39" i="30"/>
  <c r="DH39" i="30"/>
  <c r="DG39" i="30"/>
  <c r="DF39" i="30"/>
  <c r="DE39" i="30"/>
  <c r="DE92" i="30" s="1"/>
  <c r="EB38" i="30"/>
  <c r="EA38" i="30"/>
  <c r="DZ38" i="30"/>
  <c r="DY38" i="30"/>
  <c r="DX38" i="30"/>
  <c r="DW38" i="30"/>
  <c r="DV38" i="30"/>
  <c r="DU38" i="30"/>
  <c r="DU91" i="30" s="1"/>
  <c r="DT38" i="30"/>
  <c r="DS38" i="30"/>
  <c r="DR38" i="30"/>
  <c r="DQ38" i="30"/>
  <c r="DP38" i="30"/>
  <c r="DO38" i="30"/>
  <c r="DN38" i="30"/>
  <c r="DM38" i="30"/>
  <c r="DM91" i="30" s="1"/>
  <c r="DL38" i="30"/>
  <c r="DK38" i="30"/>
  <c r="DJ38" i="30"/>
  <c r="DI38" i="30"/>
  <c r="DH38" i="30"/>
  <c r="DG38" i="30"/>
  <c r="DF38" i="30"/>
  <c r="DE38" i="30"/>
  <c r="DE91" i="30" s="1"/>
  <c r="EB37" i="30"/>
  <c r="EA37" i="30"/>
  <c r="DZ37" i="30"/>
  <c r="DY37" i="30"/>
  <c r="DX37" i="30"/>
  <c r="DW37" i="30"/>
  <c r="DV37" i="30"/>
  <c r="DU37" i="30"/>
  <c r="DU90" i="30" s="1"/>
  <c r="DT37" i="30"/>
  <c r="DS37" i="30"/>
  <c r="DR37" i="30"/>
  <c r="DQ37" i="30"/>
  <c r="DP37" i="30"/>
  <c r="DO37" i="30"/>
  <c r="DN37" i="30"/>
  <c r="DM37" i="30"/>
  <c r="DM90" i="30" s="1"/>
  <c r="DL37" i="30"/>
  <c r="DK37" i="30"/>
  <c r="DJ37" i="30"/>
  <c r="DI37" i="30"/>
  <c r="DH37" i="30"/>
  <c r="DG37" i="30"/>
  <c r="DF37" i="30"/>
  <c r="DE37" i="30"/>
  <c r="DE90" i="30" s="1"/>
  <c r="EB13" i="30"/>
  <c r="EA13" i="30"/>
  <c r="DZ13" i="30"/>
  <c r="DY13" i="30"/>
  <c r="DX13" i="30"/>
  <c r="DW13" i="30"/>
  <c r="DV13" i="30"/>
  <c r="DU13" i="30"/>
  <c r="DU24" i="30" s="1"/>
  <c r="DU69" i="30" s="1"/>
  <c r="DT13" i="30"/>
  <c r="DS13" i="30"/>
  <c r="DR13" i="30"/>
  <c r="DQ13" i="30"/>
  <c r="DP13" i="30"/>
  <c r="DO13" i="30"/>
  <c r="DN13" i="30"/>
  <c r="DM13" i="30"/>
  <c r="DM24" i="30" s="1"/>
  <c r="DM69" i="30" s="1"/>
  <c r="DL13" i="30"/>
  <c r="DK13" i="30"/>
  <c r="DJ13" i="30"/>
  <c r="DI13" i="30"/>
  <c r="DH13" i="30"/>
  <c r="DG13" i="30"/>
  <c r="DF13" i="30"/>
  <c r="DE13" i="30"/>
  <c r="DC13" i="30"/>
  <c r="EB12" i="30"/>
  <c r="EA12" i="30"/>
  <c r="DZ12" i="30"/>
  <c r="DY12" i="30"/>
  <c r="DX12" i="30"/>
  <c r="DW12" i="30"/>
  <c r="DV12" i="30"/>
  <c r="DV23" i="30" s="1"/>
  <c r="DV68" i="30" s="1"/>
  <c r="DU12" i="30"/>
  <c r="DT12" i="30"/>
  <c r="DS12" i="30"/>
  <c r="DR12" i="30"/>
  <c r="DQ12" i="30"/>
  <c r="DP12" i="30"/>
  <c r="DO12" i="30"/>
  <c r="DN12" i="30"/>
  <c r="DM12" i="30"/>
  <c r="DL12" i="30"/>
  <c r="DK12" i="30"/>
  <c r="DJ12" i="30"/>
  <c r="DI12" i="30"/>
  <c r="DH12" i="30"/>
  <c r="DG12" i="30"/>
  <c r="DF12" i="30"/>
  <c r="DF23" i="30" s="1"/>
  <c r="DF68" i="30" s="1"/>
  <c r="DE12" i="30"/>
  <c r="DC12" i="30"/>
  <c r="EB11" i="30"/>
  <c r="EA11" i="30"/>
  <c r="DZ11" i="30"/>
  <c r="DY11" i="30"/>
  <c r="DX11" i="30"/>
  <c r="DW11" i="30"/>
  <c r="DW22" i="30" s="1"/>
  <c r="DW67" i="30" s="1"/>
  <c r="DV11" i="30"/>
  <c r="DU11" i="30"/>
  <c r="DT11" i="30"/>
  <c r="DS11" i="30"/>
  <c r="DR11" i="30"/>
  <c r="DQ11" i="30"/>
  <c r="DP11" i="30"/>
  <c r="DO11" i="30"/>
  <c r="DO22" i="30" s="1"/>
  <c r="DO67" i="30" s="1"/>
  <c r="DN11" i="30"/>
  <c r="DM11" i="30"/>
  <c r="DL11" i="30"/>
  <c r="DK11" i="30"/>
  <c r="DJ11" i="30"/>
  <c r="DI11" i="30"/>
  <c r="DH11" i="30"/>
  <c r="DG11" i="30"/>
  <c r="DF11" i="30"/>
  <c r="DE11" i="30"/>
  <c r="DC11" i="30"/>
  <c r="EB10" i="30"/>
  <c r="EA10" i="30"/>
  <c r="DZ10" i="30"/>
  <c r="DY10" i="30"/>
  <c r="DX10" i="30"/>
  <c r="DX21" i="30" s="1"/>
  <c r="DX66" i="30" s="1"/>
  <c r="DW10" i="30"/>
  <c r="DV10" i="30"/>
  <c r="DU10" i="30"/>
  <c r="DT10" i="30"/>
  <c r="DS10" i="30"/>
  <c r="DR10" i="30"/>
  <c r="DQ10" i="30"/>
  <c r="DP10" i="30"/>
  <c r="DP21" i="30" s="1"/>
  <c r="DP66" i="30" s="1"/>
  <c r="DO10" i="30"/>
  <c r="DN10" i="30"/>
  <c r="DM10" i="30"/>
  <c r="DL10" i="30"/>
  <c r="DK10" i="30"/>
  <c r="DJ10" i="30"/>
  <c r="DI10" i="30"/>
  <c r="DH10" i="30"/>
  <c r="DG10" i="30"/>
  <c r="DF10" i="30"/>
  <c r="DE10" i="30"/>
  <c r="DC10" i="30"/>
  <c r="EB9" i="30"/>
  <c r="EA9" i="30"/>
  <c r="DZ9" i="30"/>
  <c r="DY9" i="30"/>
  <c r="DX9" i="30"/>
  <c r="DW9" i="30"/>
  <c r="DV9" i="30"/>
  <c r="DU9" i="30"/>
  <c r="DT9" i="30"/>
  <c r="DS9" i="30"/>
  <c r="DR9" i="30"/>
  <c r="DQ9" i="30"/>
  <c r="DQ20" i="30" s="1"/>
  <c r="DQ65" i="30" s="1"/>
  <c r="DP9" i="30"/>
  <c r="DO9" i="30"/>
  <c r="DN9" i="30"/>
  <c r="DM9" i="30"/>
  <c r="DL9" i="30"/>
  <c r="DK9" i="30"/>
  <c r="DJ9" i="30"/>
  <c r="DI9" i="30"/>
  <c r="DI20" i="30" s="1"/>
  <c r="DI65" i="30" s="1"/>
  <c r="DH9" i="30"/>
  <c r="DG9" i="30"/>
  <c r="DF9" i="30"/>
  <c r="DE9" i="30"/>
  <c r="DC9" i="30"/>
  <c r="EB8" i="30"/>
  <c r="EA8" i="30"/>
  <c r="DZ8" i="30"/>
  <c r="DY8" i="30"/>
  <c r="DX8" i="30"/>
  <c r="DW8" i="30"/>
  <c r="DV8" i="30"/>
  <c r="DU8" i="30"/>
  <c r="DT8" i="30"/>
  <c r="DS8" i="30"/>
  <c r="DR8" i="30"/>
  <c r="DR19" i="30" s="1"/>
  <c r="DR64" i="30" s="1"/>
  <c r="DQ8" i="30"/>
  <c r="DP8" i="30"/>
  <c r="DO8" i="30"/>
  <c r="DN8" i="30"/>
  <c r="DM8" i="30"/>
  <c r="DL8" i="30"/>
  <c r="DK8" i="30"/>
  <c r="DJ8" i="30"/>
  <c r="DJ19" i="30" s="1"/>
  <c r="DJ64" i="30" s="1"/>
  <c r="DI8" i="30"/>
  <c r="DH8" i="30"/>
  <c r="DG8" i="30"/>
  <c r="DF8" i="30"/>
  <c r="DE8" i="30"/>
  <c r="DC8" i="30"/>
  <c r="EB7" i="30"/>
  <c r="EA7" i="30"/>
  <c r="EA18" i="30" s="1"/>
  <c r="EA63" i="30" s="1"/>
  <c r="DZ7" i="30"/>
  <c r="DY7" i="30"/>
  <c r="DX7" i="30"/>
  <c r="DW7" i="30"/>
  <c r="DV7" i="30"/>
  <c r="DU7" i="30"/>
  <c r="DT7" i="30"/>
  <c r="DS7" i="30"/>
  <c r="DS18" i="30" s="1"/>
  <c r="DS63" i="30" s="1"/>
  <c r="DR7" i="30"/>
  <c r="DQ7" i="30"/>
  <c r="DP7" i="30"/>
  <c r="DO7" i="30"/>
  <c r="DN7" i="30"/>
  <c r="DM7" i="30"/>
  <c r="DL7" i="30"/>
  <c r="DK7" i="30"/>
  <c r="DK18" i="30" s="1"/>
  <c r="DK63" i="30" s="1"/>
  <c r="DJ7" i="30"/>
  <c r="DI7" i="30"/>
  <c r="DH7" i="30"/>
  <c r="DG7" i="30"/>
  <c r="DF7" i="30"/>
  <c r="DE7" i="30"/>
  <c r="DC7" i="30"/>
  <c r="EB6" i="30"/>
  <c r="EB17" i="30" s="1"/>
  <c r="EB62" i="30" s="1"/>
  <c r="EA6" i="30"/>
  <c r="DZ6" i="30"/>
  <c r="DY6" i="30"/>
  <c r="DX6" i="30"/>
  <c r="DW6" i="30"/>
  <c r="DV6" i="30"/>
  <c r="DU6" i="30"/>
  <c r="DT6" i="30"/>
  <c r="DT17" i="30" s="1"/>
  <c r="DT62" i="30" s="1"/>
  <c r="DS6" i="30"/>
  <c r="DR6" i="30"/>
  <c r="DQ6" i="30"/>
  <c r="DP6" i="30"/>
  <c r="DO6" i="30"/>
  <c r="DN6" i="30"/>
  <c r="DM6" i="30"/>
  <c r="DL6" i="30"/>
  <c r="DK6" i="30"/>
  <c r="DJ6" i="30"/>
  <c r="DI6" i="30"/>
  <c r="DH6" i="30"/>
  <c r="DG6" i="30"/>
  <c r="DF6" i="30"/>
  <c r="DE6" i="30"/>
  <c r="DC6" i="30"/>
  <c r="DC39" i="30" s="1"/>
  <c r="EB5" i="30"/>
  <c r="EA5" i="30"/>
  <c r="DZ5" i="30"/>
  <c r="DY5" i="30"/>
  <c r="DX5" i="30"/>
  <c r="DW5" i="30"/>
  <c r="DV5" i="30"/>
  <c r="DU5" i="30"/>
  <c r="DU16" i="30" s="1"/>
  <c r="DU61" i="30" s="1"/>
  <c r="DT5" i="30"/>
  <c r="DS5" i="30"/>
  <c r="DR5" i="30"/>
  <c r="DQ5" i="30"/>
  <c r="DP5" i="30"/>
  <c r="DO5" i="30"/>
  <c r="DN5" i="30"/>
  <c r="DM5" i="30"/>
  <c r="DM16" i="30" s="1"/>
  <c r="DM61" i="30" s="1"/>
  <c r="DL5" i="30"/>
  <c r="DK5" i="30"/>
  <c r="DJ5" i="30"/>
  <c r="DI5" i="30"/>
  <c r="DH5" i="30"/>
  <c r="DG5" i="30"/>
  <c r="DF5" i="30"/>
  <c r="DE5" i="30"/>
  <c r="DE16" i="30" s="1"/>
  <c r="DE61" i="30" s="1"/>
  <c r="DC5" i="30"/>
  <c r="EB4" i="30"/>
  <c r="EA4" i="30"/>
  <c r="DZ4" i="30"/>
  <c r="DY4" i="30"/>
  <c r="DX4" i="30"/>
  <c r="DW4" i="30"/>
  <c r="DV4" i="30"/>
  <c r="DV15" i="30" s="1"/>
  <c r="DV60" i="30" s="1"/>
  <c r="DU4" i="30"/>
  <c r="DT4" i="30"/>
  <c r="DS4" i="30"/>
  <c r="DR4" i="30"/>
  <c r="DQ4" i="30"/>
  <c r="DP4" i="30"/>
  <c r="DO4" i="30"/>
  <c r="DN4" i="30"/>
  <c r="DM4" i="30"/>
  <c r="DL4" i="30"/>
  <c r="DK4" i="30"/>
  <c r="DJ4" i="30"/>
  <c r="DI4" i="30"/>
  <c r="DH4" i="30"/>
  <c r="DG4" i="30"/>
  <c r="DF4" i="30"/>
  <c r="DF15" i="30" s="1"/>
  <c r="DF60" i="30" s="1"/>
  <c r="DE4" i="30"/>
  <c r="DC4" i="30"/>
  <c r="Z175" i="29"/>
  <c r="Y175" i="29"/>
  <c r="X175" i="29"/>
  <c r="W175" i="29"/>
  <c r="V175" i="29"/>
  <c r="U175" i="29"/>
  <c r="T175" i="29"/>
  <c r="S175" i="29"/>
  <c r="R175" i="29"/>
  <c r="Q175" i="29"/>
  <c r="P175" i="29"/>
  <c r="O175" i="29"/>
  <c r="N175" i="29"/>
  <c r="M175" i="29"/>
  <c r="L175" i="29"/>
  <c r="K175" i="29"/>
  <c r="J175" i="29"/>
  <c r="I175" i="29"/>
  <c r="H175" i="29"/>
  <c r="G175" i="29"/>
  <c r="F175" i="29"/>
  <c r="E175" i="29"/>
  <c r="D175" i="29"/>
  <c r="C175" i="29"/>
  <c r="Z174" i="29"/>
  <c r="Y174" i="29"/>
  <c r="X174" i="29"/>
  <c r="W174" i="29"/>
  <c r="V174" i="29"/>
  <c r="U174" i="29"/>
  <c r="T174" i="29"/>
  <c r="S174" i="29"/>
  <c r="R174" i="29"/>
  <c r="Q174" i="29"/>
  <c r="P174" i="29"/>
  <c r="O174" i="29"/>
  <c r="N174" i="29"/>
  <c r="M174" i="29"/>
  <c r="L174" i="29"/>
  <c r="K174" i="29"/>
  <c r="J174" i="29"/>
  <c r="I174" i="29"/>
  <c r="H174" i="29"/>
  <c r="G174" i="29"/>
  <c r="F174" i="29"/>
  <c r="E174" i="29"/>
  <c r="D174" i="29"/>
  <c r="C174" i="29"/>
  <c r="Z173" i="29"/>
  <c r="Y173" i="29"/>
  <c r="X173" i="29"/>
  <c r="W173" i="29"/>
  <c r="V173" i="29"/>
  <c r="U173" i="29"/>
  <c r="T173" i="29"/>
  <c r="S173" i="29"/>
  <c r="R173" i="29"/>
  <c r="Q173" i="29"/>
  <c r="P173" i="29"/>
  <c r="O173" i="29"/>
  <c r="N173" i="29"/>
  <c r="M173" i="29"/>
  <c r="L173" i="29"/>
  <c r="K173" i="29"/>
  <c r="J173" i="29"/>
  <c r="I173" i="29"/>
  <c r="H173" i="29"/>
  <c r="G173" i="29"/>
  <c r="F173" i="29"/>
  <c r="E173" i="29"/>
  <c r="D173" i="29"/>
  <c r="C173" i="29"/>
  <c r="Z172" i="29"/>
  <c r="Y172" i="29"/>
  <c r="X172" i="29"/>
  <c r="W172" i="29"/>
  <c r="V172" i="29"/>
  <c r="U172" i="29"/>
  <c r="T172" i="29"/>
  <c r="S172" i="29"/>
  <c r="R172" i="29"/>
  <c r="Q172" i="29"/>
  <c r="P172" i="29"/>
  <c r="O172" i="29"/>
  <c r="N172" i="29"/>
  <c r="M172" i="29"/>
  <c r="L172" i="29"/>
  <c r="K172" i="29"/>
  <c r="J172" i="29"/>
  <c r="I172" i="29"/>
  <c r="H172" i="29"/>
  <c r="G172" i="29"/>
  <c r="F172" i="29"/>
  <c r="E172" i="29"/>
  <c r="D172" i="29"/>
  <c r="C172" i="29"/>
  <c r="Z171" i="29"/>
  <c r="Y171" i="29"/>
  <c r="X171" i="29"/>
  <c r="W171" i="29"/>
  <c r="V171" i="29"/>
  <c r="U171" i="29"/>
  <c r="T171" i="29"/>
  <c r="S171" i="29"/>
  <c r="R171" i="29"/>
  <c r="Q171" i="29"/>
  <c r="P171" i="29"/>
  <c r="O171" i="29"/>
  <c r="N171" i="29"/>
  <c r="M171" i="29"/>
  <c r="L171" i="29"/>
  <c r="K171" i="29"/>
  <c r="J171" i="29"/>
  <c r="I171" i="29"/>
  <c r="H171" i="29"/>
  <c r="G171" i="29"/>
  <c r="F171" i="29"/>
  <c r="E171" i="29"/>
  <c r="D171" i="29"/>
  <c r="C171" i="29"/>
  <c r="Z170" i="29"/>
  <c r="Y170" i="29"/>
  <c r="X170" i="29"/>
  <c r="W170" i="29"/>
  <c r="V170" i="29"/>
  <c r="U170" i="29"/>
  <c r="T170" i="29"/>
  <c r="S170" i="29"/>
  <c r="R170" i="29"/>
  <c r="Q170" i="29"/>
  <c r="P170" i="29"/>
  <c r="O170" i="29"/>
  <c r="N170" i="29"/>
  <c r="M170" i="29"/>
  <c r="L170" i="29"/>
  <c r="K170" i="29"/>
  <c r="J170" i="29"/>
  <c r="I170" i="29"/>
  <c r="H170" i="29"/>
  <c r="G170" i="29"/>
  <c r="F170" i="29"/>
  <c r="E170" i="29"/>
  <c r="D170" i="29"/>
  <c r="C170" i="29"/>
  <c r="Z169" i="29"/>
  <c r="Y169" i="29"/>
  <c r="X169" i="29"/>
  <c r="W169" i="29"/>
  <c r="V169" i="29"/>
  <c r="U169" i="29"/>
  <c r="T169" i="29"/>
  <c r="S169" i="29"/>
  <c r="R169" i="29"/>
  <c r="Q169" i="29"/>
  <c r="P169" i="29"/>
  <c r="O169" i="29"/>
  <c r="N169" i="29"/>
  <c r="M169" i="29"/>
  <c r="L169" i="29"/>
  <c r="K169" i="29"/>
  <c r="J169" i="29"/>
  <c r="I169" i="29"/>
  <c r="H169" i="29"/>
  <c r="G169" i="29"/>
  <c r="F169" i="29"/>
  <c r="E169" i="29"/>
  <c r="D169" i="29"/>
  <c r="C169" i="29"/>
  <c r="Z168" i="29"/>
  <c r="Y168" i="29"/>
  <c r="X168" i="29"/>
  <c r="W168" i="29"/>
  <c r="V168" i="29"/>
  <c r="U168" i="29"/>
  <c r="T168" i="29"/>
  <c r="S168" i="29"/>
  <c r="R168" i="29"/>
  <c r="Q168" i="29"/>
  <c r="P168" i="29"/>
  <c r="O168" i="29"/>
  <c r="N168" i="29"/>
  <c r="M168" i="29"/>
  <c r="L168" i="29"/>
  <c r="K168" i="29"/>
  <c r="J168" i="29"/>
  <c r="I168" i="29"/>
  <c r="H168" i="29"/>
  <c r="G168" i="29"/>
  <c r="F168" i="29"/>
  <c r="E168" i="29"/>
  <c r="D168" i="29"/>
  <c r="C168" i="29"/>
  <c r="Z167" i="29"/>
  <c r="Y167" i="29"/>
  <c r="X167" i="29"/>
  <c r="W167" i="29"/>
  <c r="V167" i="29"/>
  <c r="U167" i="29"/>
  <c r="T167" i="29"/>
  <c r="S167" i="29"/>
  <c r="R167" i="29"/>
  <c r="Q167" i="29"/>
  <c r="P167" i="29"/>
  <c r="O167" i="29"/>
  <c r="N167" i="29"/>
  <c r="M167" i="29"/>
  <c r="L167" i="29"/>
  <c r="K167" i="29"/>
  <c r="J167" i="29"/>
  <c r="I167" i="29"/>
  <c r="H167" i="29"/>
  <c r="G167" i="29"/>
  <c r="F167" i="29"/>
  <c r="E167" i="29"/>
  <c r="D167" i="29"/>
  <c r="C167" i="29"/>
  <c r="Z166" i="29"/>
  <c r="Y166" i="29"/>
  <c r="X166" i="29"/>
  <c r="W166" i="29"/>
  <c r="V166" i="29"/>
  <c r="U166" i="29"/>
  <c r="U46" i="29" s="1"/>
  <c r="T166" i="29"/>
  <c r="T47" i="29" s="1"/>
  <c r="S166" i="29"/>
  <c r="S46" i="29" s="1"/>
  <c r="R166" i="29"/>
  <c r="Q166" i="29"/>
  <c r="P166" i="29"/>
  <c r="O166" i="29"/>
  <c r="N166" i="29"/>
  <c r="M166" i="29"/>
  <c r="M47" i="29" s="1"/>
  <c r="L166" i="29"/>
  <c r="L47" i="29" s="1"/>
  <c r="K166" i="29"/>
  <c r="J166" i="29"/>
  <c r="I166" i="29"/>
  <c r="H166" i="29"/>
  <c r="G166" i="29"/>
  <c r="F166" i="29"/>
  <c r="E166" i="29"/>
  <c r="E47" i="29" s="1"/>
  <c r="D166" i="29"/>
  <c r="D47" i="29" s="1"/>
  <c r="C166" i="29"/>
  <c r="C46" i="29" s="1"/>
  <c r="AA162" i="29"/>
  <c r="Z162" i="29" s="1"/>
  <c r="AA161" i="29"/>
  <c r="U161" i="29" s="1"/>
  <c r="AA160" i="29"/>
  <c r="AA159" i="29"/>
  <c r="Y159" i="29" s="1"/>
  <c r="AA158" i="29"/>
  <c r="V158" i="29" s="1"/>
  <c r="AA157" i="29"/>
  <c r="U157" i="29" s="1"/>
  <c r="AA156" i="29"/>
  <c r="W156" i="29" s="1"/>
  <c r="AA155" i="29"/>
  <c r="Y155" i="29" s="1"/>
  <c r="D155" i="29"/>
  <c r="AA154" i="29"/>
  <c r="Z154" i="29" s="1"/>
  <c r="AA153" i="29"/>
  <c r="S153" i="29" s="1"/>
  <c r="L125" i="28"/>
  <c r="L124" i="28"/>
  <c r="L123" i="28"/>
  <c r="L122" i="28"/>
  <c r="L121" i="28"/>
  <c r="L120" i="28"/>
  <c r="L119" i="28"/>
  <c r="L118" i="28"/>
  <c r="L117" i="28"/>
  <c r="L116" i="28"/>
  <c r="CF67" i="31"/>
  <c r="CE67" i="31"/>
  <c r="CD67" i="31"/>
  <c r="CC67" i="31"/>
  <c r="CB67" i="31"/>
  <c r="CA67" i="31"/>
  <c r="BZ67" i="31"/>
  <c r="BY67" i="31"/>
  <c r="BX67" i="31"/>
  <c r="BW67" i="31"/>
  <c r="BV67" i="31"/>
  <c r="BU67" i="31"/>
  <c r="BT67" i="31"/>
  <c r="BS67" i="31"/>
  <c r="BR67" i="31"/>
  <c r="BQ67" i="31"/>
  <c r="BP67" i="31"/>
  <c r="BO67" i="31"/>
  <c r="BN67" i="31"/>
  <c r="BM67" i="31"/>
  <c r="BL67" i="31"/>
  <c r="BK67" i="31"/>
  <c r="BJ67" i="31"/>
  <c r="BI67" i="31"/>
  <c r="CF66" i="31"/>
  <c r="CE66" i="31"/>
  <c r="CD66" i="31"/>
  <c r="CC66" i="31"/>
  <c r="CB66" i="31"/>
  <c r="CA66" i="31"/>
  <c r="BZ66" i="31"/>
  <c r="BY66" i="31"/>
  <c r="BX66" i="31"/>
  <c r="BW66" i="31"/>
  <c r="BV66" i="31"/>
  <c r="BU66" i="31"/>
  <c r="BT66" i="31"/>
  <c r="BS66" i="31"/>
  <c r="BR66" i="31"/>
  <c r="BQ66" i="31"/>
  <c r="BP66" i="31"/>
  <c r="BO66" i="31"/>
  <c r="BN66" i="31"/>
  <c r="BM66" i="31"/>
  <c r="BL66" i="31"/>
  <c r="BK66" i="31"/>
  <c r="BJ66" i="31"/>
  <c r="BI66" i="31"/>
  <c r="CF65" i="31"/>
  <c r="CE65" i="31"/>
  <c r="CD65" i="31"/>
  <c r="CC65" i="31"/>
  <c r="CB65" i="31"/>
  <c r="CA65" i="31"/>
  <c r="BZ65" i="31"/>
  <c r="BY65" i="31"/>
  <c r="BX65" i="31"/>
  <c r="BW65" i="31"/>
  <c r="BV65" i="31"/>
  <c r="BU65" i="31"/>
  <c r="BT65" i="31"/>
  <c r="BS65" i="31"/>
  <c r="BR65" i="31"/>
  <c r="BQ65" i="31"/>
  <c r="BP65" i="31"/>
  <c r="BO65" i="31"/>
  <c r="BN65" i="31"/>
  <c r="BM65" i="31"/>
  <c r="BL65" i="31"/>
  <c r="BK65" i="31"/>
  <c r="BJ65" i="31"/>
  <c r="BI65" i="31"/>
  <c r="CF64" i="31"/>
  <c r="CE64" i="31"/>
  <c r="CD64" i="31"/>
  <c r="CC64" i="31"/>
  <c r="CB64" i="31"/>
  <c r="CA64" i="31"/>
  <c r="BZ64" i="31"/>
  <c r="BY64" i="31"/>
  <c r="BX64" i="31"/>
  <c r="BW64" i="31"/>
  <c r="BV64" i="31"/>
  <c r="BU64" i="31"/>
  <c r="BT64" i="31"/>
  <c r="BS64" i="31"/>
  <c r="BR64" i="31"/>
  <c r="BQ64" i="31"/>
  <c r="BP64" i="31"/>
  <c r="BO64" i="31"/>
  <c r="BN64" i="31"/>
  <c r="BM64" i="31"/>
  <c r="BL64" i="31"/>
  <c r="BK64" i="31"/>
  <c r="BJ64" i="31"/>
  <c r="BI64" i="31"/>
  <c r="CF63" i="31"/>
  <c r="CE63" i="31"/>
  <c r="CD63" i="31"/>
  <c r="CC63" i="31"/>
  <c r="CB63" i="31"/>
  <c r="CA63" i="31"/>
  <c r="BZ63" i="31"/>
  <c r="BY63" i="31"/>
  <c r="BX63" i="31"/>
  <c r="BW63" i="31"/>
  <c r="BV63" i="31"/>
  <c r="BU63" i="31"/>
  <c r="BT63" i="31"/>
  <c r="BS63" i="31"/>
  <c r="BR63" i="31"/>
  <c r="BQ63" i="31"/>
  <c r="BP63" i="31"/>
  <c r="BO63" i="31"/>
  <c r="BN63" i="31"/>
  <c r="BM63" i="31"/>
  <c r="BL63" i="31"/>
  <c r="BK63" i="31"/>
  <c r="BJ63" i="31"/>
  <c r="BI63" i="31"/>
  <c r="CF62" i="31"/>
  <c r="CE62" i="31"/>
  <c r="CD62" i="31"/>
  <c r="CC62" i="31"/>
  <c r="CB62" i="31"/>
  <c r="CA62" i="31"/>
  <c r="BZ62" i="31"/>
  <c r="BY62" i="31"/>
  <c r="BX62" i="31"/>
  <c r="BW62" i="31"/>
  <c r="BV62" i="31"/>
  <c r="BU62" i="31"/>
  <c r="BT62" i="31"/>
  <c r="BS62" i="31"/>
  <c r="BR62" i="31"/>
  <c r="BQ62" i="31"/>
  <c r="BP62" i="31"/>
  <c r="BO62" i="31"/>
  <c r="BN62" i="31"/>
  <c r="BM62" i="31"/>
  <c r="BL62" i="31"/>
  <c r="BK62" i="31"/>
  <c r="BJ62" i="31"/>
  <c r="BI62" i="31"/>
  <c r="CF61" i="31"/>
  <c r="CE61" i="31"/>
  <c r="CD61" i="31"/>
  <c r="CC61" i="31"/>
  <c r="CB61" i="31"/>
  <c r="CA61" i="31"/>
  <c r="BZ61" i="31"/>
  <c r="BY61" i="31"/>
  <c r="BX61" i="31"/>
  <c r="BW61" i="31"/>
  <c r="BV61" i="31"/>
  <c r="BU61" i="31"/>
  <c r="BT61" i="31"/>
  <c r="BS61" i="31"/>
  <c r="BR61" i="31"/>
  <c r="BQ61" i="31"/>
  <c r="BP61" i="31"/>
  <c r="BO61" i="31"/>
  <c r="BN61" i="31"/>
  <c r="BM61" i="31"/>
  <c r="BL61" i="31"/>
  <c r="BK61" i="31"/>
  <c r="BJ61" i="31"/>
  <c r="BI61" i="31"/>
  <c r="CF60" i="31"/>
  <c r="CE60" i="31"/>
  <c r="CD60" i="31"/>
  <c r="CC60" i="31"/>
  <c r="CB60" i="31"/>
  <c r="CA60" i="31"/>
  <c r="BZ60" i="31"/>
  <c r="BY60" i="31"/>
  <c r="BX60" i="31"/>
  <c r="BW60" i="31"/>
  <c r="BV60" i="31"/>
  <c r="BU60" i="31"/>
  <c r="BT60" i="31"/>
  <c r="BS60" i="31"/>
  <c r="BR60" i="31"/>
  <c r="BQ60" i="31"/>
  <c r="BP60" i="31"/>
  <c r="BO60" i="31"/>
  <c r="BN60" i="31"/>
  <c r="BM60" i="31"/>
  <c r="BL60" i="31"/>
  <c r="BK60" i="31"/>
  <c r="BJ60" i="31"/>
  <c r="BI60" i="31"/>
  <c r="CF59" i="31"/>
  <c r="CE59" i="31"/>
  <c r="CD59" i="31"/>
  <c r="CC59" i="31"/>
  <c r="CB59" i="31"/>
  <c r="CA59" i="31"/>
  <c r="BZ59" i="31"/>
  <c r="BY59" i="31"/>
  <c r="BX59" i="31"/>
  <c r="BW59" i="31"/>
  <c r="BV59" i="31"/>
  <c r="BU59" i="31"/>
  <c r="BT59" i="31"/>
  <c r="BS59" i="31"/>
  <c r="BR59" i="31"/>
  <c r="BQ59" i="31"/>
  <c r="BP59" i="31"/>
  <c r="BO59" i="31"/>
  <c r="BN59" i="31"/>
  <c r="BM59" i="31"/>
  <c r="BL59" i="31"/>
  <c r="BK59" i="31"/>
  <c r="BJ59" i="31"/>
  <c r="BI59" i="31"/>
  <c r="CF58" i="31"/>
  <c r="CE58" i="31"/>
  <c r="CD58" i="31"/>
  <c r="CC58" i="31"/>
  <c r="CB58" i="31"/>
  <c r="CA58" i="31"/>
  <c r="BZ58" i="31"/>
  <c r="BY58" i="31"/>
  <c r="BX58" i="31"/>
  <c r="BW58" i="31"/>
  <c r="BV58" i="31"/>
  <c r="BU58" i="31"/>
  <c r="BT58" i="31"/>
  <c r="BS58" i="31"/>
  <c r="BR58" i="31"/>
  <c r="BQ58" i="31"/>
  <c r="BP58" i="31"/>
  <c r="BO58" i="31"/>
  <c r="BN58" i="31"/>
  <c r="BM58" i="31"/>
  <c r="BL58" i="31"/>
  <c r="BK58" i="31"/>
  <c r="BJ58" i="31"/>
  <c r="BI58" i="31"/>
  <c r="CY46" i="30"/>
  <c r="CY98" i="30" s="1"/>
  <c r="CX46" i="30"/>
  <c r="CW46" i="30"/>
  <c r="CV46" i="30"/>
  <c r="CU46" i="30"/>
  <c r="CT46" i="30"/>
  <c r="CS46" i="30"/>
  <c r="CR46" i="30"/>
  <c r="CQ46" i="30"/>
  <c r="CQ98" i="30" s="1"/>
  <c r="CP46" i="30"/>
  <c r="CO46" i="30"/>
  <c r="CN46" i="30"/>
  <c r="CM46" i="30"/>
  <c r="CL46" i="30"/>
  <c r="CK46" i="30"/>
  <c r="CJ46" i="30"/>
  <c r="CI46" i="30"/>
  <c r="CI98" i="30" s="1"/>
  <c r="CH46" i="30"/>
  <c r="CG46" i="30"/>
  <c r="CF46" i="30"/>
  <c r="CE46" i="30"/>
  <c r="CD46" i="30"/>
  <c r="CC46" i="30"/>
  <c r="CB46" i="30"/>
  <c r="CY45" i="30"/>
  <c r="CY97" i="30" s="1"/>
  <c r="CX45" i="30"/>
  <c r="CW45" i="30"/>
  <c r="CV45" i="30"/>
  <c r="CU45" i="30"/>
  <c r="CT45" i="30"/>
  <c r="CS45" i="30"/>
  <c r="CR45" i="30"/>
  <c r="CQ45" i="30"/>
  <c r="CQ97" i="30" s="1"/>
  <c r="CP45" i="30"/>
  <c r="CO45" i="30"/>
  <c r="CN45" i="30"/>
  <c r="CM45" i="30"/>
  <c r="CL45" i="30"/>
  <c r="CK45" i="30"/>
  <c r="CJ45" i="30"/>
  <c r="CI45" i="30"/>
  <c r="CI97" i="30" s="1"/>
  <c r="CH45" i="30"/>
  <c r="CG45" i="30"/>
  <c r="CF45" i="30"/>
  <c r="CE45" i="30"/>
  <c r="CD45" i="30"/>
  <c r="CC45" i="30"/>
  <c r="CB45" i="30"/>
  <c r="CY44" i="30"/>
  <c r="CX44" i="30"/>
  <c r="CW44" i="30"/>
  <c r="CV44" i="30"/>
  <c r="CU44" i="30"/>
  <c r="CT44" i="30"/>
  <c r="CS44" i="30"/>
  <c r="CR44" i="30"/>
  <c r="CQ44" i="30"/>
  <c r="CP44" i="30"/>
  <c r="CO44" i="30"/>
  <c r="CN44" i="30"/>
  <c r="CM44" i="30"/>
  <c r="CL44" i="30"/>
  <c r="CK44" i="30"/>
  <c r="CJ44" i="30"/>
  <c r="CI44" i="30"/>
  <c r="CH44" i="30"/>
  <c r="CG44" i="30"/>
  <c r="CF44" i="30"/>
  <c r="CE44" i="30"/>
  <c r="CD44" i="30"/>
  <c r="CC44" i="30"/>
  <c r="CB44" i="30"/>
  <c r="CY43" i="30"/>
  <c r="CX43" i="30"/>
  <c r="CW43" i="30"/>
  <c r="CV43" i="30"/>
  <c r="CU43" i="30"/>
  <c r="CT43" i="30"/>
  <c r="CS43" i="30"/>
  <c r="CR43" i="30"/>
  <c r="CQ43" i="30"/>
  <c r="CP43" i="30"/>
  <c r="CO43" i="30"/>
  <c r="CN43" i="30"/>
  <c r="CM43" i="30"/>
  <c r="CL43" i="30"/>
  <c r="CK43" i="30"/>
  <c r="CJ43" i="30"/>
  <c r="CI43" i="30"/>
  <c r="CH43" i="30"/>
  <c r="CG43" i="30"/>
  <c r="CF43" i="30"/>
  <c r="CE43" i="30"/>
  <c r="CD43" i="30"/>
  <c r="CC43" i="30"/>
  <c r="CB43" i="30"/>
  <c r="CY42" i="30"/>
  <c r="CY95" i="30" s="1"/>
  <c r="CX42" i="30"/>
  <c r="CW42" i="30"/>
  <c r="CV42" i="30"/>
  <c r="CU42" i="30"/>
  <c r="CT42" i="30"/>
  <c r="CS42" i="30"/>
  <c r="CR42" i="30"/>
  <c r="CQ42" i="30"/>
  <c r="CQ95" i="30" s="1"/>
  <c r="CP42" i="30"/>
  <c r="CO42" i="30"/>
  <c r="CN42" i="30"/>
  <c r="CM42" i="30"/>
  <c r="CL42" i="30"/>
  <c r="CK42" i="30"/>
  <c r="CJ42" i="30"/>
  <c r="CI42" i="30"/>
  <c r="CI95" i="30" s="1"/>
  <c r="CH42" i="30"/>
  <c r="CG42" i="30"/>
  <c r="CF42" i="30"/>
  <c r="CE42" i="30"/>
  <c r="CD42" i="30"/>
  <c r="CC42" i="30"/>
  <c r="CB42" i="30"/>
  <c r="CY41" i="30"/>
  <c r="CY94" i="30" s="1"/>
  <c r="CX41" i="30"/>
  <c r="CW41" i="30"/>
  <c r="CV41" i="30"/>
  <c r="CU41" i="30"/>
  <c r="CT41" i="30"/>
  <c r="CS41" i="30"/>
  <c r="CR41" i="30"/>
  <c r="CQ41" i="30"/>
  <c r="CQ94" i="30" s="1"/>
  <c r="CP41" i="30"/>
  <c r="CO41" i="30"/>
  <c r="CN41" i="30"/>
  <c r="CM41" i="30"/>
  <c r="CL41" i="30"/>
  <c r="CK41" i="30"/>
  <c r="CJ41" i="30"/>
  <c r="CI41" i="30"/>
  <c r="CI94" i="30" s="1"/>
  <c r="CH41" i="30"/>
  <c r="CG41" i="30"/>
  <c r="CF41" i="30"/>
  <c r="CE41" i="30"/>
  <c r="CD41" i="30"/>
  <c r="CC41" i="30"/>
  <c r="CB41" i="30"/>
  <c r="CY40" i="30"/>
  <c r="CX40" i="30"/>
  <c r="CW40" i="30"/>
  <c r="CV40" i="30"/>
  <c r="CU40" i="30"/>
  <c r="CT40" i="30"/>
  <c r="CS40" i="30"/>
  <c r="CR40" i="30"/>
  <c r="CQ40" i="30"/>
  <c r="CP40" i="30"/>
  <c r="CO40" i="30"/>
  <c r="CN40" i="30"/>
  <c r="CM40" i="30"/>
  <c r="CL40" i="30"/>
  <c r="CK40" i="30"/>
  <c r="CJ40" i="30"/>
  <c r="CI40" i="30"/>
  <c r="CH40" i="30"/>
  <c r="CG40" i="30"/>
  <c r="CF40" i="30"/>
  <c r="CE40" i="30"/>
  <c r="CD40" i="30"/>
  <c r="CC40" i="30"/>
  <c r="CB40" i="30"/>
  <c r="CY39" i="30"/>
  <c r="CY92" i="30" s="1"/>
  <c r="CX39" i="30"/>
  <c r="CW39" i="30"/>
  <c r="CV39" i="30"/>
  <c r="CU39" i="30"/>
  <c r="CT39" i="30"/>
  <c r="CS39" i="30"/>
  <c r="CR39" i="30"/>
  <c r="CQ39" i="30"/>
  <c r="CQ92" i="30" s="1"/>
  <c r="CP39" i="30"/>
  <c r="CO39" i="30"/>
  <c r="CN39" i="30"/>
  <c r="CM39" i="30"/>
  <c r="CL39" i="30"/>
  <c r="CK39" i="30"/>
  <c r="CJ39" i="30"/>
  <c r="CI39" i="30"/>
  <c r="CI92" i="30" s="1"/>
  <c r="CH39" i="30"/>
  <c r="CG39" i="30"/>
  <c r="CF39" i="30"/>
  <c r="CE39" i="30"/>
  <c r="CD39" i="30"/>
  <c r="CC39" i="30"/>
  <c r="CB39" i="30"/>
  <c r="CY38" i="30"/>
  <c r="CY91" i="30" s="1"/>
  <c r="CX38" i="30"/>
  <c r="CW38" i="30"/>
  <c r="CV38" i="30"/>
  <c r="CU38" i="30"/>
  <c r="CT38" i="30"/>
  <c r="CS38" i="30"/>
  <c r="CR38" i="30"/>
  <c r="CQ38" i="30"/>
  <c r="CQ91" i="30" s="1"/>
  <c r="CP38" i="30"/>
  <c r="CO38" i="30"/>
  <c r="CN38" i="30"/>
  <c r="CM38" i="30"/>
  <c r="CL38" i="30"/>
  <c r="CK38" i="30"/>
  <c r="CJ38" i="30"/>
  <c r="CI38" i="30"/>
  <c r="CI91" i="30" s="1"/>
  <c r="CH38" i="30"/>
  <c r="CG38" i="30"/>
  <c r="CF38" i="30"/>
  <c r="CE38" i="30"/>
  <c r="CD38" i="30"/>
  <c r="CC38" i="30"/>
  <c r="CB38" i="30"/>
  <c r="CY37" i="30"/>
  <c r="CY90" i="30" s="1"/>
  <c r="CX37" i="30"/>
  <c r="CW37" i="30"/>
  <c r="CV37" i="30"/>
  <c r="CU37" i="30"/>
  <c r="CT37" i="30"/>
  <c r="CS37" i="30"/>
  <c r="CR37" i="30"/>
  <c r="CQ37" i="30"/>
  <c r="CQ90" i="30" s="1"/>
  <c r="CP37" i="30"/>
  <c r="CO37" i="30"/>
  <c r="CN37" i="30"/>
  <c r="CM37" i="30"/>
  <c r="CL37" i="30"/>
  <c r="CK37" i="30"/>
  <c r="CJ37" i="30"/>
  <c r="CI37" i="30"/>
  <c r="CI90" i="30" s="1"/>
  <c r="CH37" i="30"/>
  <c r="CG37" i="30"/>
  <c r="CF37" i="30"/>
  <c r="CE37" i="30"/>
  <c r="CD37" i="30"/>
  <c r="CC37" i="30"/>
  <c r="CB37" i="30"/>
  <c r="CY13" i="30"/>
  <c r="CY24" i="30" s="1"/>
  <c r="CY69" i="30" s="1"/>
  <c r="CX13" i="30"/>
  <c r="CW13" i="30"/>
  <c r="CV13" i="30"/>
  <c r="CU13" i="30"/>
  <c r="CT13" i="30"/>
  <c r="CS13" i="30"/>
  <c r="CR13" i="30"/>
  <c r="CQ13" i="30"/>
  <c r="CP13" i="30"/>
  <c r="CO13" i="30"/>
  <c r="CN13" i="30"/>
  <c r="CM13" i="30"/>
  <c r="CL13" i="30"/>
  <c r="CK13" i="30"/>
  <c r="CJ13" i="30"/>
  <c r="CI13" i="30"/>
  <c r="CI24" i="30" s="1"/>
  <c r="CI69" i="30" s="1"/>
  <c r="CH13" i="30"/>
  <c r="CG13" i="30"/>
  <c r="CF13" i="30"/>
  <c r="CE13" i="30"/>
  <c r="CD13" i="30"/>
  <c r="CC13" i="30"/>
  <c r="CB13" i="30"/>
  <c r="BZ13" i="30"/>
  <c r="BZ24" i="30" s="1"/>
  <c r="BZ57" i="30" s="1"/>
  <c r="CY12" i="30"/>
  <c r="CX12" i="30"/>
  <c r="CW12" i="30"/>
  <c r="CV12" i="30"/>
  <c r="CU12" i="30"/>
  <c r="CT12" i="30"/>
  <c r="CS12" i="30"/>
  <c r="CR12" i="30"/>
  <c r="CR23" i="30" s="1"/>
  <c r="CR68" i="30" s="1"/>
  <c r="CQ12" i="30"/>
  <c r="CP12" i="30"/>
  <c r="CO12" i="30"/>
  <c r="CN12" i="30"/>
  <c r="CM12" i="30"/>
  <c r="CL12" i="30"/>
  <c r="CK12" i="30"/>
  <c r="CJ12" i="30"/>
  <c r="CJ23" i="30" s="1"/>
  <c r="CJ68" i="30" s="1"/>
  <c r="CI12" i="30"/>
  <c r="CH12" i="30"/>
  <c r="CG12" i="30"/>
  <c r="CF12" i="30"/>
  <c r="CE12" i="30"/>
  <c r="CD12" i="30"/>
  <c r="CC12" i="30"/>
  <c r="CB12" i="30"/>
  <c r="CB23" i="30" s="1"/>
  <c r="CB68" i="30" s="1"/>
  <c r="BZ12" i="30"/>
  <c r="CY11" i="30"/>
  <c r="CX11" i="30"/>
  <c r="CW11" i="30"/>
  <c r="CV11" i="30"/>
  <c r="CU11" i="30"/>
  <c r="CT11" i="30"/>
  <c r="CS11" i="30"/>
  <c r="CS22" i="30" s="1"/>
  <c r="CS67" i="30" s="1"/>
  <c r="CR11" i="30"/>
  <c r="CQ11" i="30"/>
  <c r="CP11" i="30"/>
  <c r="CO11" i="30"/>
  <c r="CN11" i="30"/>
  <c r="CM11" i="30"/>
  <c r="CL11" i="30"/>
  <c r="CK11" i="30"/>
  <c r="CJ11" i="30"/>
  <c r="CI11" i="30"/>
  <c r="CH11" i="30"/>
  <c r="CG11" i="30"/>
  <c r="CF11" i="30"/>
  <c r="CE11" i="30"/>
  <c r="CD11" i="30"/>
  <c r="CC11" i="30"/>
  <c r="CC22" i="30" s="1"/>
  <c r="CC67" i="30" s="1"/>
  <c r="CB11" i="30"/>
  <c r="BZ11" i="30"/>
  <c r="CY10" i="30"/>
  <c r="CX10" i="30"/>
  <c r="CW10" i="30"/>
  <c r="CV10" i="30"/>
  <c r="CU10" i="30"/>
  <c r="CT10" i="30"/>
  <c r="CT21" i="30" s="1"/>
  <c r="CT66" i="30" s="1"/>
  <c r="CS10" i="30"/>
  <c r="CR10" i="30"/>
  <c r="CQ10" i="30"/>
  <c r="CP10" i="30"/>
  <c r="CO10" i="30"/>
  <c r="CN10" i="30"/>
  <c r="CM10" i="30"/>
  <c r="CL10" i="30"/>
  <c r="CL21" i="30" s="1"/>
  <c r="CL66" i="30" s="1"/>
  <c r="CK10" i="30"/>
  <c r="CJ10" i="30"/>
  <c r="CI10" i="30"/>
  <c r="CH10" i="30"/>
  <c r="CG10" i="30"/>
  <c r="CF10" i="30"/>
  <c r="CE10" i="30"/>
  <c r="CD10" i="30"/>
  <c r="CD21" i="30" s="1"/>
  <c r="CD66" i="30" s="1"/>
  <c r="CC10" i="30"/>
  <c r="CB10" i="30"/>
  <c r="BZ10" i="30"/>
  <c r="CY9" i="30"/>
  <c r="CX9" i="30"/>
  <c r="CW9" i="30"/>
  <c r="CV9" i="30"/>
  <c r="CU9" i="30"/>
  <c r="CU20" i="30" s="1"/>
  <c r="CU65" i="30" s="1"/>
  <c r="CT9" i="30"/>
  <c r="CS9" i="30"/>
  <c r="CR9" i="30"/>
  <c r="CQ9" i="30"/>
  <c r="CP9" i="30"/>
  <c r="CO9" i="30"/>
  <c r="CN9" i="30"/>
  <c r="CM9" i="30"/>
  <c r="CL9" i="30"/>
  <c r="CK9" i="30"/>
  <c r="CJ9" i="30"/>
  <c r="CI9" i="30"/>
  <c r="CH9" i="30"/>
  <c r="CG9" i="30"/>
  <c r="CF9" i="30"/>
  <c r="CE9" i="30"/>
  <c r="CE20" i="30" s="1"/>
  <c r="CE65" i="30" s="1"/>
  <c r="CD9" i="30"/>
  <c r="CC9" i="30"/>
  <c r="CB9" i="30"/>
  <c r="BZ9" i="30"/>
  <c r="CY8" i="30"/>
  <c r="CX8" i="30"/>
  <c r="CW8" i="30"/>
  <c r="CV8" i="30"/>
  <c r="CV19" i="30" s="1"/>
  <c r="CV64" i="30" s="1"/>
  <c r="CU8" i="30"/>
  <c r="CT8" i="30"/>
  <c r="CS8" i="30"/>
  <c r="CR8" i="30"/>
  <c r="CQ8" i="30"/>
  <c r="CP8" i="30"/>
  <c r="CO8" i="30"/>
  <c r="CN8" i="30"/>
  <c r="CN19" i="30" s="1"/>
  <c r="CN64" i="30" s="1"/>
  <c r="CM8" i="30"/>
  <c r="CL8" i="30"/>
  <c r="CK8" i="30"/>
  <c r="CJ8" i="30"/>
  <c r="CI8" i="30"/>
  <c r="CH8" i="30"/>
  <c r="CG8" i="30"/>
  <c r="CF8" i="30"/>
  <c r="CE8" i="30"/>
  <c r="CD8" i="30"/>
  <c r="CC8" i="30"/>
  <c r="CB8" i="30"/>
  <c r="BZ8" i="30"/>
  <c r="CY7" i="30"/>
  <c r="CX7" i="30"/>
  <c r="CW7" i="30"/>
  <c r="CW18" i="30" s="1"/>
  <c r="CW63" i="30" s="1"/>
  <c r="CV7" i="30"/>
  <c r="CU7" i="30"/>
  <c r="CT7" i="30"/>
  <c r="CS7" i="30"/>
  <c r="CR7" i="30"/>
  <c r="CQ7" i="30"/>
  <c r="CP7" i="30"/>
  <c r="CO7" i="30"/>
  <c r="CO18" i="30" s="1"/>
  <c r="CO63" i="30" s="1"/>
  <c r="CN7" i="30"/>
  <c r="CM7" i="30"/>
  <c r="CL7" i="30"/>
  <c r="CK7" i="30"/>
  <c r="CJ7" i="30"/>
  <c r="CI7" i="30"/>
  <c r="CH7" i="30"/>
  <c r="CG7" i="30"/>
  <c r="CG18" i="30" s="1"/>
  <c r="CG63" i="30" s="1"/>
  <c r="CF7" i="30"/>
  <c r="CE7" i="30"/>
  <c r="CD7" i="30"/>
  <c r="CC7" i="30"/>
  <c r="CB7" i="30"/>
  <c r="BZ7" i="30"/>
  <c r="CY6" i="30"/>
  <c r="CX6" i="30"/>
  <c r="CX17" i="30" s="1"/>
  <c r="CX62" i="30" s="1"/>
  <c r="CW6" i="30"/>
  <c r="CV6" i="30"/>
  <c r="CU6" i="30"/>
  <c r="CT6" i="30"/>
  <c r="CS6" i="30"/>
  <c r="CR6" i="30"/>
  <c r="CQ6" i="30"/>
  <c r="CP6" i="30"/>
  <c r="CO6" i="30"/>
  <c r="CN6" i="30"/>
  <c r="CM6" i="30"/>
  <c r="CL6" i="30"/>
  <c r="CK6" i="30"/>
  <c r="CJ6" i="30"/>
  <c r="CI6" i="30"/>
  <c r="CH6" i="30"/>
  <c r="CH17" i="30" s="1"/>
  <c r="CH62" i="30" s="1"/>
  <c r="CG6" i="30"/>
  <c r="CF6" i="30"/>
  <c r="CE6" i="30"/>
  <c r="CD6" i="30"/>
  <c r="CC6" i="30"/>
  <c r="CB6" i="30"/>
  <c r="BZ6" i="30"/>
  <c r="CY5" i="30"/>
  <c r="CY16" i="30" s="1"/>
  <c r="CY61" i="30" s="1"/>
  <c r="CX5" i="30"/>
  <c r="CW5" i="30"/>
  <c r="CV5" i="30"/>
  <c r="CU5" i="30"/>
  <c r="CT5" i="30"/>
  <c r="CS5" i="30"/>
  <c r="CR5" i="30"/>
  <c r="CQ5" i="30"/>
  <c r="CQ16" i="30" s="1"/>
  <c r="CQ61" i="30" s="1"/>
  <c r="CP5" i="30"/>
  <c r="CO5" i="30"/>
  <c r="CN5" i="30"/>
  <c r="CM5" i="30"/>
  <c r="CL5" i="30"/>
  <c r="CK5" i="30"/>
  <c r="CJ5" i="30"/>
  <c r="CI5" i="30"/>
  <c r="CH5" i="30"/>
  <c r="CG5" i="30"/>
  <c r="CF5" i="30"/>
  <c r="CE5" i="30"/>
  <c r="CD5" i="30"/>
  <c r="CC5" i="30"/>
  <c r="CB5" i="30"/>
  <c r="BZ5" i="30"/>
  <c r="CY4" i="30"/>
  <c r="CX4" i="30"/>
  <c r="CW4" i="30"/>
  <c r="CV4" i="30"/>
  <c r="CU4" i="30"/>
  <c r="CT4" i="30"/>
  <c r="CS4" i="30"/>
  <c r="CR4" i="30"/>
  <c r="CR15" i="30" s="1"/>
  <c r="CR60" i="30" s="1"/>
  <c r="CQ4" i="30"/>
  <c r="CP4" i="30"/>
  <c r="CO4" i="30"/>
  <c r="CN4" i="30"/>
  <c r="CM4" i="30"/>
  <c r="CL4" i="30"/>
  <c r="CK4" i="30"/>
  <c r="CJ4" i="30"/>
  <c r="CI4" i="30"/>
  <c r="CH4" i="30"/>
  <c r="CG4" i="30"/>
  <c r="CF4" i="30"/>
  <c r="CE4" i="30"/>
  <c r="CD4" i="30"/>
  <c r="CC4" i="30"/>
  <c r="CB4" i="30"/>
  <c r="CB15" i="30" s="1"/>
  <c r="CB60" i="30" s="1"/>
  <c r="BZ4" i="30"/>
  <c r="Z132" i="29"/>
  <c r="Y132" i="29"/>
  <c r="X132" i="29"/>
  <c r="W132" i="29"/>
  <c r="V132" i="29"/>
  <c r="U132" i="29"/>
  <c r="T132" i="29"/>
  <c r="S132" i="29"/>
  <c r="R132" i="29"/>
  <c r="Q132" i="29"/>
  <c r="P132" i="29"/>
  <c r="O132" i="29"/>
  <c r="N132" i="29"/>
  <c r="M132" i="29"/>
  <c r="L132" i="29"/>
  <c r="K132" i="29"/>
  <c r="J132" i="29"/>
  <c r="I132" i="29"/>
  <c r="H132" i="29"/>
  <c r="G132" i="29"/>
  <c r="F132" i="29"/>
  <c r="E132" i="29"/>
  <c r="D132" i="29"/>
  <c r="C132" i="29"/>
  <c r="Z131" i="29"/>
  <c r="Y131" i="29"/>
  <c r="X131" i="29"/>
  <c r="W131" i="29"/>
  <c r="V131" i="29"/>
  <c r="U131" i="29"/>
  <c r="T131" i="29"/>
  <c r="S131" i="29"/>
  <c r="R131" i="29"/>
  <c r="Q131" i="29"/>
  <c r="P131" i="29"/>
  <c r="O131" i="29"/>
  <c r="N131" i="29"/>
  <c r="M131" i="29"/>
  <c r="L131" i="29"/>
  <c r="K131" i="29"/>
  <c r="J131" i="29"/>
  <c r="I131" i="29"/>
  <c r="H131" i="29"/>
  <c r="G131" i="29"/>
  <c r="F131" i="29"/>
  <c r="E131" i="29"/>
  <c r="D131" i="29"/>
  <c r="C131" i="29"/>
  <c r="Z130" i="29"/>
  <c r="Y130" i="29"/>
  <c r="X130" i="29"/>
  <c r="W130" i="29"/>
  <c r="V130" i="29"/>
  <c r="U130" i="29"/>
  <c r="T130" i="29"/>
  <c r="S130" i="29"/>
  <c r="R130" i="29"/>
  <c r="Q130" i="29"/>
  <c r="P130" i="29"/>
  <c r="O130" i="29"/>
  <c r="N130" i="29"/>
  <c r="M130" i="29"/>
  <c r="L130" i="29"/>
  <c r="K130" i="29"/>
  <c r="J130" i="29"/>
  <c r="I130" i="29"/>
  <c r="H130" i="29"/>
  <c r="G130" i="29"/>
  <c r="F130" i="29"/>
  <c r="E130" i="29"/>
  <c r="D130" i="29"/>
  <c r="C130" i="29"/>
  <c r="Z129" i="29"/>
  <c r="Y129" i="29"/>
  <c r="X129" i="29"/>
  <c r="W129" i="29"/>
  <c r="V129" i="29"/>
  <c r="U129" i="29"/>
  <c r="T129" i="29"/>
  <c r="S129" i="29"/>
  <c r="R129" i="29"/>
  <c r="Q129" i="29"/>
  <c r="P129" i="29"/>
  <c r="O129" i="29"/>
  <c r="N129" i="29"/>
  <c r="M129" i="29"/>
  <c r="L129" i="29"/>
  <c r="K129" i="29"/>
  <c r="J129" i="29"/>
  <c r="I129" i="29"/>
  <c r="H129" i="29"/>
  <c r="G129" i="29"/>
  <c r="F129" i="29"/>
  <c r="E129" i="29"/>
  <c r="D129" i="29"/>
  <c r="C129" i="29"/>
  <c r="Z128" i="29"/>
  <c r="Y128" i="29"/>
  <c r="X128" i="29"/>
  <c r="W128" i="29"/>
  <c r="V128" i="29"/>
  <c r="U128" i="29"/>
  <c r="T128" i="29"/>
  <c r="S128" i="29"/>
  <c r="R128" i="29"/>
  <c r="Q128" i="29"/>
  <c r="P128" i="29"/>
  <c r="O128" i="29"/>
  <c r="N128" i="29"/>
  <c r="M128" i="29"/>
  <c r="L128" i="29"/>
  <c r="K128" i="29"/>
  <c r="J128" i="29"/>
  <c r="I128" i="29"/>
  <c r="H128" i="29"/>
  <c r="G128" i="29"/>
  <c r="F128" i="29"/>
  <c r="E128" i="29"/>
  <c r="D128" i="29"/>
  <c r="C128" i="29"/>
  <c r="Z127" i="29"/>
  <c r="Y127" i="29"/>
  <c r="X127" i="29"/>
  <c r="W127" i="29"/>
  <c r="V127" i="29"/>
  <c r="U127" i="29"/>
  <c r="T127" i="29"/>
  <c r="S127" i="29"/>
  <c r="R127" i="29"/>
  <c r="Q127" i="29"/>
  <c r="P127" i="29"/>
  <c r="O127" i="29"/>
  <c r="N127" i="29"/>
  <c r="M127" i="29"/>
  <c r="L127" i="29"/>
  <c r="K127" i="29"/>
  <c r="J127" i="29"/>
  <c r="I127" i="29"/>
  <c r="H127" i="29"/>
  <c r="G127" i="29"/>
  <c r="F127" i="29"/>
  <c r="E127" i="29"/>
  <c r="D127" i="29"/>
  <c r="C127" i="29"/>
  <c r="Z126" i="29"/>
  <c r="Y126" i="29"/>
  <c r="X126" i="29"/>
  <c r="W126" i="29"/>
  <c r="V126" i="29"/>
  <c r="U126" i="29"/>
  <c r="T126" i="29"/>
  <c r="S126" i="29"/>
  <c r="R126" i="29"/>
  <c r="Q126" i="29"/>
  <c r="P126" i="29"/>
  <c r="O126" i="29"/>
  <c r="N126" i="29"/>
  <c r="M126" i="29"/>
  <c r="L126" i="29"/>
  <c r="K126" i="29"/>
  <c r="J126" i="29"/>
  <c r="I126" i="29"/>
  <c r="H126" i="29"/>
  <c r="G126" i="29"/>
  <c r="F126" i="29"/>
  <c r="E126" i="29"/>
  <c r="D126" i="29"/>
  <c r="C126" i="29"/>
  <c r="Z125" i="29"/>
  <c r="Y125" i="29"/>
  <c r="X125" i="29"/>
  <c r="W125" i="29"/>
  <c r="V125" i="29"/>
  <c r="U125" i="29"/>
  <c r="T125" i="29"/>
  <c r="S125" i="29"/>
  <c r="R125" i="29"/>
  <c r="Q125" i="29"/>
  <c r="P125" i="29"/>
  <c r="O125" i="29"/>
  <c r="N125" i="29"/>
  <c r="M125" i="29"/>
  <c r="L125" i="29"/>
  <c r="K125" i="29"/>
  <c r="J125" i="29"/>
  <c r="I125" i="29"/>
  <c r="H125" i="29"/>
  <c r="G125" i="29"/>
  <c r="F125" i="29"/>
  <c r="E125" i="29"/>
  <c r="D125" i="29"/>
  <c r="C125" i="29"/>
  <c r="Z124" i="29"/>
  <c r="Y124" i="29"/>
  <c r="X124" i="29"/>
  <c r="W124" i="29"/>
  <c r="V124" i="29"/>
  <c r="U124" i="29"/>
  <c r="T124" i="29"/>
  <c r="S124" i="29"/>
  <c r="R124" i="29"/>
  <c r="Q124" i="29"/>
  <c r="P124" i="29"/>
  <c r="O124" i="29"/>
  <c r="N124" i="29"/>
  <c r="M124" i="29"/>
  <c r="L124" i="29"/>
  <c r="K124" i="29"/>
  <c r="J124" i="29"/>
  <c r="I124" i="29"/>
  <c r="H124" i="29"/>
  <c r="G124" i="29"/>
  <c r="F124" i="29"/>
  <c r="E124" i="29"/>
  <c r="D124" i="29"/>
  <c r="C124" i="29"/>
  <c r="Z123" i="29"/>
  <c r="Z25" i="29" s="1"/>
  <c r="Y123" i="29"/>
  <c r="Y26" i="29" s="1"/>
  <c r="X123" i="29"/>
  <c r="W123" i="29"/>
  <c r="V123" i="29"/>
  <c r="U123" i="29"/>
  <c r="T123" i="29"/>
  <c r="T25" i="29" s="1"/>
  <c r="S123" i="29"/>
  <c r="R123" i="29"/>
  <c r="R26" i="29" s="1"/>
  <c r="Q123" i="29"/>
  <c r="Q26" i="29" s="1"/>
  <c r="P123" i="29"/>
  <c r="O123" i="29"/>
  <c r="N123" i="29"/>
  <c r="M123" i="29"/>
  <c r="L123" i="29"/>
  <c r="L25" i="29" s="1"/>
  <c r="K123" i="29"/>
  <c r="J123" i="29"/>
  <c r="J26" i="29" s="1"/>
  <c r="I123" i="29"/>
  <c r="I26" i="29" s="1"/>
  <c r="H123" i="29"/>
  <c r="G123" i="29"/>
  <c r="F123" i="29"/>
  <c r="E123" i="29"/>
  <c r="D123" i="29"/>
  <c r="D25" i="29" s="1"/>
  <c r="C123" i="29"/>
  <c r="AA119" i="29"/>
  <c r="Z119" i="29" s="1"/>
  <c r="AA118" i="29"/>
  <c r="D118" i="29" s="1"/>
  <c r="AA117" i="29"/>
  <c r="T117" i="29" s="1"/>
  <c r="Q117" i="29"/>
  <c r="F117" i="29"/>
  <c r="D117" i="29"/>
  <c r="AA116" i="29"/>
  <c r="V116" i="29" s="1"/>
  <c r="L116" i="29"/>
  <c r="AA115" i="29"/>
  <c r="L115" i="29" s="1"/>
  <c r="N115" i="29"/>
  <c r="AA114" i="29"/>
  <c r="M114" i="29" s="1"/>
  <c r="AA113" i="29"/>
  <c r="T113" i="29" s="1"/>
  <c r="L113" i="29"/>
  <c r="AA112" i="29"/>
  <c r="Z112" i="29" s="1"/>
  <c r="AA111" i="29"/>
  <c r="U111" i="29" s="1"/>
  <c r="AA110" i="29"/>
  <c r="W110" i="29" s="1"/>
  <c r="L115" i="28"/>
  <c r="L114" i="28"/>
  <c r="L113" i="28"/>
  <c r="L112" i="28"/>
  <c r="L111" i="28"/>
  <c r="L110" i="28"/>
  <c r="L109" i="28"/>
  <c r="L108" i="28"/>
  <c r="L107" i="28"/>
  <c r="L106" i="28"/>
  <c r="BE67" i="31"/>
  <c r="BD67" i="31"/>
  <c r="BC67" i="31"/>
  <c r="BB67" i="31"/>
  <c r="BA67" i="31"/>
  <c r="AZ67" i="31"/>
  <c r="AY67" i="31"/>
  <c r="AX67" i="31"/>
  <c r="AW67" i="31"/>
  <c r="AV67" i="31"/>
  <c r="AU67" i="31"/>
  <c r="AT67" i="31"/>
  <c r="AS67" i="31"/>
  <c r="AR67" i="31"/>
  <c r="AQ67" i="31"/>
  <c r="AP67" i="31"/>
  <c r="AO67" i="31"/>
  <c r="AN67" i="31"/>
  <c r="AM67" i="31"/>
  <c r="AL67" i="31"/>
  <c r="AK67" i="31"/>
  <c r="AJ67" i="31"/>
  <c r="AI67" i="31"/>
  <c r="AH67" i="31"/>
  <c r="BE66" i="31"/>
  <c r="BD66" i="31"/>
  <c r="BC66" i="31"/>
  <c r="BB66" i="31"/>
  <c r="BA66" i="31"/>
  <c r="AZ66" i="31"/>
  <c r="AY66" i="31"/>
  <c r="AX66" i="31"/>
  <c r="AW66" i="31"/>
  <c r="AV66" i="31"/>
  <c r="AU66" i="31"/>
  <c r="AT66" i="31"/>
  <c r="AS66" i="31"/>
  <c r="AR66" i="31"/>
  <c r="AQ66" i="31"/>
  <c r="AP66" i="31"/>
  <c r="AO66" i="31"/>
  <c r="AN66" i="31"/>
  <c r="AM66" i="31"/>
  <c r="AL66" i="31"/>
  <c r="AK66" i="31"/>
  <c r="AJ66" i="31"/>
  <c r="AI66" i="31"/>
  <c r="AH66" i="31"/>
  <c r="BE65" i="31"/>
  <c r="BD65" i="31"/>
  <c r="BC65" i="31"/>
  <c r="BB65" i="31"/>
  <c r="BA65" i="31"/>
  <c r="AZ65" i="31"/>
  <c r="AY65" i="31"/>
  <c r="AX65" i="31"/>
  <c r="AW65" i="31"/>
  <c r="AV65" i="31"/>
  <c r="AU65" i="31"/>
  <c r="AT65" i="31"/>
  <c r="AS65" i="31"/>
  <c r="AR65" i="31"/>
  <c r="AQ65" i="31"/>
  <c r="AP65" i="31"/>
  <c r="AO65" i="31"/>
  <c r="AN65" i="31"/>
  <c r="AM65" i="31"/>
  <c r="AL65" i="31"/>
  <c r="AK65" i="31"/>
  <c r="AJ65" i="31"/>
  <c r="AI65" i="31"/>
  <c r="AH65" i="31"/>
  <c r="BE64" i="31"/>
  <c r="BD64" i="31"/>
  <c r="BC64" i="31"/>
  <c r="BB64" i="31"/>
  <c r="BA64" i="31"/>
  <c r="AZ64" i="31"/>
  <c r="AY64" i="31"/>
  <c r="AX64" i="31"/>
  <c r="AW64" i="31"/>
  <c r="AV64" i="31"/>
  <c r="AU64" i="31"/>
  <c r="AT64" i="31"/>
  <c r="AS64" i="31"/>
  <c r="AR64" i="31"/>
  <c r="AQ64" i="31"/>
  <c r="AP64" i="31"/>
  <c r="AO64" i="31"/>
  <c r="AN64" i="31"/>
  <c r="AM64" i="31"/>
  <c r="AL64" i="31"/>
  <c r="AK64" i="31"/>
  <c r="AJ64" i="31"/>
  <c r="AI64" i="31"/>
  <c r="AH64" i="31"/>
  <c r="BE63" i="31"/>
  <c r="BD63" i="31"/>
  <c r="BC63" i="31"/>
  <c r="BB63" i="31"/>
  <c r="BA63" i="31"/>
  <c r="AZ63" i="31"/>
  <c r="AY63" i="31"/>
  <c r="AX63" i="31"/>
  <c r="AW63" i="31"/>
  <c r="AV63" i="31"/>
  <c r="AU63" i="31"/>
  <c r="AT63" i="31"/>
  <c r="AS63" i="31"/>
  <c r="AR63" i="31"/>
  <c r="AQ63" i="31"/>
  <c r="AP63" i="31"/>
  <c r="AO63" i="31"/>
  <c r="AN63" i="31"/>
  <c r="AM63" i="31"/>
  <c r="AL63" i="31"/>
  <c r="AK63" i="31"/>
  <c r="AJ63" i="31"/>
  <c r="AI63" i="31"/>
  <c r="AH63" i="31"/>
  <c r="BE62" i="31"/>
  <c r="BD62" i="31"/>
  <c r="BC62" i="31"/>
  <c r="BB62" i="31"/>
  <c r="BA62" i="31"/>
  <c r="AZ62" i="31"/>
  <c r="AY62" i="31"/>
  <c r="AX62" i="31"/>
  <c r="AW62" i="31"/>
  <c r="AV62" i="31"/>
  <c r="AU62" i="31"/>
  <c r="AT62" i="31"/>
  <c r="AS62" i="31"/>
  <c r="AR62" i="31"/>
  <c r="AQ62" i="31"/>
  <c r="AP62" i="31"/>
  <c r="AO62" i="31"/>
  <c r="AN62" i="31"/>
  <c r="AM62" i="31"/>
  <c r="AL62" i="31"/>
  <c r="AK62" i="31"/>
  <c r="AJ62" i="31"/>
  <c r="AI62" i="31"/>
  <c r="AH62" i="31"/>
  <c r="BE61" i="31"/>
  <c r="BD61" i="31"/>
  <c r="BC61" i="31"/>
  <c r="BB61" i="31"/>
  <c r="BA61" i="31"/>
  <c r="AZ61" i="31"/>
  <c r="AY61" i="31"/>
  <c r="AX61" i="31"/>
  <c r="AW61" i="31"/>
  <c r="AV61" i="31"/>
  <c r="AU61" i="31"/>
  <c r="AT61" i="31"/>
  <c r="AS61" i="31"/>
  <c r="AR61" i="31"/>
  <c r="AQ61" i="31"/>
  <c r="AP61" i="31"/>
  <c r="AO61" i="31"/>
  <c r="AN61" i="31"/>
  <c r="AM61" i="31"/>
  <c r="AL61" i="31"/>
  <c r="AK61" i="31"/>
  <c r="AJ61" i="31"/>
  <c r="AI61" i="31"/>
  <c r="AH61" i="31"/>
  <c r="BE60" i="31"/>
  <c r="BD60" i="31"/>
  <c r="BC60" i="31"/>
  <c r="BB60" i="31"/>
  <c r="BA60" i="31"/>
  <c r="AZ60" i="31"/>
  <c r="AY60" i="31"/>
  <c r="AX60" i="31"/>
  <c r="AW60" i="31"/>
  <c r="AV60" i="31"/>
  <c r="AU60" i="31"/>
  <c r="AT60" i="31"/>
  <c r="AS60" i="31"/>
  <c r="AR60" i="31"/>
  <c r="AQ60" i="31"/>
  <c r="AP60" i="31"/>
  <c r="AO60" i="31"/>
  <c r="AN60" i="31"/>
  <c r="AM60" i="31"/>
  <c r="AL60" i="31"/>
  <c r="AK60" i="31"/>
  <c r="AJ60" i="31"/>
  <c r="AI60" i="31"/>
  <c r="AH60" i="31"/>
  <c r="BE59" i="31"/>
  <c r="BD59" i="31"/>
  <c r="BC59" i="31"/>
  <c r="BB59" i="31"/>
  <c r="BA59" i="31"/>
  <c r="AZ59" i="31"/>
  <c r="AY59" i="31"/>
  <c r="AX59" i="31"/>
  <c r="AW59" i="31"/>
  <c r="AV59" i="31"/>
  <c r="AU59" i="31"/>
  <c r="AT59" i="31"/>
  <c r="AS59" i="31"/>
  <c r="AR59" i="31"/>
  <c r="AQ59" i="31"/>
  <c r="AP59" i="31"/>
  <c r="AO59" i="31"/>
  <c r="AN59" i="31"/>
  <c r="AM59" i="31"/>
  <c r="AL59" i="31"/>
  <c r="AK59" i="31"/>
  <c r="AJ59" i="31"/>
  <c r="AI59" i="31"/>
  <c r="AH59" i="31"/>
  <c r="BE58" i="31"/>
  <c r="BD58" i="31"/>
  <c r="BC58" i="31"/>
  <c r="BB58" i="31"/>
  <c r="BA58" i="31"/>
  <c r="AZ58" i="31"/>
  <c r="AY58" i="31"/>
  <c r="AX58" i="31"/>
  <c r="AW58" i="31"/>
  <c r="AV58" i="31"/>
  <c r="AU58" i="31"/>
  <c r="AT58" i="31"/>
  <c r="AS58" i="31"/>
  <c r="AR58" i="31"/>
  <c r="AQ58" i="31"/>
  <c r="AP58" i="31"/>
  <c r="AO58" i="31"/>
  <c r="AN58" i="31"/>
  <c r="AM58" i="31"/>
  <c r="AL58" i="31"/>
  <c r="AK58" i="31"/>
  <c r="AJ58" i="31"/>
  <c r="AI58" i="31"/>
  <c r="AH58" i="31"/>
  <c r="BS46" i="30"/>
  <c r="BR46" i="30"/>
  <c r="BQ46" i="30"/>
  <c r="BP46" i="30"/>
  <c r="BO46" i="30"/>
  <c r="BN46" i="30"/>
  <c r="BM46" i="30"/>
  <c r="BL46" i="30"/>
  <c r="BL98" i="30" s="1"/>
  <c r="BK46" i="30"/>
  <c r="BJ46" i="30"/>
  <c r="BI46" i="30"/>
  <c r="BI98" i="30" s="1"/>
  <c r="BH46" i="30"/>
  <c r="BG46" i="30"/>
  <c r="BF46" i="30"/>
  <c r="BE46" i="30"/>
  <c r="BD46" i="30"/>
  <c r="BD98" i="30" s="1"/>
  <c r="BC46" i="30"/>
  <c r="BB46" i="30"/>
  <c r="BA46" i="30"/>
  <c r="BA98" i="30" s="1"/>
  <c r="AZ46" i="30"/>
  <c r="AY46" i="30"/>
  <c r="AX46" i="30"/>
  <c r="AW46" i="30"/>
  <c r="AV46" i="30"/>
  <c r="AV98" i="30" s="1"/>
  <c r="BS45" i="30"/>
  <c r="BR45" i="30"/>
  <c r="BQ45" i="30"/>
  <c r="BQ97" i="30" s="1"/>
  <c r="BP45" i="30"/>
  <c r="BO45" i="30"/>
  <c r="BN45" i="30"/>
  <c r="BM45" i="30"/>
  <c r="BM97" i="30" s="1"/>
  <c r="BL45" i="30"/>
  <c r="BK45" i="30"/>
  <c r="BJ45" i="30"/>
  <c r="BI45" i="30"/>
  <c r="BI97" i="30" s="1"/>
  <c r="BH45" i="30"/>
  <c r="BG45" i="30"/>
  <c r="BF45" i="30"/>
  <c r="BE45" i="30"/>
  <c r="BE97" i="30" s="1"/>
  <c r="BD45" i="30"/>
  <c r="BC45" i="30"/>
  <c r="BB45" i="30"/>
  <c r="BA45" i="30"/>
  <c r="BA97" i="30" s="1"/>
  <c r="AZ45" i="30"/>
  <c r="AY45" i="30"/>
  <c r="AX45" i="30"/>
  <c r="AW45" i="30"/>
  <c r="AW97" i="30" s="1"/>
  <c r="AV45" i="30"/>
  <c r="BS44" i="30"/>
  <c r="BR44" i="30"/>
  <c r="BQ44" i="30"/>
  <c r="BQ96" i="30" s="1"/>
  <c r="BP44" i="30"/>
  <c r="BO44" i="30"/>
  <c r="BN44" i="30"/>
  <c r="BN96" i="30" s="1"/>
  <c r="BM44" i="30"/>
  <c r="BL44" i="30"/>
  <c r="BK44" i="30"/>
  <c r="BJ44" i="30"/>
  <c r="BI44" i="30"/>
  <c r="BI96" i="30" s="1"/>
  <c r="BH44" i="30"/>
  <c r="BG44" i="30"/>
  <c r="BF44" i="30"/>
  <c r="BF96" i="30" s="1"/>
  <c r="BE44" i="30"/>
  <c r="BD44" i="30"/>
  <c r="BC44" i="30"/>
  <c r="BB44" i="30"/>
  <c r="BA44" i="30"/>
  <c r="AZ44" i="30"/>
  <c r="AY44" i="30"/>
  <c r="AX44" i="30"/>
  <c r="AX96" i="30" s="1"/>
  <c r="AW44" i="30"/>
  <c r="AV44" i="30"/>
  <c r="BS43" i="30"/>
  <c r="BR43" i="30"/>
  <c r="BQ43" i="30"/>
  <c r="BP43" i="30"/>
  <c r="BO43" i="30"/>
  <c r="BN43" i="30"/>
  <c r="BM43" i="30"/>
  <c r="BL43" i="30"/>
  <c r="BK43" i="30"/>
  <c r="BJ43" i="30"/>
  <c r="BI43" i="30"/>
  <c r="BH43" i="30"/>
  <c r="BG43" i="30"/>
  <c r="BF43" i="30"/>
  <c r="BE43" i="30"/>
  <c r="BD43" i="30"/>
  <c r="BC43" i="30"/>
  <c r="BB43" i="30"/>
  <c r="BA43" i="30"/>
  <c r="AZ43" i="30"/>
  <c r="AY43" i="30"/>
  <c r="AX43" i="30"/>
  <c r="AW43" i="30"/>
  <c r="AV43" i="30"/>
  <c r="BS42" i="30"/>
  <c r="BR42" i="30"/>
  <c r="BQ42" i="30"/>
  <c r="BP42" i="30"/>
  <c r="BP95" i="30" s="1"/>
  <c r="BO42" i="30"/>
  <c r="BN42" i="30"/>
  <c r="BM42" i="30"/>
  <c r="BL42" i="30"/>
  <c r="BK42" i="30"/>
  <c r="BJ42" i="30"/>
  <c r="BI42" i="30"/>
  <c r="BI95" i="30" s="1"/>
  <c r="BH42" i="30"/>
  <c r="BH95" i="30" s="1"/>
  <c r="BG42" i="30"/>
  <c r="BF42" i="30"/>
  <c r="BE42" i="30"/>
  <c r="BD42" i="30"/>
  <c r="BC42" i="30"/>
  <c r="BB42" i="30"/>
  <c r="BA42" i="30"/>
  <c r="BA95" i="30" s="1"/>
  <c r="AZ42" i="30"/>
  <c r="AZ95" i="30" s="1"/>
  <c r="AY42" i="30"/>
  <c r="AX42" i="30"/>
  <c r="AW42" i="30"/>
  <c r="AV42" i="30"/>
  <c r="BS41" i="30"/>
  <c r="BR41" i="30"/>
  <c r="BQ41" i="30"/>
  <c r="BQ94" i="30" s="1"/>
  <c r="BP41" i="30"/>
  <c r="BO41" i="30"/>
  <c r="BN41" i="30"/>
  <c r="BM41" i="30"/>
  <c r="BL41" i="30"/>
  <c r="BK41" i="30"/>
  <c r="BJ41" i="30"/>
  <c r="BI41" i="30"/>
  <c r="BI94" i="30" s="1"/>
  <c r="BH41" i="30"/>
  <c r="BG41" i="30"/>
  <c r="BF41" i="30"/>
  <c r="BE41" i="30"/>
  <c r="BD41" i="30"/>
  <c r="BC41" i="30"/>
  <c r="BB41" i="30"/>
  <c r="BA41" i="30"/>
  <c r="BA94" i="30" s="1"/>
  <c r="AZ41" i="30"/>
  <c r="AY41" i="30"/>
  <c r="AX41" i="30"/>
  <c r="AW41" i="30"/>
  <c r="AV41" i="30"/>
  <c r="BS40" i="30"/>
  <c r="BR40" i="30"/>
  <c r="BR93" i="30" s="1"/>
  <c r="BQ40" i="30"/>
  <c r="BQ93" i="30" s="1"/>
  <c r="BP40" i="30"/>
  <c r="BO40" i="30"/>
  <c r="BN40" i="30"/>
  <c r="BM40" i="30"/>
  <c r="BL40" i="30"/>
  <c r="BK40" i="30"/>
  <c r="BJ40" i="30"/>
  <c r="BJ93" i="30" s="1"/>
  <c r="BI40" i="30"/>
  <c r="BH40" i="30"/>
  <c r="BG40" i="30"/>
  <c r="BF40" i="30"/>
  <c r="BE40" i="30"/>
  <c r="BD40" i="30"/>
  <c r="BC40" i="30"/>
  <c r="BB40" i="30"/>
  <c r="BB93" i="30" s="1"/>
  <c r="BA40" i="30"/>
  <c r="BA93" i="30" s="1"/>
  <c r="AZ40" i="30"/>
  <c r="AY40" i="30"/>
  <c r="AX40" i="30"/>
  <c r="AW40" i="30"/>
  <c r="AV40" i="30"/>
  <c r="BS39" i="30"/>
  <c r="BR39" i="30"/>
  <c r="BR92" i="30" s="1"/>
  <c r="BQ39" i="30"/>
  <c r="BP39" i="30"/>
  <c r="BO39" i="30"/>
  <c r="BN39" i="30"/>
  <c r="BM39" i="30"/>
  <c r="BL39" i="30"/>
  <c r="BK39" i="30"/>
  <c r="BJ39" i="30"/>
  <c r="BI39" i="30"/>
  <c r="BH39" i="30"/>
  <c r="BG39" i="30"/>
  <c r="BF39" i="30"/>
  <c r="BE39" i="30"/>
  <c r="BD39" i="30"/>
  <c r="BC39" i="30"/>
  <c r="BB39" i="30"/>
  <c r="BB92" i="30" s="1"/>
  <c r="BA39" i="30"/>
  <c r="AZ39" i="30"/>
  <c r="AY39" i="30"/>
  <c r="AX39" i="30"/>
  <c r="AW39" i="30"/>
  <c r="AV39" i="30"/>
  <c r="BS38" i="30"/>
  <c r="BR38" i="30"/>
  <c r="BQ38" i="30"/>
  <c r="BP38" i="30"/>
  <c r="BO38" i="30"/>
  <c r="BN38" i="30"/>
  <c r="BM38" i="30"/>
  <c r="BL38" i="30"/>
  <c r="BL91" i="30" s="1"/>
  <c r="BK38" i="30"/>
  <c r="BJ38" i="30"/>
  <c r="BI38" i="30"/>
  <c r="BI91" i="30" s="1"/>
  <c r="BH38" i="30"/>
  <c r="BG38" i="30"/>
  <c r="BF38" i="30"/>
  <c r="BE38" i="30"/>
  <c r="BD38" i="30"/>
  <c r="BD91" i="30" s="1"/>
  <c r="BC38" i="30"/>
  <c r="BB38" i="30"/>
  <c r="BA38" i="30"/>
  <c r="AZ38" i="30"/>
  <c r="AY38" i="30"/>
  <c r="AX38" i="30"/>
  <c r="AW38" i="30"/>
  <c r="AV38" i="30"/>
  <c r="BS37" i="30"/>
  <c r="BR37" i="30"/>
  <c r="BQ37" i="30"/>
  <c r="BP37" i="30"/>
  <c r="BO37" i="30"/>
  <c r="BN37" i="30"/>
  <c r="BM37" i="30"/>
  <c r="BL37" i="30"/>
  <c r="BK37" i="30"/>
  <c r="BJ37" i="30"/>
  <c r="BI37" i="30"/>
  <c r="BI90" i="30" s="1"/>
  <c r="BH37" i="30"/>
  <c r="BG37" i="30"/>
  <c r="BF37" i="30"/>
  <c r="BE37" i="30"/>
  <c r="BD37" i="30"/>
  <c r="BC37" i="30"/>
  <c r="BB37" i="30"/>
  <c r="BA37" i="30"/>
  <c r="BA90" i="30" s="1"/>
  <c r="AZ37" i="30"/>
  <c r="AY37" i="30"/>
  <c r="AX37" i="30"/>
  <c r="AW37" i="30"/>
  <c r="AV37" i="30"/>
  <c r="AT35" i="30"/>
  <c r="AT34" i="30"/>
  <c r="AT33" i="30"/>
  <c r="AT11" i="30" s="1"/>
  <c r="AT32" i="30"/>
  <c r="AT31" i="30"/>
  <c r="AT30" i="30"/>
  <c r="AT29" i="30"/>
  <c r="AT28" i="30"/>
  <c r="AT27" i="30"/>
  <c r="AT26" i="30"/>
  <c r="BS13" i="30"/>
  <c r="BS24" i="30" s="1"/>
  <c r="BR13" i="30"/>
  <c r="BR24" i="30" s="1"/>
  <c r="BQ13" i="30"/>
  <c r="BP13" i="30"/>
  <c r="BP24" i="30" s="1"/>
  <c r="BO13" i="30"/>
  <c r="BN13" i="30"/>
  <c r="BM13" i="30"/>
  <c r="BL13" i="30"/>
  <c r="BK13" i="30"/>
  <c r="BK24" i="30" s="1"/>
  <c r="BJ13" i="30"/>
  <c r="BJ24" i="30" s="1"/>
  <c r="BI13" i="30"/>
  <c r="BH13" i="30"/>
  <c r="BG13" i="30"/>
  <c r="BF13" i="30"/>
  <c r="BE13" i="30"/>
  <c r="BD13" i="30"/>
  <c r="BC13" i="30"/>
  <c r="BC24" i="30" s="1"/>
  <c r="BB13" i="30"/>
  <c r="BB24" i="30" s="1"/>
  <c r="BA13" i="30"/>
  <c r="AZ13" i="30"/>
  <c r="AZ24" i="30" s="1"/>
  <c r="AY13" i="30"/>
  <c r="AX13" i="30"/>
  <c r="AW13" i="30"/>
  <c r="AV13" i="30"/>
  <c r="BS12" i="30"/>
  <c r="BS23" i="30" s="1"/>
  <c r="BR12" i="30"/>
  <c r="BQ12" i="30"/>
  <c r="BP12" i="30"/>
  <c r="BP23" i="30" s="1"/>
  <c r="BO12" i="30"/>
  <c r="BN12" i="30"/>
  <c r="BM12" i="30"/>
  <c r="BL12" i="30"/>
  <c r="BK12" i="30"/>
  <c r="BK23" i="30" s="1"/>
  <c r="BJ12" i="30"/>
  <c r="BI12" i="30"/>
  <c r="BH12" i="30"/>
  <c r="BH23" i="30" s="1"/>
  <c r="BG12" i="30"/>
  <c r="BF12" i="30"/>
  <c r="BE12" i="30"/>
  <c r="BD12" i="30"/>
  <c r="BC12" i="30"/>
  <c r="BC23" i="30" s="1"/>
  <c r="BB12" i="30"/>
  <c r="BA12" i="30"/>
  <c r="AZ12" i="30"/>
  <c r="AZ23" i="30" s="1"/>
  <c r="AY12" i="30"/>
  <c r="AX12" i="30"/>
  <c r="AW12" i="30"/>
  <c r="AV12" i="30"/>
  <c r="BS11" i="30"/>
  <c r="BS22" i="30" s="1"/>
  <c r="BR11" i="30"/>
  <c r="BQ11" i="30"/>
  <c r="BP11" i="30"/>
  <c r="BP22" i="30" s="1"/>
  <c r="BO11" i="30"/>
  <c r="BN11" i="30"/>
  <c r="BM11" i="30"/>
  <c r="BL11" i="30"/>
  <c r="BK11" i="30"/>
  <c r="BJ11" i="30"/>
  <c r="BI11" i="30"/>
  <c r="BH11" i="30"/>
  <c r="BH22" i="30" s="1"/>
  <c r="BG11" i="30"/>
  <c r="BF11" i="30"/>
  <c r="BE11" i="30"/>
  <c r="BD11" i="30"/>
  <c r="BC11" i="30"/>
  <c r="BC22" i="30" s="1"/>
  <c r="BB11" i="30"/>
  <c r="BA11" i="30"/>
  <c r="AZ11" i="30"/>
  <c r="AY11" i="30"/>
  <c r="AX11" i="30"/>
  <c r="AW11" i="30"/>
  <c r="AV11" i="30"/>
  <c r="BS10" i="30"/>
  <c r="BR10" i="30"/>
  <c r="BQ10" i="30"/>
  <c r="BP10" i="30"/>
  <c r="BO10" i="30"/>
  <c r="BN10" i="30"/>
  <c r="BM10" i="30"/>
  <c r="BL10" i="30"/>
  <c r="BK10" i="30"/>
  <c r="BK21" i="30" s="1"/>
  <c r="BJ10" i="30"/>
  <c r="BI10" i="30"/>
  <c r="BH10" i="30"/>
  <c r="BG10" i="30"/>
  <c r="BF10" i="30"/>
  <c r="BE10" i="30"/>
  <c r="BD10" i="30"/>
  <c r="BC10" i="30"/>
  <c r="BC21" i="30" s="1"/>
  <c r="BB10" i="30"/>
  <c r="BA10" i="30"/>
  <c r="AZ10" i="30"/>
  <c r="AZ21" i="30" s="1"/>
  <c r="AY10" i="30"/>
  <c r="AX10" i="30"/>
  <c r="AW10" i="30"/>
  <c r="AV10" i="30"/>
  <c r="BS9" i="30"/>
  <c r="BS20" i="30" s="1"/>
  <c r="BR9" i="30"/>
  <c r="BQ9" i="30"/>
  <c r="BP9" i="30"/>
  <c r="BP20" i="30" s="1"/>
  <c r="BO9" i="30"/>
  <c r="BN9" i="30"/>
  <c r="BM9" i="30"/>
  <c r="BL9" i="30"/>
  <c r="BK9" i="30"/>
  <c r="BJ9" i="30"/>
  <c r="BI9" i="30"/>
  <c r="BH9" i="30"/>
  <c r="BH20" i="30" s="1"/>
  <c r="BG9" i="30"/>
  <c r="BF9" i="30"/>
  <c r="BE9" i="30"/>
  <c r="BD9" i="30"/>
  <c r="BC9" i="30"/>
  <c r="BB9" i="30"/>
  <c r="BA9" i="30"/>
  <c r="AZ9" i="30"/>
  <c r="AZ20" i="30" s="1"/>
  <c r="AY9" i="30"/>
  <c r="AX9" i="30"/>
  <c r="AW9" i="30"/>
  <c r="AV9" i="30"/>
  <c r="BS8" i="30"/>
  <c r="BS19" i="30" s="1"/>
  <c r="BR8" i="30"/>
  <c r="BQ8" i="30"/>
  <c r="BP8" i="30"/>
  <c r="BP19" i="30" s="1"/>
  <c r="BO8" i="30"/>
  <c r="BN8" i="30"/>
  <c r="BM8" i="30"/>
  <c r="BL8" i="30"/>
  <c r="BL19" i="30" s="1"/>
  <c r="BK8" i="30"/>
  <c r="BK19" i="30" s="1"/>
  <c r="BJ8" i="30"/>
  <c r="BI8" i="30"/>
  <c r="BH8" i="30"/>
  <c r="BH19" i="30" s="1"/>
  <c r="BG8" i="30"/>
  <c r="BF8" i="30"/>
  <c r="BE8" i="30"/>
  <c r="BD8" i="30"/>
  <c r="BD19" i="30" s="1"/>
  <c r="BC8" i="30"/>
  <c r="BB8" i="30"/>
  <c r="BA8" i="30"/>
  <c r="AZ8" i="30"/>
  <c r="AZ19" i="30" s="1"/>
  <c r="AY8" i="30"/>
  <c r="AX8" i="30"/>
  <c r="AW8" i="30"/>
  <c r="AV8" i="30"/>
  <c r="BS7" i="30"/>
  <c r="BS18" i="30" s="1"/>
  <c r="BR7" i="30"/>
  <c r="BQ7" i="30"/>
  <c r="BP7" i="30"/>
  <c r="BP18" i="30" s="1"/>
  <c r="BO7" i="30"/>
  <c r="BN7" i="30"/>
  <c r="BM7" i="30"/>
  <c r="BL7" i="30"/>
  <c r="BK7" i="30"/>
  <c r="BJ7" i="30"/>
  <c r="BI7" i="30"/>
  <c r="BH7" i="30"/>
  <c r="BH18" i="30" s="1"/>
  <c r="BG7" i="30"/>
  <c r="BF7" i="30"/>
  <c r="BE7" i="30"/>
  <c r="BD7" i="30"/>
  <c r="BC7" i="30"/>
  <c r="BC18" i="30" s="1"/>
  <c r="BB7" i="30"/>
  <c r="BA7" i="30"/>
  <c r="AZ7" i="30"/>
  <c r="AZ18" i="30" s="1"/>
  <c r="AY7" i="30"/>
  <c r="AX7" i="30"/>
  <c r="AW7" i="30"/>
  <c r="AV7" i="30"/>
  <c r="BS6" i="30"/>
  <c r="BS17" i="30" s="1"/>
  <c r="BR6" i="30"/>
  <c r="BQ6" i="30"/>
  <c r="BP6" i="30"/>
  <c r="BO6" i="30"/>
  <c r="BN6" i="30"/>
  <c r="BM6" i="30"/>
  <c r="BM17" i="30" s="1"/>
  <c r="BL6" i="30"/>
  <c r="BL92" i="30" s="1"/>
  <c r="BK6" i="30"/>
  <c r="BK17" i="30" s="1"/>
  <c r="BJ6" i="30"/>
  <c r="BI6" i="30"/>
  <c r="BH6" i="30"/>
  <c r="BG6" i="30"/>
  <c r="BF6" i="30"/>
  <c r="BE6" i="30"/>
  <c r="BE17" i="30" s="1"/>
  <c r="BD6" i="30"/>
  <c r="BD17" i="30" s="1"/>
  <c r="BC6" i="30"/>
  <c r="BC17" i="30" s="1"/>
  <c r="BB6" i="30"/>
  <c r="BA6" i="30"/>
  <c r="AZ6" i="30"/>
  <c r="AY6" i="30"/>
  <c r="AX6" i="30"/>
  <c r="AW6" i="30"/>
  <c r="AW92" i="30" s="1"/>
  <c r="AV6" i="30"/>
  <c r="AV92" i="30" s="1"/>
  <c r="BS5" i="30"/>
  <c r="BS91" i="30" s="1"/>
  <c r="BR5" i="30"/>
  <c r="BQ5" i="30"/>
  <c r="BP5" i="30"/>
  <c r="BP91" i="30" s="1"/>
  <c r="BO5" i="30"/>
  <c r="BN5" i="30"/>
  <c r="BM5" i="30"/>
  <c r="BM16" i="30" s="1"/>
  <c r="BL5" i="30"/>
  <c r="BL16" i="30" s="1"/>
  <c r="BK5" i="30"/>
  <c r="BK16" i="30" s="1"/>
  <c r="BJ5" i="30"/>
  <c r="BI5" i="30"/>
  <c r="BH5" i="30"/>
  <c r="BG5" i="30"/>
  <c r="BF5" i="30"/>
  <c r="BE5" i="30"/>
  <c r="BE16" i="30" s="1"/>
  <c r="BD5" i="30"/>
  <c r="BD16" i="30" s="1"/>
  <c r="BC5" i="30"/>
  <c r="BC16" i="30" s="1"/>
  <c r="BB5" i="30"/>
  <c r="BA5" i="30"/>
  <c r="AZ5" i="30"/>
  <c r="AY5" i="30"/>
  <c r="AX5" i="30"/>
  <c r="AW5" i="30"/>
  <c r="AW91" i="30" s="1"/>
  <c r="AV5" i="30"/>
  <c r="BS4" i="30"/>
  <c r="BS15" i="30" s="1"/>
  <c r="BR4" i="30"/>
  <c r="BQ4" i="30"/>
  <c r="BP4" i="30"/>
  <c r="BP90" i="30" s="1"/>
  <c r="BO4" i="30"/>
  <c r="BN4" i="30"/>
  <c r="BM4" i="30"/>
  <c r="BM15" i="30" s="1"/>
  <c r="BL4" i="30"/>
  <c r="BK4" i="30"/>
  <c r="BK15" i="30" s="1"/>
  <c r="BJ4" i="30"/>
  <c r="BI4" i="30"/>
  <c r="BH4" i="30"/>
  <c r="BH15" i="30" s="1"/>
  <c r="BG4" i="30"/>
  <c r="BF4" i="30"/>
  <c r="BE4" i="30"/>
  <c r="BE15" i="30" s="1"/>
  <c r="BD4" i="30"/>
  <c r="BD15" i="30" s="1"/>
  <c r="BC4" i="30"/>
  <c r="BC15" i="30" s="1"/>
  <c r="BB4" i="30"/>
  <c r="BA4" i="30"/>
  <c r="AZ4" i="30"/>
  <c r="AZ15" i="30" s="1"/>
  <c r="AY4" i="30"/>
  <c r="AX4" i="30"/>
  <c r="AW4" i="30"/>
  <c r="AW90" i="30" s="1"/>
  <c r="AV4" i="30"/>
  <c r="AV15" i="30" s="1"/>
  <c r="Z90" i="29"/>
  <c r="Y90" i="29"/>
  <c r="X90" i="29"/>
  <c r="W90" i="29"/>
  <c r="V90" i="29"/>
  <c r="U90" i="29"/>
  <c r="T90" i="29"/>
  <c r="S90" i="29"/>
  <c r="R90" i="29"/>
  <c r="Q90" i="29"/>
  <c r="P90" i="29"/>
  <c r="O90" i="29"/>
  <c r="N90" i="29"/>
  <c r="M90" i="29"/>
  <c r="L90" i="29"/>
  <c r="K90" i="29"/>
  <c r="J90" i="29"/>
  <c r="I90" i="29"/>
  <c r="H90" i="29"/>
  <c r="G90" i="29"/>
  <c r="F90" i="29"/>
  <c r="E90" i="29"/>
  <c r="D90" i="29"/>
  <c r="C90" i="29"/>
  <c r="Z89" i="29"/>
  <c r="Y89" i="29"/>
  <c r="X89" i="29"/>
  <c r="W89" i="29"/>
  <c r="V89" i="29"/>
  <c r="U89" i="29"/>
  <c r="T89" i="29"/>
  <c r="S89" i="29"/>
  <c r="R89" i="29"/>
  <c r="Q89" i="29"/>
  <c r="P89" i="29"/>
  <c r="O89" i="29"/>
  <c r="N89" i="29"/>
  <c r="M89" i="29"/>
  <c r="L89" i="29"/>
  <c r="K89" i="29"/>
  <c r="J89" i="29"/>
  <c r="I89" i="29"/>
  <c r="H89" i="29"/>
  <c r="G89" i="29"/>
  <c r="F89" i="29"/>
  <c r="E89" i="29"/>
  <c r="D89" i="29"/>
  <c r="C89" i="29"/>
  <c r="Z88" i="29"/>
  <c r="Y88" i="29"/>
  <c r="X88" i="29"/>
  <c r="W88" i="29"/>
  <c r="V88" i="29"/>
  <c r="U88" i="29"/>
  <c r="T88" i="29"/>
  <c r="S88" i="29"/>
  <c r="R88" i="29"/>
  <c r="Q88" i="29"/>
  <c r="P88" i="29"/>
  <c r="O88" i="29"/>
  <c r="N88" i="29"/>
  <c r="M88" i="29"/>
  <c r="L88" i="29"/>
  <c r="K88" i="29"/>
  <c r="J88" i="29"/>
  <c r="I88" i="29"/>
  <c r="H88" i="29"/>
  <c r="G88" i="29"/>
  <c r="F88" i="29"/>
  <c r="E88" i="29"/>
  <c r="D88" i="29"/>
  <c r="C88" i="29"/>
  <c r="Z87" i="29"/>
  <c r="Y87" i="29"/>
  <c r="X87" i="29"/>
  <c r="W87" i="29"/>
  <c r="V87" i="29"/>
  <c r="U87" i="29"/>
  <c r="T87" i="29"/>
  <c r="S87" i="29"/>
  <c r="R87" i="29"/>
  <c r="Q87" i="29"/>
  <c r="P87" i="29"/>
  <c r="O87" i="29"/>
  <c r="N87" i="29"/>
  <c r="M87" i="29"/>
  <c r="L87" i="29"/>
  <c r="K87" i="29"/>
  <c r="J87" i="29"/>
  <c r="I87" i="29"/>
  <c r="H87" i="29"/>
  <c r="G87" i="29"/>
  <c r="F87" i="29"/>
  <c r="E87" i="29"/>
  <c r="D87" i="29"/>
  <c r="C87" i="29"/>
  <c r="Z86" i="29"/>
  <c r="Y86" i="29"/>
  <c r="X86" i="29"/>
  <c r="W86" i="29"/>
  <c r="V86" i="29"/>
  <c r="U86" i="29"/>
  <c r="T86" i="29"/>
  <c r="S86" i="29"/>
  <c r="R86" i="29"/>
  <c r="Q86" i="29"/>
  <c r="P86" i="29"/>
  <c r="O86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Z85" i="29"/>
  <c r="Y85" i="29"/>
  <c r="X85" i="29"/>
  <c r="W85" i="29"/>
  <c r="V85" i="29"/>
  <c r="U85" i="29"/>
  <c r="T85" i="29"/>
  <c r="S85" i="29"/>
  <c r="R85" i="29"/>
  <c r="Q85" i="29"/>
  <c r="P85" i="29"/>
  <c r="O85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Z84" i="29"/>
  <c r="Y84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Z83" i="29"/>
  <c r="Y83" i="29"/>
  <c r="X83" i="29"/>
  <c r="W83" i="29"/>
  <c r="V83" i="29"/>
  <c r="U83" i="29"/>
  <c r="T83" i="29"/>
  <c r="S83" i="29"/>
  <c r="R83" i="29"/>
  <c r="Q83" i="29"/>
  <c r="P83" i="29"/>
  <c r="O83" i="29"/>
  <c r="N83" i="29"/>
  <c r="M83" i="29"/>
  <c r="L83" i="29"/>
  <c r="K83" i="29"/>
  <c r="J83" i="29"/>
  <c r="I83" i="29"/>
  <c r="H83" i="29"/>
  <c r="G83" i="29"/>
  <c r="F83" i="29"/>
  <c r="E83" i="29"/>
  <c r="D83" i="29"/>
  <c r="Z82" i="29"/>
  <c r="Y82" i="29"/>
  <c r="X82" i="29"/>
  <c r="W82" i="29"/>
  <c r="V82" i="29"/>
  <c r="U82" i="29"/>
  <c r="T82" i="29"/>
  <c r="S82" i="29"/>
  <c r="R82" i="29"/>
  <c r="Q82" i="29"/>
  <c r="P82" i="29"/>
  <c r="O82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Z81" i="29"/>
  <c r="Y81" i="29"/>
  <c r="X81" i="29"/>
  <c r="W81" i="29"/>
  <c r="V81" i="29"/>
  <c r="U81" i="29"/>
  <c r="T81" i="29"/>
  <c r="S81" i="29"/>
  <c r="R81" i="29"/>
  <c r="Q81" i="29"/>
  <c r="P81" i="29"/>
  <c r="O81" i="29"/>
  <c r="N81" i="29"/>
  <c r="M81" i="29"/>
  <c r="L81" i="29"/>
  <c r="K81" i="29"/>
  <c r="J81" i="29"/>
  <c r="I81" i="29"/>
  <c r="H81" i="29"/>
  <c r="F81" i="29"/>
  <c r="E81" i="29"/>
  <c r="D81" i="29"/>
  <c r="C81" i="29"/>
  <c r="AA77" i="29"/>
  <c r="Y77" i="29" s="1"/>
  <c r="AA76" i="29"/>
  <c r="X76" i="29" s="1"/>
  <c r="AA75" i="29"/>
  <c r="U75" i="29" s="1"/>
  <c r="AA74" i="29"/>
  <c r="W74" i="29" s="1"/>
  <c r="K74" i="29"/>
  <c r="AA73" i="29"/>
  <c r="Y73" i="29" s="1"/>
  <c r="AA72" i="29"/>
  <c r="X72" i="29" s="1"/>
  <c r="AA71" i="29"/>
  <c r="U71" i="29" s="1"/>
  <c r="AA70" i="29"/>
  <c r="H70" i="29" s="1"/>
  <c r="AA69" i="29"/>
  <c r="Z69" i="29" s="1"/>
  <c r="AA68" i="29"/>
  <c r="L105" i="28"/>
  <c r="L104" i="28"/>
  <c r="L103" i="28"/>
  <c r="L102" i="28"/>
  <c r="L101" i="28"/>
  <c r="L100" i="28"/>
  <c r="L99" i="28"/>
  <c r="L98" i="28"/>
  <c r="L97" i="28"/>
  <c r="L96" i="28"/>
  <c r="Z254" i="31"/>
  <c r="T236" i="31"/>
  <c r="C188" i="33" s="1"/>
  <c r="D188" i="33" s="1"/>
  <c r="T235" i="31"/>
  <c r="T274" i="31" s="1"/>
  <c r="C239" i="33"/>
  <c r="J153" i="31"/>
  <c r="C226" i="33" s="1"/>
  <c r="J152" i="31"/>
  <c r="C225" i="33" s="1"/>
  <c r="J151" i="31"/>
  <c r="C224" i="33" s="1"/>
  <c r="J150" i="31"/>
  <c r="C223" i="33" s="1"/>
  <c r="AI125" i="31"/>
  <c r="AH125" i="31"/>
  <c r="AG125" i="31"/>
  <c r="AF125" i="31"/>
  <c r="W127" i="31"/>
  <c r="Z133" i="31" s="1"/>
  <c r="AA133" i="31" s="1"/>
  <c r="V127" i="31"/>
  <c r="U127" i="31"/>
  <c r="V135" i="31" s="1"/>
  <c r="W135" i="31" s="1"/>
  <c r="T127" i="31"/>
  <c r="W124" i="31"/>
  <c r="V124" i="31"/>
  <c r="U124" i="31"/>
  <c r="T124" i="31"/>
  <c r="W123" i="31"/>
  <c r="V123" i="31"/>
  <c r="U123" i="31"/>
  <c r="T123" i="31"/>
  <c r="S112" i="31"/>
  <c r="S111" i="31"/>
  <c r="S110" i="31"/>
  <c r="M109" i="31"/>
  <c r="L109" i="31"/>
  <c r="K109" i="31"/>
  <c r="X107" i="31"/>
  <c r="AN107" i="31" s="1"/>
  <c r="X106" i="31"/>
  <c r="BC106" i="31" s="1"/>
  <c r="X105" i="31"/>
  <c r="X104" i="31"/>
  <c r="AZ104" i="31" s="1"/>
  <c r="X103" i="31"/>
  <c r="AX103" i="31" s="1"/>
  <c r="X100" i="31"/>
  <c r="BM100" i="31" s="1"/>
  <c r="X99" i="31"/>
  <c r="X98" i="31"/>
  <c r="BU98" i="31" s="1"/>
  <c r="X97" i="31"/>
  <c r="X96" i="31"/>
  <c r="X93" i="31"/>
  <c r="BK93" i="31" s="1"/>
  <c r="X92" i="31"/>
  <c r="BO92" i="31" s="1"/>
  <c r="X91" i="31"/>
  <c r="X90" i="31"/>
  <c r="X89" i="31"/>
  <c r="BS89" i="31" s="1"/>
  <c r="M81" i="31"/>
  <c r="L81" i="31"/>
  <c r="K81" i="31"/>
  <c r="F81" i="31"/>
  <c r="E81" i="31"/>
  <c r="D81" i="31"/>
  <c r="R52" i="31"/>
  <c r="R51" i="31"/>
  <c r="R50" i="31"/>
  <c r="AB51" i="31"/>
  <c r="AA51" i="31"/>
  <c r="Z51" i="31"/>
  <c r="Y51" i="31"/>
  <c r="AB50" i="31"/>
  <c r="AA50" i="31"/>
  <c r="Z50" i="31"/>
  <c r="Y50" i="31"/>
  <c r="AB49" i="31"/>
  <c r="AA49" i="31"/>
  <c r="Z49" i="31"/>
  <c r="Y49" i="31"/>
  <c r="AB48" i="31"/>
  <c r="AA48" i="31"/>
  <c r="Z48" i="31"/>
  <c r="Y48" i="31"/>
  <c r="AB47" i="31"/>
  <c r="AA47" i="31"/>
  <c r="Z47" i="31"/>
  <c r="U32" i="31"/>
  <c r="T32" i="31"/>
  <c r="S32" i="31"/>
  <c r="R32" i="31"/>
  <c r="U31" i="31"/>
  <c r="T31" i="31"/>
  <c r="S31" i="31"/>
  <c r="R31" i="31"/>
  <c r="V31" i="31" s="1"/>
  <c r="U30" i="31"/>
  <c r="T30" i="31"/>
  <c r="S30" i="31"/>
  <c r="R30" i="31"/>
  <c r="U29" i="31"/>
  <c r="T29" i="31"/>
  <c r="S29" i="31"/>
  <c r="R29" i="31"/>
  <c r="V29" i="31" s="1"/>
  <c r="X29" i="31" s="1"/>
  <c r="U28" i="31"/>
  <c r="T28" i="31"/>
  <c r="S28" i="31"/>
  <c r="R28" i="31"/>
  <c r="M4" i="31"/>
  <c r="L4" i="31"/>
  <c r="K4" i="31"/>
  <c r="D4" i="31"/>
  <c r="C4" i="31"/>
  <c r="B4" i="31"/>
  <c r="DC2" i="30"/>
  <c r="BZ2" i="30"/>
  <c r="AT2" i="30"/>
  <c r="B165" i="29"/>
  <c r="B122" i="29"/>
  <c r="B80" i="29"/>
  <c r="AD29" i="29"/>
  <c r="AD28" i="29"/>
  <c r="AH22" i="29"/>
  <c r="AK22" i="29" s="1"/>
  <c r="AK25" i="29" s="1"/>
  <c r="C183" i="33" s="1"/>
  <c r="AE22" i="29"/>
  <c r="AD22" i="29"/>
  <c r="AD20" i="29"/>
  <c r="AF20" i="29" s="1"/>
  <c r="AD13" i="29"/>
  <c r="AD14" i="29" s="1"/>
  <c r="T233" i="31" s="1"/>
  <c r="T271" i="31" s="1"/>
  <c r="K81" i="28"/>
  <c r="C48" i="33" s="1"/>
  <c r="D48" i="33" s="1"/>
  <c r="K78" i="28"/>
  <c r="C45" i="33" s="1"/>
  <c r="D45" i="33" s="1"/>
  <c r="K75" i="28"/>
  <c r="C42" i="33" s="1"/>
  <c r="D42" i="33" s="1"/>
  <c r="K65" i="28"/>
  <c r="C34" i="33" s="1"/>
  <c r="D34" i="33" s="1"/>
  <c r="K60" i="28"/>
  <c r="C30" i="33" s="1"/>
  <c r="D30" i="33" s="1"/>
  <c r="K53" i="28"/>
  <c r="AO171" i="31"/>
  <c r="C80" i="33" s="1"/>
  <c r="S227" i="31"/>
  <c r="R227" i="31"/>
  <c r="S226" i="31"/>
  <c r="R226" i="31"/>
  <c r="S225" i="31"/>
  <c r="R225" i="31"/>
  <c r="S224" i="31"/>
  <c r="R224" i="31"/>
  <c r="AA224" i="31" s="1"/>
  <c r="S223" i="31"/>
  <c r="R223" i="31"/>
  <c r="S222" i="31"/>
  <c r="R222" i="31"/>
  <c r="AB222" i="31" s="1"/>
  <c r="S221" i="31"/>
  <c r="R221" i="31"/>
  <c r="S220" i="31"/>
  <c r="R220" i="31"/>
  <c r="AC220" i="31" s="1"/>
  <c r="S219" i="31"/>
  <c r="R219" i="31"/>
  <c r="S218" i="31"/>
  <c r="R218" i="31"/>
  <c r="AC218" i="31" s="1"/>
  <c r="S217" i="31"/>
  <c r="R217" i="31"/>
  <c r="S216" i="31"/>
  <c r="R216" i="31"/>
  <c r="S215" i="31"/>
  <c r="R215" i="31"/>
  <c r="S214" i="31"/>
  <c r="R214" i="31"/>
  <c r="AA214" i="31" s="1"/>
  <c r="S213" i="31"/>
  <c r="R213" i="31"/>
  <c r="S212" i="31"/>
  <c r="R212" i="31"/>
  <c r="S211" i="31"/>
  <c r="R211" i="31"/>
  <c r="S210" i="31"/>
  <c r="R210" i="31"/>
  <c r="S209" i="31"/>
  <c r="R209" i="31"/>
  <c r="S208" i="31"/>
  <c r="R208" i="31"/>
  <c r="S207" i="31"/>
  <c r="R207" i="31"/>
  <c r="S206" i="31"/>
  <c r="R206" i="31"/>
  <c r="S205" i="31"/>
  <c r="R205" i="31"/>
  <c r="AJ205" i="31" s="1"/>
  <c r="S204" i="31"/>
  <c r="R204" i="31"/>
  <c r="S203" i="31"/>
  <c r="R203" i="31"/>
  <c r="S202" i="31"/>
  <c r="R202" i="31"/>
  <c r="AC202" i="31" s="1"/>
  <c r="S201" i="31"/>
  <c r="R201" i="31"/>
  <c r="S200" i="31"/>
  <c r="R200" i="31"/>
  <c r="S199" i="31"/>
  <c r="R199" i="31"/>
  <c r="S198" i="31"/>
  <c r="R198" i="31"/>
  <c r="AB198" i="31" s="1"/>
  <c r="S197" i="31"/>
  <c r="R197" i="31"/>
  <c r="S196" i="31"/>
  <c r="R196" i="31"/>
  <c r="S195" i="31"/>
  <c r="R195" i="31"/>
  <c r="S194" i="31"/>
  <c r="R194" i="31"/>
  <c r="S193" i="31"/>
  <c r="R193" i="31"/>
  <c r="S192" i="31"/>
  <c r="R192" i="31"/>
  <c r="S191" i="31"/>
  <c r="R191" i="31"/>
  <c r="S190" i="31"/>
  <c r="R190" i="31"/>
  <c r="S189" i="31"/>
  <c r="R189" i="31"/>
  <c r="S188" i="31"/>
  <c r="R188" i="31"/>
  <c r="S187" i="31"/>
  <c r="R187" i="31"/>
  <c r="S186" i="31"/>
  <c r="R186" i="31"/>
  <c r="S185" i="31"/>
  <c r="R185" i="31"/>
  <c r="S184" i="31"/>
  <c r="R184" i="31"/>
  <c r="AC184" i="31" s="1"/>
  <c r="S183" i="31"/>
  <c r="R183" i="31"/>
  <c r="S182" i="31"/>
  <c r="R182" i="31"/>
  <c r="S181" i="31"/>
  <c r="R181" i="31"/>
  <c r="S180" i="31"/>
  <c r="R180" i="31"/>
  <c r="S179" i="31"/>
  <c r="R179" i="31"/>
  <c r="S178" i="31"/>
  <c r="R178" i="31"/>
  <c r="S177" i="31"/>
  <c r="R177" i="31"/>
  <c r="S176" i="31"/>
  <c r="R176" i="31"/>
  <c r="S175" i="31"/>
  <c r="R175" i="31"/>
  <c r="S174" i="31"/>
  <c r="R174" i="31"/>
  <c r="S173" i="31"/>
  <c r="R173" i="31"/>
  <c r="S172" i="31"/>
  <c r="R172" i="31"/>
  <c r="AB172" i="31" s="1"/>
  <c r="S171" i="31"/>
  <c r="R171" i="31"/>
  <c r="S170" i="31"/>
  <c r="R170" i="31"/>
  <c r="S169" i="31"/>
  <c r="R169" i="31"/>
  <c r="S168" i="31"/>
  <c r="R168" i="31"/>
  <c r="S167" i="31"/>
  <c r="R167" i="31"/>
  <c r="S166" i="31"/>
  <c r="R166" i="31"/>
  <c r="S165" i="31"/>
  <c r="R165" i="31"/>
  <c r="S164" i="31"/>
  <c r="R164" i="31"/>
  <c r="R163" i="31"/>
  <c r="R162" i="31"/>
  <c r="C131" i="31"/>
  <c r="B131" i="31"/>
  <c r="J131" i="31" s="1"/>
  <c r="C130" i="31"/>
  <c r="B130" i="31"/>
  <c r="C129" i="31"/>
  <c r="B129" i="31"/>
  <c r="C128" i="31"/>
  <c r="B128" i="31"/>
  <c r="C127" i="31"/>
  <c r="B127" i="31"/>
  <c r="C126" i="31"/>
  <c r="B126" i="31"/>
  <c r="C125" i="31"/>
  <c r="B125" i="31"/>
  <c r="C124" i="31"/>
  <c r="B124" i="31"/>
  <c r="C123" i="31"/>
  <c r="B123" i="31"/>
  <c r="C122" i="31"/>
  <c r="B122" i="31"/>
  <c r="T41" i="31"/>
  <c r="T40" i="31"/>
  <c r="T39" i="31"/>
  <c r="V38" i="31"/>
  <c r="AB15" i="31"/>
  <c r="AB14" i="31"/>
  <c r="AB13" i="31"/>
  <c r="AB12" i="31"/>
  <c r="AB11" i="31"/>
  <c r="AB10" i="31"/>
  <c r="AB9" i="31"/>
  <c r="AB8" i="31"/>
  <c r="AB7" i="31"/>
  <c r="AB6" i="31"/>
  <c r="AO171" i="28"/>
  <c r="S207" i="28"/>
  <c r="R207" i="28"/>
  <c r="S206" i="28"/>
  <c r="R206" i="28"/>
  <c r="S205" i="28"/>
  <c r="R205" i="28"/>
  <c r="S204" i="28"/>
  <c r="R204" i="28"/>
  <c r="S203" i="28"/>
  <c r="R203" i="28"/>
  <c r="S202" i="28"/>
  <c r="R202" i="28"/>
  <c r="AC202" i="28" s="1"/>
  <c r="S201" i="28"/>
  <c r="R201" i="28"/>
  <c r="S200" i="28"/>
  <c r="R200" i="28"/>
  <c r="S199" i="28"/>
  <c r="R199" i="28"/>
  <c r="S198" i="28"/>
  <c r="R198" i="28"/>
  <c r="AC198" i="28" s="1"/>
  <c r="S197" i="28"/>
  <c r="R197" i="28"/>
  <c r="S196" i="28"/>
  <c r="R196" i="28"/>
  <c r="S195" i="28"/>
  <c r="R195" i="28"/>
  <c r="S194" i="28"/>
  <c r="R194" i="28"/>
  <c r="S193" i="28"/>
  <c r="R193" i="28"/>
  <c r="S192" i="28"/>
  <c r="R192" i="28"/>
  <c r="S191" i="28"/>
  <c r="R191" i="28"/>
  <c r="S190" i="28"/>
  <c r="R190" i="28"/>
  <c r="S189" i="28"/>
  <c r="R189" i="28"/>
  <c r="S188" i="28"/>
  <c r="R188" i="28"/>
  <c r="S187" i="28"/>
  <c r="R187" i="28"/>
  <c r="S186" i="28"/>
  <c r="R186" i="28"/>
  <c r="S185" i="28"/>
  <c r="R185" i="28"/>
  <c r="S184" i="28"/>
  <c r="R184" i="28"/>
  <c r="S183" i="28"/>
  <c r="R183" i="28"/>
  <c r="S182" i="28"/>
  <c r="R182" i="28"/>
  <c r="AB182" i="28" s="1"/>
  <c r="S181" i="28"/>
  <c r="R181" i="28"/>
  <c r="S180" i="28"/>
  <c r="R180" i="28"/>
  <c r="S179" i="28"/>
  <c r="R179" i="28"/>
  <c r="S178" i="28"/>
  <c r="R178" i="28"/>
  <c r="S177" i="28"/>
  <c r="R177" i="28"/>
  <c r="S176" i="28"/>
  <c r="R176" i="28"/>
  <c r="S175" i="28"/>
  <c r="R175" i="28"/>
  <c r="S174" i="28"/>
  <c r="R174" i="28"/>
  <c r="S173" i="28"/>
  <c r="R173" i="28"/>
  <c r="S172" i="28"/>
  <c r="R172" i="28"/>
  <c r="S171" i="28"/>
  <c r="R171" i="28"/>
  <c r="S170" i="28"/>
  <c r="R170" i="28"/>
  <c r="S169" i="28"/>
  <c r="R169" i="28"/>
  <c r="S168" i="28"/>
  <c r="R168" i="28"/>
  <c r="S167" i="28"/>
  <c r="R167" i="28"/>
  <c r="S166" i="28"/>
  <c r="R166" i="28"/>
  <c r="S165" i="28"/>
  <c r="R165" i="28"/>
  <c r="S164" i="28"/>
  <c r="R164" i="28"/>
  <c r="R163" i="28"/>
  <c r="R162" i="28"/>
  <c r="U33" i="28"/>
  <c r="T33" i="28"/>
  <c r="U32" i="28"/>
  <c r="T32" i="28"/>
  <c r="U31" i="28"/>
  <c r="T31" i="28"/>
  <c r="U30" i="28"/>
  <c r="T30" i="28"/>
  <c r="U29" i="28"/>
  <c r="T29" i="28"/>
  <c r="W29" i="28" s="1"/>
  <c r="U28" i="28"/>
  <c r="T28" i="28"/>
  <c r="U27" i="28"/>
  <c r="U34" i="28" s="1"/>
  <c r="T27" i="28"/>
  <c r="U26" i="28"/>
  <c r="T26" i="28"/>
  <c r="U25" i="28"/>
  <c r="T25" i="28"/>
  <c r="U24" i="28"/>
  <c r="T24" i="28"/>
  <c r="AM219" i="33"/>
  <c r="Z260" i="31"/>
  <c r="Z259" i="31"/>
  <c r="Z258" i="31"/>
  <c r="Z257" i="31"/>
  <c r="Z256" i="31"/>
  <c r="X246" i="31"/>
  <c r="W273" i="31"/>
  <c r="AM217" i="33" s="1"/>
  <c r="W271" i="31"/>
  <c r="AM215" i="33" s="1"/>
  <c r="AC224" i="31"/>
  <c r="AJ221" i="31"/>
  <c r="AB220" i="31"/>
  <c r="AA216" i="31"/>
  <c r="U215" i="31"/>
  <c r="V212" i="31"/>
  <c r="AJ201" i="31"/>
  <c r="AA200" i="31"/>
  <c r="U184" i="31"/>
  <c r="AG183" i="31"/>
  <c r="AA180" i="31"/>
  <c r="AI175" i="31"/>
  <c r="AA172" i="31"/>
  <c r="AC172" i="31"/>
  <c r="AI144" i="31"/>
  <c r="AI141" i="31"/>
  <c r="AI138" i="31"/>
  <c r="AI135" i="31"/>
  <c r="X135" i="31"/>
  <c r="Y135" i="31" s="1"/>
  <c r="M112" i="31"/>
  <c r="L112" i="31"/>
  <c r="AI132" i="31"/>
  <c r="Z132" i="31"/>
  <c r="AA132" i="31" s="1"/>
  <c r="AI129" i="31"/>
  <c r="Z135" i="31"/>
  <c r="AA135" i="31" s="1"/>
  <c r="T135" i="31"/>
  <c r="AI126" i="31"/>
  <c r="V41" i="31"/>
  <c r="V40" i="31"/>
  <c r="D5" i="31"/>
  <c r="D6" i="31" s="1"/>
  <c r="C5" i="31"/>
  <c r="C6" i="31" s="1"/>
  <c r="F4" i="31"/>
  <c r="G4" i="31"/>
  <c r="F6" i="31"/>
  <c r="B105" i="30"/>
  <c r="D105" i="30" s="1"/>
  <c r="B104" i="30"/>
  <c r="D104" i="30" s="1"/>
  <c r="B129" i="30"/>
  <c r="C273" i="33"/>
  <c r="D273" i="33" s="1"/>
  <c r="C272" i="33"/>
  <c r="EB98" i="30"/>
  <c r="EA98" i="30"/>
  <c r="DZ98" i="30"/>
  <c r="DY98" i="30"/>
  <c r="DX98" i="30"/>
  <c r="DW98" i="30"/>
  <c r="DV98" i="30"/>
  <c r="DT98" i="30"/>
  <c r="DS98" i="30"/>
  <c r="DR98" i="30"/>
  <c r="DQ98" i="30"/>
  <c r="DP98" i="30"/>
  <c r="DO98" i="30"/>
  <c r="DN98" i="30"/>
  <c r="DL98" i="30"/>
  <c r="DK98" i="30"/>
  <c r="DJ98" i="30"/>
  <c r="DI98" i="30"/>
  <c r="DH98" i="30"/>
  <c r="DG98" i="30"/>
  <c r="DF98" i="30"/>
  <c r="CX98" i="30"/>
  <c r="CW98" i="30"/>
  <c r="CV98" i="30"/>
  <c r="CU98" i="30"/>
  <c r="CT98" i="30"/>
  <c r="CS98" i="30"/>
  <c r="CR98" i="30"/>
  <c r="CP98" i="30"/>
  <c r="CO98" i="30"/>
  <c r="CN98" i="30"/>
  <c r="CM98" i="30"/>
  <c r="CL98" i="30"/>
  <c r="CK98" i="30"/>
  <c r="CJ98" i="30"/>
  <c r="CH98" i="30"/>
  <c r="CG98" i="30"/>
  <c r="CF98" i="30"/>
  <c r="CE98" i="30"/>
  <c r="CD98" i="30"/>
  <c r="CC98" i="30"/>
  <c r="CB98" i="30"/>
  <c r="BS98" i="30"/>
  <c r="BR98" i="30"/>
  <c r="BQ98" i="30"/>
  <c r="BP98" i="30"/>
  <c r="BO98" i="30"/>
  <c r="BN98" i="30"/>
  <c r="BM98" i="30"/>
  <c r="BK98" i="30"/>
  <c r="BJ98" i="30"/>
  <c r="BH98" i="30"/>
  <c r="BG98" i="30"/>
  <c r="BF98" i="30"/>
  <c r="BE98" i="30"/>
  <c r="BC98" i="30"/>
  <c r="BB98" i="30"/>
  <c r="AZ98" i="30"/>
  <c r="AY98" i="30"/>
  <c r="AX98" i="30"/>
  <c r="AW98" i="30"/>
  <c r="EB97" i="30"/>
  <c r="EA97" i="30"/>
  <c r="DZ97" i="30"/>
  <c r="DY97" i="30"/>
  <c r="DX97" i="30"/>
  <c r="DW97" i="30"/>
  <c r="DV97" i="30"/>
  <c r="DT97" i="30"/>
  <c r="DS97" i="30"/>
  <c r="DR97" i="30"/>
  <c r="DQ97" i="30"/>
  <c r="DP97" i="30"/>
  <c r="DO97" i="30"/>
  <c r="DN97" i="30"/>
  <c r="DL97" i="30"/>
  <c r="DK97" i="30"/>
  <c r="DJ97" i="30"/>
  <c r="DI97" i="30"/>
  <c r="DH97" i="30"/>
  <c r="DG97" i="30"/>
  <c r="DF97" i="30"/>
  <c r="CX97" i="30"/>
  <c r="CW97" i="30"/>
  <c r="CV97" i="30"/>
  <c r="CU97" i="30"/>
  <c r="CT97" i="30"/>
  <c r="CS97" i="30"/>
  <c r="CR97" i="30"/>
  <c r="CP97" i="30"/>
  <c r="CO97" i="30"/>
  <c r="CN97" i="30"/>
  <c r="CM97" i="30"/>
  <c r="CL97" i="30"/>
  <c r="CK97" i="30"/>
  <c r="CJ97" i="30"/>
  <c r="CH97" i="30"/>
  <c r="CG97" i="30"/>
  <c r="CF97" i="30"/>
  <c r="CE97" i="30"/>
  <c r="CD97" i="30"/>
  <c r="CC97" i="30"/>
  <c r="CB97" i="30"/>
  <c r="BS97" i="30"/>
  <c r="BR97" i="30"/>
  <c r="BP97" i="30"/>
  <c r="BO97" i="30"/>
  <c r="BN97" i="30"/>
  <c r="BL97" i="30"/>
  <c r="BK97" i="30"/>
  <c r="BJ97" i="30"/>
  <c r="BH97" i="30"/>
  <c r="BG97" i="30"/>
  <c r="BF97" i="30"/>
  <c r="BD97" i="30"/>
  <c r="BC97" i="30"/>
  <c r="BB97" i="30"/>
  <c r="AZ97" i="30"/>
  <c r="AY97" i="30"/>
  <c r="AX97" i="30"/>
  <c r="AV97" i="30"/>
  <c r="EB96" i="30"/>
  <c r="EA96" i="30"/>
  <c r="DZ96" i="30"/>
  <c r="DY96" i="30"/>
  <c r="DX96" i="30"/>
  <c r="DW96" i="30"/>
  <c r="DV96" i="30"/>
  <c r="DT96" i="30"/>
  <c r="DS96" i="30"/>
  <c r="DR96" i="30"/>
  <c r="DQ96" i="30"/>
  <c r="DP96" i="30"/>
  <c r="DO96" i="30"/>
  <c r="DN96" i="30"/>
  <c r="DL96" i="30"/>
  <c r="DK96" i="30"/>
  <c r="DJ96" i="30"/>
  <c r="DI96" i="30"/>
  <c r="DH96" i="30"/>
  <c r="DG96" i="30"/>
  <c r="DF96" i="30"/>
  <c r="CY96" i="30"/>
  <c r="CX96" i="30"/>
  <c r="CW96" i="30"/>
  <c r="CV96" i="30"/>
  <c r="CU96" i="30"/>
  <c r="CT96" i="30"/>
  <c r="CS96" i="30"/>
  <c r="CR96" i="30"/>
  <c r="CQ96" i="30"/>
  <c r="CP96" i="30"/>
  <c r="CO96" i="30"/>
  <c r="CN96" i="30"/>
  <c r="CM96" i="30"/>
  <c r="CL96" i="30"/>
  <c r="CK96" i="30"/>
  <c r="CJ96" i="30"/>
  <c r="CI96" i="30"/>
  <c r="CH96" i="30"/>
  <c r="CG96" i="30"/>
  <c r="CF96" i="30"/>
  <c r="CE96" i="30"/>
  <c r="CD96" i="30"/>
  <c r="CC96" i="30"/>
  <c r="CB96" i="30"/>
  <c r="BS96" i="30"/>
  <c r="BR96" i="30"/>
  <c r="BP96" i="30"/>
  <c r="BO96" i="30"/>
  <c r="BM96" i="30"/>
  <c r="BL96" i="30"/>
  <c r="BK96" i="30"/>
  <c r="BJ96" i="30"/>
  <c r="BH96" i="30"/>
  <c r="BG96" i="30"/>
  <c r="BE96" i="30"/>
  <c r="BD96" i="30"/>
  <c r="BC96" i="30"/>
  <c r="BB96" i="30"/>
  <c r="BA96" i="30"/>
  <c r="AZ96" i="30"/>
  <c r="AY96" i="30"/>
  <c r="AW96" i="30"/>
  <c r="AV96" i="30"/>
  <c r="EB95" i="30"/>
  <c r="EA95" i="30"/>
  <c r="DZ95" i="30"/>
  <c r="DY95" i="30"/>
  <c r="DX95" i="30"/>
  <c r="DW95" i="30"/>
  <c r="DV95" i="30"/>
  <c r="DT95" i="30"/>
  <c r="DS95" i="30"/>
  <c r="DR95" i="30"/>
  <c r="DQ95" i="30"/>
  <c r="DP95" i="30"/>
  <c r="DO95" i="30"/>
  <c r="DN95" i="30"/>
  <c r="DL95" i="30"/>
  <c r="DK95" i="30"/>
  <c r="DJ95" i="30"/>
  <c r="DI95" i="30"/>
  <c r="DH95" i="30"/>
  <c r="DG95" i="30"/>
  <c r="DF95" i="30"/>
  <c r="CX95" i="30"/>
  <c r="CW95" i="30"/>
  <c r="CV95" i="30"/>
  <c r="CU95" i="30"/>
  <c r="CT95" i="30"/>
  <c r="CS95" i="30"/>
  <c r="CR95" i="30"/>
  <c r="CP95" i="30"/>
  <c r="CO95" i="30"/>
  <c r="CN95" i="30"/>
  <c r="CM95" i="30"/>
  <c r="CL95" i="30"/>
  <c r="CK95" i="30"/>
  <c r="CJ95" i="30"/>
  <c r="CH95" i="30"/>
  <c r="CG95" i="30"/>
  <c r="CF95" i="30"/>
  <c r="CE95" i="30"/>
  <c r="CD95" i="30"/>
  <c r="CC95" i="30"/>
  <c r="CB95" i="30"/>
  <c r="BZ42" i="30"/>
  <c r="BS95" i="30"/>
  <c r="BR95" i="30"/>
  <c r="BQ95" i="30"/>
  <c r="BO95" i="30"/>
  <c r="BN95" i="30"/>
  <c r="BM95" i="30"/>
  <c r="BL95" i="30"/>
  <c r="BK95" i="30"/>
  <c r="BJ95" i="30"/>
  <c r="BG95" i="30"/>
  <c r="BF95" i="30"/>
  <c r="BE95" i="30"/>
  <c r="BD95" i="30"/>
  <c r="BC95" i="30"/>
  <c r="BB95" i="30"/>
  <c r="AY95" i="30"/>
  <c r="AX95" i="30"/>
  <c r="AW95" i="30"/>
  <c r="AV95" i="30"/>
  <c r="EB94" i="30"/>
  <c r="EA94" i="30"/>
  <c r="DZ94" i="30"/>
  <c r="DY94" i="30"/>
  <c r="DX94" i="30"/>
  <c r="DW94" i="30"/>
  <c r="DV94" i="30"/>
  <c r="DT94" i="30"/>
  <c r="DS94" i="30"/>
  <c r="DR94" i="30"/>
  <c r="DQ94" i="30"/>
  <c r="DP94" i="30"/>
  <c r="DO94" i="30"/>
  <c r="DN94" i="30"/>
  <c r="DL94" i="30"/>
  <c r="DK94" i="30"/>
  <c r="DJ94" i="30"/>
  <c r="DI94" i="30"/>
  <c r="DH94" i="30"/>
  <c r="DG94" i="30"/>
  <c r="DF94" i="30"/>
  <c r="CX94" i="30"/>
  <c r="CW94" i="30"/>
  <c r="CV94" i="30"/>
  <c r="CU94" i="30"/>
  <c r="CT94" i="30"/>
  <c r="CS94" i="30"/>
  <c r="CR94" i="30"/>
  <c r="CP94" i="30"/>
  <c r="CO94" i="30"/>
  <c r="CN94" i="30"/>
  <c r="CM94" i="30"/>
  <c r="CL94" i="30"/>
  <c r="CK94" i="30"/>
  <c r="CJ94" i="30"/>
  <c r="CH94" i="30"/>
  <c r="CG94" i="30"/>
  <c r="CF94" i="30"/>
  <c r="CE94" i="30"/>
  <c r="CD94" i="30"/>
  <c r="CC94" i="30"/>
  <c r="CB94" i="30"/>
  <c r="BS94" i="30"/>
  <c r="BR94" i="30"/>
  <c r="BP94" i="30"/>
  <c r="BO94" i="30"/>
  <c r="BN94" i="30"/>
  <c r="BM94" i="30"/>
  <c r="BL94" i="30"/>
  <c r="BK94" i="30"/>
  <c r="BJ94" i="30"/>
  <c r="BH94" i="30"/>
  <c r="BG94" i="30"/>
  <c r="BF94" i="30"/>
  <c r="BE94" i="30"/>
  <c r="BD94" i="30"/>
  <c r="BC94" i="30"/>
  <c r="BB94" i="30"/>
  <c r="AZ94" i="30"/>
  <c r="AY94" i="30"/>
  <c r="AX94" i="30"/>
  <c r="AW94" i="30"/>
  <c r="AV94" i="30"/>
  <c r="EB93" i="30"/>
  <c r="EA93" i="30"/>
  <c r="DZ93" i="30"/>
  <c r="DY93" i="30"/>
  <c r="DX93" i="30"/>
  <c r="DW93" i="30"/>
  <c r="DV93" i="30"/>
  <c r="DT93" i="30"/>
  <c r="DS93" i="30"/>
  <c r="DR93" i="30"/>
  <c r="DQ93" i="30"/>
  <c r="DP93" i="30"/>
  <c r="DO93" i="30"/>
  <c r="DN93" i="30"/>
  <c r="DL93" i="30"/>
  <c r="DK93" i="30"/>
  <c r="DJ93" i="30"/>
  <c r="DI93" i="30"/>
  <c r="DH93" i="30"/>
  <c r="DG93" i="30"/>
  <c r="DF93" i="30"/>
  <c r="CY93" i="30"/>
  <c r="CX93" i="30"/>
  <c r="CW93" i="30"/>
  <c r="CV93" i="30"/>
  <c r="CU93" i="30"/>
  <c r="CT93" i="30"/>
  <c r="CS93" i="30"/>
  <c r="CR93" i="30"/>
  <c r="CQ93" i="30"/>
  <c r="CP93" i="30"/>
  <c r="CO93" i="30"/>
  <c r="CN93" i="30"/>
  <c r="CM93" i="30"/>
  <c r="CL93" i="30"/>
  <c r="CK93" i="30"/>
  <c r="CJ93" i="30"/>
  <c r="CI93" i="30"/>
  <c r="CH93" i="30"/>
  <c r="CG93" i="30"/>
  <c r="CF93" i="30"/>
  <c r="CE93" i="30"/>
  <c r="CD93" i="30"/>
  <c r="CC93" i="30"/>
  <c r="CB93" i="30"/>
  <c r="BS93" i="30"/>
  <c r="BP93" i="30"/>
  <c r="BO93" i="30"/>
  <c r="BN93" i="30"/>
  <c r="BM93" i="30"/>
  <c r="BL93" i="30"/>
  <c r="BK93" i="30"/>
  <c r="BI93" i="30"/>
  <c r="BH93" i="30"/>
  <c r="BG93" i="30"/>
  <c r="BF93" i="30"/>
  <c r="BE93" i="30"/>
  <c r="BD93" i="30"/>
  <c r="BC93" i="30"/>
  <c r="AZ93" i="30"/>
  <c r="AY93" i="30"/>
  <c r="AX93" i="30"/>
  <c r="AW93" i="30"/>
  <c r="AV93" i="30"/>
  <c r="EB92" i="30"/>
  <c r="EA92" i="30"/>
  <c r="DZ92" i="30"/>
  <c r="DY92" i="30"/>
  <c r="DX92" i="30"/>
  <c r="DW92" i="30"/>
  <c r="DV92" i="30"/>
  <c r="DT92" i="30"/>
  <c r="DS92" i="30"/>
  <c r="DR92" i="30"/>
  <c r="DQ92" i="30"/>
  <c r="DP92" i="30"/>
  <c r="DO92" i="30"/>
  <c r="DN92" i="30"/>
  <c r="DL92" i="30"/>
  <c r="DK92" i="30"/>
  <c r="DJ92" i="30"/>
  <c r="DI92" i="30"/>
  <c r="DH92" i="30"/>
  <c r="DG92" i="30"/>
  <c r="DF92" i="30"/>
  <c r="CX92" i="30"/>
  <c r="CW92" i="30"/>
  <c r="CV92" i="30"/>
  <c r="CU92" i="30"/>
  <c r="CT92" i="30"/>
  <c r="CS92" i="30"/>
  <c r="CR92" i="30"/>
  <c r="CP92" i="30"/>
  <c r="CO92" i="30"/>
  <c r="CN92" i="30"/>
  <c r="CM92" i="30"/>
  <c r="CL92" i="30"/>
  <c r="CK92" i="30"/>
  <c r="CJ92" i="30"/>
  <c r="CH92" i="30"/>
  <c r="CG92" i="30"/>
  <c r="CF92" i="30"/>
  <c r="CE92" i="30"/>
  <c r="CD92" i="30"/>
  <c r="CC92" i="30"/>
  <c r="CB92" i="30"/>
  <c r="BO92" i="30"/>
  <c r="BN92" i="30"/>
  <c r="BJ92" i="30"/>
  <c r="BG92" i="30"/>
  <c r="BF92" i="30"/>
  <c r="AY92" i="30"/>
  <c r="AX92" i="30"/>
  <c r="EB91" i="30"/>
  <c r="EA91" i="30"/>
  <c r="DZ91" i="30"/>
  <c r="DY91" i="30"/>
  <c r="DX91" i="30"/>
  <c r="DW91" i="30"/>
  <c r="DV91" i="30"/>
  <c r="DT91" i="30"/>
  <c r="DS91" i="30"/>
  <c r="DR91" i="30"/>
  <c r="DQ91" i="30"/>
  <c r="DP91" i="30"/>
  <c r="DO91" i="30"/>
  <c r="DN91" i="30"/>
  <c r="DL91" i="30"/>
  <c r="DK91" i="30"/>
  <c r="DJ91" i="30"/>
  <c r="DI91" i="30"/>
  <c r="DH91" i="30"/>
  <c r="DG91" i="30"/>
  <c r="DF91" i="30"/>
  <c r="CX91" i="30"/>
  <c r="CW91" i="30"/>
  <c r="CV91" i="30"/>
  <c r="CU91" i="30"/>
  <c r="CT91" i="30"/>
  <c r="CS91" i="30"/>
  <c r="CR91" i="30"/>
  <c r="CP91" i="30"/>
  <c r="CO91" i="30"/>
  <c r="CN91" i="30"/>
  <c r="CM91" i="30"/>
  <c r="CL91" i="30"/>
  <c r="CK91" i="30"/>
  <c r="CJ91" i="30"/>
  <c r="CH91" i="30"/>
  <c r="CG91" i="30"/>
  <c r="CF91" i="30"/>
  <c r="CE91" i="30"/>
  <c r="CD91" i="30"/>
  <c r="CC91" i="30"/>
  <c r="CB91" i="30"/>
  <c r="BR91" i="30"/>
  <c r="BO91" i="30"/>
  <c r="BN91" i="30"/>
  <c r="BM91" i="30"/>
  <c r="BK91" i="30"/>
  <c r="BJ91" i="30"/>
  <c r="BH91" i="30"/>
  <c r="BG91" i="30"/>
  <c r="BF91" i="30"/>
  <c r="BE91" i="30"/>
  <c r="BC91" i="30"/>
  <c r="BB91" i="30"/>
  <c r="AY91" i="30"/>
  <c r="AX91" i="30"/>
  <c r="EB90" i="30"/>
  <c r="EA90" i="30"/>
  <c r="DZ90" i="30"/>
  <c r="DY90" i="30"/>
  <c r="DX90" i="30"/>
  <c r="DW90" i="30"/>
  <c r="DV90" i="30"/>
  <c r="DT90" i="30"/>
  <c r="DS90" i="30"/>
  <c r="DR90" i="30"/>
  <c r="DQ90" i="30"/>
  <c r="DP90" i="30"/>
  <c r="DO90" i="30"/>
  <c r="DN90" i="30"/>
  <c r="DL90" i="30"/>
  <c r="DK90" i="30"/>
  <c r="DJ90" i="30"/>
  <c r="DI90" i="30"/>
  <c r="DH90" i="30"/>
  <c r="DG90" i="30"/>
  <c r="DF90" i="30"/>
  <c r="CX90" i="30"/>
  <c r="CW90" i="30"/>
  <c r="CV90" i="30"/>
  <c r="CU90" i="30"/>
  <c r="CT90" i="30"/>
  <c r="CS90" i="30"/>
  <c r="CR90" i="30"/>
  <c r="CP90" i="30"/>
  <c r="CO90" i="30"/>
  <c r="CN90" i="30"/>
  <c r="CM90" i="30"/>
  <c r="CL90" i="30"/>
  <c r="CK90" i="30"/>
  <c r="CJ90" i="30"/>
  <c r="CH90" i="30"/>
  <c r="CG90" i="30"/>
  <c r="CF90" i="30"/>
  <c r="CE90" i="30"/>
  <c r="CD90" i="30"/>
  <c r="CC90" i="30"/>
  <c r="CB90" i="30"/>
  <c r="BR90" i="30"/>
  <c r="BO90" i="30"/>
  <c r="BN90" i="30"/>
  <c r="BM90" i="30"/>
  <c r="BL90" i="30"/>
  <c r="BK90" i="30"/>
  <c r="BJ90" i="30"/>
  <c r="BH90" i="30"/>
  <c r="BG90" i="30"/>
  <c r="BF90" i="30"/>
  <c r="BE90" i="30"/>
  <c r="BD90" i="30"/>
  <c r="BC90" i="30"/>
  <c r="BB90" i="30"/>
  <c r="AZ90" i="30"/>
  <c r="AY90" i="30"/>
  <c r="AX90" i="30"/>
  <c r="EA35" i="30"/>
  <c r="DZ35" i="30"/>
  <c r="DY35" i="30"/>
  <c r="DX35" i="30"/>
  <c r="DV35" i="30"/>
  <c r="DU35" i="30"/>
  <c r="DS35" i="30"/>
  <c r="DR35" i="30"/>
  <c r="DQ35" i="30"/>
  <c r="DP35" i="30"/>
  <c r="DN35" i="30"/>
  <c r="DM35" i="30"/>
  <c r="DK35" i="30"/>
  <c r="DJ35" i="30"/>
  <c r="DI35" i="30"/>
  <c r="DH35" i="30"/>
  <c r="DF35" i="30"/>
  <c r="DE35" i="30"/>
  <c r="EB35" i="30"/>
  <c r="BS35" i="30"/>
  <c r="BP35" i="30"/>
  <c r="BN35" i="30"/>
  <c r="BM35" i="30"/>
  <c r="BK35" i="30"/>
  <c r="BI35" i="30"/>
  <c r="BF35" i="30"/>
  <c r="BC35" i="30"/>
  <c r="BA35" i="30"/>
  <c r="AZ35" i="30"/>
  <c r="AX35" i="30"/>
  <c r="AW35" i="30"/>
  <c r="BQ35" i="30"/>
  <c r="AT98" i="30"/>
  <c r="DP34" i="30"/>
  <c r="AT97" i="30"/>
  <c r="EA33" i="30"/>
  <c r="DZ33" i="30"/>
  <c r="DY33" i="30"/>
  <c r="DX33" i="30"/>
  <c r="DV33" i="30"/>
  <c r="DU33" i="30"/>
  <c r="DS33" i="30"/>
  <c r="DR33" i="30"/>
  <c r="DQ33" i="30"/>
  <c r="DP33" i="30"/>
  <c r="DN33" i="30"/>
  <c r="DM33" i="30"/>
  <c r="DK33" i="30"/>
  <c r="DJ33" i="30"/>
  <c r="DI33" i="30"/>
  <c r="DH33" i="30"/>
  <c r="DF33" i="30"/>
  <c r="DE33" i="30"/>
  <c r="EB33" i="30"/>
  <c r="BQ33" i="30"/>
  <c r="BC33" i="30"/>
  <c r="EB32" i="30"/>
  <c r="DY32" i="30"/>
  <c r="DV32" i="30"/>
  <c r="DT32" i="30"/>
  <c r="DS32" i="30"/>
  <c r="DO32" i="30"/>
  <c r="DL32" i="30"/>
  <c r="DI32" i="30"/>
  <c r="DG32" i="30"/>
  <c r="DF32" i="30"/>
  <c r="EA32" i="30"/>
  <c r="BR32" i="30"/>
  <c r="BQ32" i="30"/>
  <c r="BO32" i="30"/>
  <c r="BN32" i="30"/>
  <c r="BM32" i="30"/>
  <c r="BL32" i="30"/>
  <c r="BJ32" i="30"/>
  <c r="BI32" i="30"/>
  <c r="BG32" i="30"/>
  <c r="BF32" i="30"/>
  <c r="BE32" i="30"/>
  <c r="BD32" i="30"/>
  <c r="BB32" i="30"/>
  <c r="BA32" i="30"/>
  <c r="AY32" i="30"/>
  <c r="AX32" i="30"/>
  <c r="AW32" i="30"/>
  <c r="AV32" i="30"/>
  <c r="BP32" i="30"/>
  <c r="EB31" i="30"/>
  <c r="DX31" i="30"/>
  <c r="DU31" i="30"/>
  <c r="DT31" i="30"/>
  <c r="DR31" i="30"/>
  <c r="DO31" i="30"/>
  <c r="DL31" i="30"/>
  <c r="DH31" i="30"/>
  <c r="DG31" i="30"/>
  <c r="DE31" i="30"/>
  <c r="DZ31" i="30"/>
  <c r="BS31" i="30"/>
  <c r="BP31" i="30"/>
  <c r="BM31" i="30"/>
  <c r="BK31" i="30"/>
  <c r="BJ31" i="30"/>
  <c r="BG31" i="30"/>
  <c r="BC31" i="30"/>
  <c r="AZ31" i="30"/>
  <c r="AY31" i="30"/>
  <c r="AW31" i="30"/>
  <c r="BR31" i="30"/>
  <c r="DX30" i="30"/>
  <c r="DV30" i="30"/>
  <c r="DK30" i="30"/>
  <c r="DI30" i="30"/>
  <c r="BZ30" i="30"/>
  <c r="BZ94" i="30" s="1"/>
  <c r="BQ30" i="30"/>
  <c r="BD30" i="30"/>
  <c r="DI29" i="30"/>
  <c r="DC29" i="30"/>
  <c r="DC93" i="30" s="1"/>
  <c r="BO29" i="30"/>
  <c r="BN29" i="30"/>
  <c r="BE29" i="30"/>
  <c r="BD29" i="30"/>
  <c r="BP29" i="30"/>
  <c r="AT93" i="30"/>
  <c r="EB28" i="30"/>
  <c r="DZ28" i="30"/>
  <c r="DY28" i="30"/>
  <c r="DW28" i="30"/>
  <c r="DU28" i="30"/>
  <c r="DT28" i="30"/>
  <c r="DR28" i="30"/>
  <c r="DO28" i="30"/>
  <c r="DM28" i="30"/>
  <c r="DL28" i="30"/>
  <c r="DJ28" i="30"/>
  <c r="DI28" i="30"/>
  <c r="DG28" i="30"/>
  <c r="DE28" i="30"/>
  <c r="BZ28" i="30"/>
  <c r="BZ92" i="30" s="1"/>
  <c r="BR28" i="30"/>
  <c r="BP28" i="30"/>
  <c r="BO28" i="30"/>
  <c r="BM28" i="30"/>
  <c r="BL28" i="30"/>
  <c r="BJ28" i="30"/>
  <c r="BH28" i="30"/>
  <c r="BG28" i="30"/>
  <c r="BE28" i="30"/>
  <c r="BD28" i="30"/>
  <c r="BB28" i="30"/>
  <c r="AZ28" i="30"/>
  <c r="AY28" i="30"/>
  <c r="AW28" i="30"/>
  <c r="AV28" i="30"/>
  <c r="BN28" i="30"/>
  <c r="AT92" i="30"/>
  <c r="EA27" i="30"/>
  <c r="DZ27" i="30"/>
  <c r="DX27" i="30"/>
  <c r="DW27" i="30"/>
  <c r="DV27" i="30"/>
  <c r="DU27" i="30"/>
  <c r="DS27" i="30"/>
  <c r="DR27" i="30"/>
  <c r="DP27" i="30"/>
  <c r="DO27" i="30"/>
  <c r="DN27" i="30"/>
  <c r="DM27" i="30"/>
  <c r="DK27" i="30"/>
  <c r="DJ27" i="30"/>
  <c r="DH27" i="30"/>
  <c r="DG27" i="30"/>
  <c r="DF27" i="30"/>
  <c r="DE27" i="30"/>
  <c r="DY27" i="30"/>
  <c r="BS27" i="30"/>
  <c r="BP27" i="30"/>
  <c r="BN27" i="30"/>
  <c r="BM27" i="30"/>
  <c r="BK27" i="30"/>
  <c r="BJ27" i="30"/>
  <c r="BI27" i="30"/>
  <c r="BH27" i="30"/>
  <c r="BE27" i="30"/>
  <c r="BC27" i="30"/>
  <c r="BB27" i="30"/>
  <c r="BA27" i="30"/>
  <c r="AZ27" i="30"/>
  <c r="AX27" i="30"/>
  <c r="AW27" i="30"/>
  <c r="AT91" i="30"/>
  <c r="EB26" i="30"/>
  <c r="EA26" i="30"/>
  <c r="DX26" i="30"/>
  <c r="DU26" i="30"/>
  <c r="DS26" i="30"/>
  <c r="DQ26" i="30"/>
  <c r="DP26" i="30"/>
  <c r="DM26" i="30"/>
  <c r="DK26" i="30"/>
  <c r="DH26" i="30"/>
  <c r="DF26" i="30"/>
  <c r="DE26" i="30"/>
  <c r="DV26" i="30"/>
  <c r="BZ26" i="30"/>
  <c r="BZ90" i="30" s="1"/>
  <c r="BS26" i="30"/>
  <c r="BQ26" i="30"/>
  <c r="BA26" i="30"/>
  <c r="AY26" i="30"/>
  <c r="AT90" i="30"/>
  <c r="DY24" i="30"/>
  <c r="DY69" i="30" s="1"/>
  <c r="DV24" i="30"/>
  <c r="DV69" i="30" s="1"/>
  <c r="DN24" i="30"/>
  <c r="DN69" i="30" s="1"/>
  <c r="DK24" i="30"/>
  <c r="DK69" i="30" s="1"/>
  <c r="CW24" i="30"/>
  <c r="CW69" i="30" s="1"/>
  <c r="CO24" i="30"/>
  <c r="CO69" i="30" s="1"/>
  <c r="CL24" i="30"/>
  <c r="CL69" i="30" s="1"/>
  <c r="CD24" i="30"/>
  <c r="CD69" i="30" s="1"/>
  <c r="BL24" i="30"/>
  <c r="AY24" i="30"/>
  <c r="AT24" i="30"/>
  <c r="DT23" i="30"/>
  <c r="DT68" i="30" s="1"/>
  <c r="DN23" i="30"/>
  <c r="DN68" i="30" s="1"/>
  <c r="DL23" i="30"/>
  <c r="DL68" i="30" s="1"/>
  <c r="DC23" i="30"/>
  <c r="DC56" i="30" s="1"/>
  <c r="CL23" i="30"/>
  <c r="CL68" i="30" s="1"/>
  <c r="CD23" i="30"/>
  <c r="CD68" i="30" s="1"/>
  <c r="BM23" i="30"/>
  <c r="BJ23" i="30"/>
  <c r="AY23" i="30"/>
  <c r="AW23" i="30"/>
  <c r="AT23" i="30"/>
  <c r="DY22" i="30"/>
  <c r="DY67" i="30" s="1"/>
  <c r="CW22" i="30"/>
  <c r="CW67" i="30" s="1"/>
  <c r="CU22" i="30"/>
  <c r="CU67" i="30" s="1"/>
  <c r="CO22" i="30"/>
  <c r="CO67" i="30" s="1"/>
  <c r="CM22" i="30"/>
  <c r="CM67" i="30" s="1"/>
  <c r="CE22" i="30"/>
  <c r="CE67" i="30" s="1"/>
  <c r="BJ22" i="30"/>
  <c r="BB22" i="30"/>
  <c r="AZ22" i="30"/>
  <c r="DO21" i="30"/>
  <c r="DO66" i="30" s="1"/>
  <c r="DG21" i="30"/>
  <c r="DG66" i="30" s="1"/>
  <c r="DE21" i="30"/>
  <c r="DE66" i="30" s="1"/>
  <c r="CS21" i="30"/>
  <c r="CS66" i="30" s="1"/>
  <c r="CE21" i="30"/>
  <c r="CE66" i="30" s="1"/>
  <c r="BP21" i="30"/>
  <c r="BN21" i="30"/>
  <c r="BF21" i="30"/>
  <c r="AT21" i="30"/>
  <c r="F21" i="30"/>
  <c r="C255" i="33" s="1"/>
  <c r="DU20" i="30"/>
  <c r="DU65" i="30" s="1"/>
  <c r="DS20" i="30"/>
  <c r="DS65" i="30" s="1"/>
  <c r="DK20" i="30"/>
  <c r="DK65" i="30" s="1"/>
  <c r="DH20" i="30"/>
  <c r="DH65" i="30" s="1"/>
  <c r="CV20" i="30"/>
  <c r="CV65" i="30" s="1"/>
  <c r="CS20" i="30"/>
  <c r="CS65" i="30" s="1"/>
  <c r="CK20" i="30"/>
  <c r="CK65" i="30" s="1"/>
  <c r="CI20" i="30"/>
  <c r="CI65" i="30" s="1"/>
  <c r="BZ20" i="30"/>
  <c r="BZ53" i="30" s="1"/>
  <c r="BQ20" i="30"/>
  <c r="BI20" i="30"/>
  <c r="BF20" i="30"/>
  <c r="AX20" i="30"/>
  <c r="AV20" i="30"/>
  <c r="F20" i="30"/>
  <c r="C254" i="33" s="1"/>
  <c r="DW19" i="30"/>
  <c r="DW64" i="30" s="1"/>
  <c r="DQ19" i="30"/>
  <c r="DQ64" i="30" s="1"/>
  <c r="DO19" i="30"/>
  <c r="DO64" i="30" s="1"/>
  <c r="DI19" i="30"/>
  <c r="DI64" i="30" s="1"/>
  <c r="DG19" i="30"/>
  <c r="DG64" i="30" s="1"/>
  <c r="CW19" i="30"/>
  <c r="CW64" i="30" s="1"/>
  <c r="CU19" i="30"/>
  <c r="CU64" i="30" s="1"/>
  <c r="CO19" i="30"/>
  <c r="CO64" i="30" s="1"/>
  <c r="CM19" i="30"/>
  <c r="CM64" i="30" s="1"/>
  <c r="CG19" i="30"/>
  <c r="CG64" i="30" s="1"/>
  <c r="CE19" i="30"/>
  <c r="CE64" i="30" s="1"/>
  <c r="BR19" i="30"/>
  <c r="BJ19" i="30"/>
  <c r="BB19" i="30"/>
  <c r="AT19" i="30"/>
  <c r="EB18" i="30"/>
  <c r="EB63" i="30" s="1"/>
  <c r="DZ18" i="30"/>
  <c r="DZ63" i="30" s="1"/>
  <c r="DT18" i="30"/>
  <c r="DT63" i="30" s="1"/>
  <c r="DR18" i="30"/>
  <c r="DR63" i="30" s="1"/>
  <c r="DL18" i="30"/>
  <c r="DL63" i="30" s="1"/>
  <c r="DJ18" i="30"/>
  <c r="DJ63" i="30" s="1"/>
  <c r="DC18" i="30"/>
  <c r="DC51" i="30" s="1"/>
  <c r="CX18" i="30"/>
  <c r="CX63" i="30" s="1"/>
  <c r="CR18" i="30"/>
  <c r="CR63" i="30" s="1"/>
  <c r="CP18" i="30"/>
  <c r="CP63" i="30" s="1"/>
  <c r="CJ18" i="30"/>
  <c r="CJ63" i="30" s="1"/>
  <c r="CH18" i="30"/>
  <c r="CH63" i="30" s="1"/>
  <c r="CB18" i="30"/>
  <c r="CB63" i="30" s="1"/>
  <c r="BM18" i="30"/>
  <c r="BK18" i="30"/>
  <c r="BE18" i="30"/>
  <c r="AW18" i="30"/>
  <c r="AT18" i="30"/>
  <c r="F18" i="30"/>
  <c r="C253" i="33" s="1"/>
  <c r="D253" i="33" s="1"/>
  <c r="DZ17" i="30"/>
  <c r="DZ62" i="30" s="1"/>
  <c r="DR17" i="30"/>
  <c r="DR62" i="30" s="1"/>
  <c r="DL17" i="30"/>
  <c r="DL62" i="30" s="1"/>
  <c r="DJ17" i="30"/>
  <c r="DJ62" i="30" s="1"/>
  <c r="CR17" i="30"/>
  <c r="CR62" i="30" s="1"/>
  <c r="CP17" i="30"/>
  <c r="CP62" i="30" s="1"/>
  <c r="CJ17" i="30"/>
  <c r="CJ62" i="30" s="1"/>
  <c r="CB17" i="30"/>
  <c r="CB62" i="30" s="1"/>
  <c r="AT17" i="30"/>
  <c r="EB16" i="30"/>
  <c r="EB61" i="30" s="1"/>
  <c r="DZ16" i="30"/>
  <c r="DZ61" i="30" s="1"/>
  <c r="DT16" i="30"/>
  <c r="DT61" i="30" s="1"/>
  <c r="DR16" i="30"/>
  <c r="DR61" i="30" s="1"/>
  <c r="DL16" i="30"/>
  <c r="DL61" i="30" s="1"/>
  <c r="DJ16" i="30"/>
  <c r="DJ61" i="30" s="1"/>
  <c r="DC16" i="30"/>
  <c r="DC49" i="30" s="1"/>
  <c r="CX16" i="30"/>
  <c r="CX61" i="30" s="1"/>
  <c r="CR16" i="30"/>
  <c r="CR61" i="30" s="1"/>
  <c r="CP16" i="30"/>
  <c r="CP61" i="30" s="1"/>
  <c r="CJ16" i="30"/>
  <c r="CJ61" i="30" s="1"/>
  <c r="CH16" i="30"/>
  <c r="CH61" i="30" s="1"/>
  <c r="CB16" i="30"/>
  <c r="CB61" i="30" s="1"/>
  <c r="AW16" i="30"/>
  <c r="AT16" i="30"/>
  <c r="F16" i="30"/>
  <c r="EB15" i="30"/>
  <c r="EB60" i="30" s="1"/>
  <c r="DZ15" i="30"/>
  <c r="DZ60" i="30" s="1"/>
  <c r="DT15" i="30"/>
  <c r="DT60" i="30" s="1"/>
  <c r="DR15" i="30"/>
  <c r="DR60" i="30" s="1"/>
  <c r="DL15" i="30"/>
  <c r="DL60" i="30" s="1"/>
  <c r="DJ15" i="30"/>
  <c r="DJ60" i="30" s="1"/>
  <c r="DC15" i="30"/>
  <c r="DC48" i="30" s="1"/>
  <c r="CX15" i="30"/>
  <c r="CX60" i="30" s="1"/>
  <c r="CP15" i="30"/>
  <c r="CP60" i="30" s="1"/>
  <c r="CJ15" i="30"/>
  <c r="CJ60" i="30" s="1"/>
  <c r="CH15" i="30"/>
  <c r="CH60" i="30" s="1"/>
  <c r="AW15" i="30"/>
  <c r="AT15" i="30"/>
  <c r="EB24" i="30"/>
  <c r="EB69" i="30" s="1"/>
  <c r="EA24" i="30"/>
  <c r="EA69" i="30" s="1"/>
  <c r="DZ24" i="30"/>
  <c r="DZ69" i="30" s="1"/>
  <c r="DX24" i="30"/>
  <c r="DX69" i="30" s="1"/>
  <c r="DW24" i="30"/>
  <c r="DW69" i="30" s="1"/>
  <c r="DT24" i="30"/>
  <c r="DT69" i="30" s="1"/>
  <c r="DS24" i="30"/>
  <c r="DS69" i="30" s="1"/>
  <c r="DR24" i="30"/>
  <c r="DR69" i="30" s="1"/>
  <c r="DQ24" i="30"/>
  <c r="DQ69" i="30" s="1"/>
  <c r="DP24" i="30"/>
  <c r="DP69" i="30" s="1"/>
  <c r="DO24" i="30"/>
  <c r="DO69" i="30" s="1"/>
  <c r="DL24" i="30"/>
  <c r="DL69" i="30" s="1"/>
  <c r="DJ24" i="30"/>
  <c r="DJ69" i="30" s="1"/>
  <c r="DI24" i="30"/>
  <c r="DI69" i="30" s="1"/>
  <c r="DH24" i="30"/>
  <c r="DH69" i="30" s="1"/>
  <c r="DG24" i="30"/>
  <c r="DG69" i="30" s="1"/>
  <c r="DF24" i="30"/>
  <c r="DF69" i="30" s="1"/>
  <c r="DE24" i="30"/>
  <c r="DE69" i="30" s="1"/>
  <c r="DC35" i="30"/>
  <c r="DC98" i="30" s="1"/>
  <c r="CX24" i="30"/>
  <c r="CX69" i="30" s="1"/>
  <c r="CV24" i="30"/>
  <c r="CV69" i="30" s="1"/>
  <c r="CU24" i="30"/>
  <c r="CU69" i="30" s="1"/>
  <c r="CT24" i="30"/>
  <c r="CT69" i="30" s="1"/>
  <c r="CS24" i="30"/>
  <c r="CS69" i="30" s="1"/>
  <c r="CR24" i="30"/>
  <c r="CR69" i="30" s="1"/>
  <c r="CQ24" i="30"/>
  <c r="CQ69" i="30" s="1"/>
  <c r="CP24" i="30"/>
  <c r="CP69" i="30" s="1"/>
  <c r="CN24" i="30"/>
  <c r="CN69" i="30" s="1"/>
  <c r="CM24" i="30"/>
  <c r="CM69" i="30" s="1"/>
  <c r="CK24" i="30"/>
  <c r="CK69" i="30" s="1"/>
  <c r="CJ24" i="30"/>
  <c r="CJ69" i="30" s="1"/>
  <c r="CH24" i="30"/>
  <c r="CH69" i="30" s="1"/>
  <c r="CG24" i="30"/>
  <c r="CG69" i="30" s="1"/>
  <c r="CF24" i="30"/>
  <c r="CF69" i="30" s="1"/>
  <c r="CE24" i="30"/>
  <c r="CE69" i="30" s="1"/>
  <c r="CC24" i="30"/>
  <c r="CC69" i="30" s="1"/>
  <c r="CB24" i="30"/>
  <c r="CB69" i="30" s="1"/>
  <c r="BQ24" i="30"/>
  <c r="BO24" i="30"/>
  <c r="BN24" i="30"/>
  <c r="BM24" i="30"/>
  <c r="BI24" i="30"/>
  <c r="BH24" i="30"/>
  <c r="BG24" i="30"/>
  <c r="BF24" i="30"/>
  <c r="BE24" i="30"/>
  <c r="BD24" i="30"/>
  <c r="BA24" i="30"/>
  <c r="AX24" i="30"/>
  <c r="AW24" i="30"/>
  <c r="AV24" i="30"/>
  <c r="AT13" i="30"/>
  <c r="EB23" i="30"/>
  <c r="EB68" i="30" s="1"/>
  <c r="EA23" i="30"/>
  <c r="EA68" i="30" s="1"/>
  <c r="DZ23" i="30"/>
  <c r="DZ68" i="30" s="1"/>
  <c r="DY23" i="30"/>
  <c r="DY68" i="30" s="1"/>
  <c r="DX23" i="30"/>
  <c r="DX68" i="30" s="1"/>
  <c r="DW23" i="30"/>
  <c r="DW68" i="30" s="1"/>
  <c r="DU23" i="30"/>
  <c r="DU68" i="30" s="1"/>
  <c r="DS23" i="30"/>
  <c r="DS68" i="30" s="1"/>
  <c r="DR23" i="30"/>
  <c r="DR68" i="30" s="1"/>
  <c r="DQ23" i="30"/>
  <c r="DQ68" i="30" s="1"/>
  <c r="DP23" i="30"/>
  <c r="DP68" i="30" s="1"/>
  <c r="DO23" i="30"/>
  <c r="DO68" i="30" s="1"/>
  <c r="DM23" i="30"/>
  <c r="DM68" i="30" s="1"/>
  <c r="DK23" i="30"/>
  <c r="DK68" i="30" s="1"/>
  <c r="DJ23" i="30"/>
  <c r="DJ68" i="30" s="1"/>
  <c r="DI23" i="30"/>
  <c r="DI68" i="30" s="1"/>
  <c r="DH23" i="30"/>
  <c r="DH68" i="30" s="1"/>
  <c r="DG23" i="30"/>
  <c r="DG68" i="30" s="1"/>
  <c r="DE23" i="30"/>
  <c r="DE68" i="30" s="1"/>
  <c r="CY23" i="30"/>
  <c r="CY68" i="30" s="1"/>
  <c r="CX23" i="30"/>
  <c r="CX68" i="30" s="1"/>
  <c r="CW23" i="30"/>
  <c r="CW68" i="30" s="1"/>
  <c r="CV23" i="30"/>
  <c r="CV68" i="30" s="1"/>
  <c r="CU23" i="30"/>
  <c r="CU68" i="30" s="1"/>
  <c r="CT23" i="30"/>
  <c r="CT68" i="30" s="1"/>
  <c r="CS23" i="30"/>
  <c r="CS68" i="30" s="1"/>
  <c r="CQ23" i="30"/>
  <c r="CQ68" i="30" s="1"/>
  <c r="CP23" i="30"/>
  <c r="CP68" i="30" s="1"/>
  <c r="CO23" i="30"/>
  <c r="CO68" i="30" s="1"/>
  <c r="CN23" i="30"/>
  <c r="CN68" i="30" s="1"/>
  <c r="CM23" i="30"/>
  <c r="CM68" i="30" s="1"/>
  <c r="CK23" i="30"/>
  <c r="CK68" i="30" s="1"/>
  <c r="CI23" i="30"/>
  <c r="CI68" i="30" s="1"/>
  <c r="CH23" i="30"/>
  <c r="CH68" i="30" s="1"/>
  <c r="CG23" i="30"/>
  <c r="CG68" i="30" s="1"/>
  <c r="CF23" i="30"/>
  <c r="CF68" i="30" s="1"/>
  <c r="CE23" i="30"/>
  <c r="CE68" i="30" s="1"/>
  <c r="CC23" i="30"/>
  <c r="CC68" i="30" s="1"/>
  <c r="BR23" i="30"/>
  <c r="BQ23" i="30"/>
  <c r="BO23" i="30"/>
  <c r="BN23" i="30"/>
  <c r="BL23" i="30"/>
  <c r="BI23" i="30"/>
  <c r="BG23" i="30"/>
  <c r="BF23" i="30"/>
  <c r="BE23" i="30"/>
  <c r="BD23" i="30"/>
  <c r="BB23" i="30"/>
  <c r="BA23" i="30"/>
  <c r="AX23" i="30"/>
  <c r="AV23" i="30"/>
  <c r="AT12" i="30"/>
  <c r="EB22" i="30"/>
  <c r="EB67" i="30" s="1"/>
  <c r="EA22" i="30"/>
  <c r="EA67" i="30" s="1"/>
  <c r="DZ22" i="30"/>
  <c r="DZ67" i="30" s="1"/>
  <c r="DX22" i="30"/>
  <c r="DX67" i="30" s="1"/>
  <c r="DV22" i="30"/>
  <c r="DV67" i="30" s="1"/>
  <c r="DU22" i="30"/>
  <c r="DU67" i="30" s="1"/>
  <c r="DT22" i="30"/>
  <c r="DT67" i="30" s="1"/>
  <c r="DS22" i="30"/>
  <c r="DS67" i="30" s="1"/>
  <c r="DR22" i="30"/>
  <c r="DR67" i="30" s="1"/>
  <c r="DQ22" i="30"/>
  <c r="DQ67" i="30" s="1"/>
  <c r="DP22" i="30"/>
  <c r="DP67" i="30" s="1"/>
  <c r="DN22" i="30"/>
  <c r="DN67" i="30" s="1"/>
  <c r="DM22" i="30"/>
  <c r="DM67" i="30" s="1"/>
  <c r="DL22" i="30"/>
  <c r="DL67" i="30" s="1"/>
  <c r="DK22" i="30"/>
  <c r="DK67" i="30" s="1"/>
  <c r="DJ22" i="30"/>
  <c r="DJ67" i="30" s="1"/>
  <c r="DI22" i="30"/>
  <c r="DI67" i="30" s="1"/>
  <c r="DH22" i="30"/>
  <c r="DH67" i="30" s="1"/>
  <c r="DG22" i="30"/>
  <c r="DG67" i="30" s="1"/>
  <c r="DF22" i="30"/>
  <c r="DF67" i="30" s="1"/>
  <c r="DE22" i="30"/>
  <c r="DE67" i="30" s="1"/>
  <c r="CY22" i="30"/>
  <c r="CY67" i="30" s="1"/>
  <c r="CX22" i="30"/>
  <c r="CX67" i="30" s="1"/>
  <c r="CV22" i="30"/>
  <c r="CV67" i="30" s="1"/>
  <c r="CT22" i="30"/>
  <c r="CT67" i="30" s="1"/>
  <c r="CR22" i="30"/>
  <c r="CR67" i="30" s="1"/>
  <c r="CQ22" i="30"/>
  <c r="CQ67" i="30" s="1"/>
  <c r="CP22" i="30"/>
  <c r="CP67" i="30" s="1"/>
  <c r="CN22" i="30"/>
  <c r="CN67" i="30" s="1"/>
  <c r="CL22" i="30"/>
  <c r="CL67" i="30" s="1"/>
  <c r="CK22" i="30"/>
  <c r="CK67" i="30" s="1"/>
  <c r="CJ22" i="30"/>
  <c r="CJ67" i="30" s="1"/>
  <c r="CI22" i="30"/>
  <c r="CI67" i="30" s="1"/>
  <c r="CH22" i="30"/>
  <c r="CH67" i="30" s="1"/>
  <c r="CG22" i="30"/>
  <c r="CG67" i="30" s="1"/>
  <c r="CF22" i="30"/>
  <c r="CF67" i="30" s="1"/>
  <c r="CD22" i="30"/>
  <c r="CD67" i="30" s="1"/>
  <c r="CB22" i="30"/>
  <c r="CB67" i="30" s="1"/>
  <c r="BR22" i="30"/>
  <c r="BQ22" i="30"/>
  <c r="BO22" i="30"/>
  <c r="BN22" i="30"/>
  <c r="BM22" i="30"/>
  <c r="BL22" i="30"/>
  <c r="BK22" i="30"/>
  <c r="BI22" i="30"/>
  <c r="BG22" i="30"/>
  <c r="BF22" i="30"/>
  <c r="BE22" i="30"/>
  <c r="BD22" i="30"/>
  <c r="BA22" i="30"/>
  <c r="AY22" i="30"/>
  <c r="AX22" i="30"/>
  <c r="AW22" i="30"/>
  <c r="AV22" i="30"/>
  <c r="EB21" i="30"/>
  <c r="EB66" i="30" s="1"/>
  <c r="EA21" i="30"/>
  <c r="EA66" i="30" s="1"/>
  <c r="DZ21" i="30"/>
  <c r="DZ66" i="30" s="1"/>
  <c r="DY21" i="30"/>
  <c r="DY66" i="30" s="1"/>
  <c r="DW21" i="30"/>
  <c r="DW66" i="30" s="1"/>
  <c r="DV21" i="30"/>
  <c r="DV66" i="30" s="1"/>
  <c r="DU21" i="30"/>
  <c r="DU66" i="30" s="1"/>
  <c r="DT21" i="30"/>
  <c r="DT66" i="30" s="1"/>
  <c r="DS21" i="30"/>
  <c r="DS66" i="30" s="1"/>
  <c r="DR21" i="30"/>
  <c r="DR66" i="30" s="1"/>
  <c r="DQ21" i="30"/>
  <c r="DQ66" i="30" s="1"/>
  <c r="DN21" i="30"/>
  <c r="DN66" i="30" s="1"/>
  <c r="DM21" i="30"/>
  <c r="DM66" i="30" s="1"/>
  <c r="DL21" i="30"/>
  <c r="DL66" i="30" s="1"/>
  <c r="DK21" i="30"/>
  <c r="DK66" i="30" s="1"/>
  <c r="DJ21" i="30"/>
  <c r="DJ66" i="30" s="1"/>
  <c r="DI21" i="30"/>
  <c r="DI66" i="30" s="1"/>
  <c r="DH21" i="30"/>
  <c r="DH66" i="30" s="1"/>
  <c r="DF21" i="30"/>
  <c r="DF66" i="30" s="1"/>
  <c r="CY21" i="30"/>
  <c r="CY66" i="30" s="1"/>
  <c r="CX21" i="30"/>
  <c r="CX66" i="30" s="1"/>
  <c r="CW21" i="30"/>
  <c r="CW66" i="30" s="1"/>
  <c r="CV21" i="30"/>
  <c r="CV66" i="30" s="1"/>
  <c r="CU21" i="30"/>
  <c r="CU66" i="30" s="1"/>
  <c r="CR21" i="30"/>
  <c r="CR66" i="30" s="1"/>
  <c r="CQ21" i="30"/>
  <c r="CQ66" i="30" s="1"/>
  <c r="CP21" i="30"/>
  <c r="CP66" i="30" s="1"/>
  <c r="CO21" i="30"/>
  <c r="CO66" i="30" s="1"/>
  <c r="CN21" i="30"/>
  <c r="CN66" i="30" s="1"/>
  <c r="CM21" i="30"/>
  <c r="CM66" i="30" s="1"/>
  <c r="CK21" i="30"/>
  <c r="CK66" i="30" s="1"/>
  <c r="CJ21" i="30"/>
  <c r="CJ66" i="30" s="1"/>
  <c r="CI21" i="30"/>
  <c r="CI66" i="30" s="1"/>
  <c r="CH21" i="30"/>
  <c r="CH66" i="30" s="1"/>
  <c r="CG21" i="30"/>
  <c r="CG66" i="30" s="1"/>
  <c r="CF21" i="30"/>
  <c r="CF66" i="30" s="1"/>
  <c r="CC21" i="30"/>
  <c r="CC66" i="30" s="1"/>
  <c r="CB21" i="30"/>
  <c r="CB66" i="30" s="1"/>
  <c r="BS21" i="30"/>
  <c r="BR21" i="30"/>
  <c r="BQ21" i="30"/>
  <c r="BO21" i="30"/>
  <c r="BM21" i="30"/>
  <c r="BL21" i="30"/>
  <c r="BJ21" i="30"/>
  <c r="BI21" i="30"/>
  <c r="BH21" i="30"/>
  <c r="BG21" i="30"/>
  <c r="BE21" i="30"/>
  <c r="BD21" i="30"/>
  <c r="BB21" i="30"/>
  <c r="BA21" i="30"/>
  <c r="AY21" i="30"/>
  <c r="AX21" i="30"/>
  <c r="AW21" i="30"/>
  <c r="AV21" i="30"/>
  <c r="AT10" i="30"/>
  <c r="EB20" i="30"/>
  <c r="EB65" i="30" s="1"/>
  <c r="EA20" i="30"/>
  <c r="EA65" i="30" s="1"/>
  <c r="DZ20" i="30"/>
  <c r="DZ65" i="30" s="1"/>
  <c r="DY20" i="30"/>
  <c r="DY65" i="30" s="1"/>
  <c r="DX20" i="30"/>
  <c r="DX65" i="30" s="1"/>
  <c r="DW20" i="30"/>
  <c r="DW65" i="30" s="1"/>
  <c r="DV20" i="30"/>
  <c r="DV65" i="30" s="1"/>
  <c r="DT20" i="30"/>
  <c r="DT65" i="30" s="1"/>
  <c r="DR20" i="30"/>
  <c r="DR65" i="30" s="1"/>
  <c r="DP20" i="30"/>
  <c r="DP65" i="30" s="1"/>
  <c r="DO20" i="30"/>
  <c r="DO65" i="30" s="1"/>
  <c r="DN20" i="30"/>
  <c r="DN65" i="30" s="1"/>
  <c r="DM20" i="30"/>
  <c r="DM65" i="30" s="1"/>
  <c r="DL20" i="30"/>
  <c r="DL65" i="30" s="1"/>
  <c r="DJ20" i="30"/>
  <c r="DJ65" i="30" s="1"/>
  <c r="DG20" i="30"/>
  <c r="DG65" i="30" s="1"/>
  <c r="DF20" i="30"/>
  <c r="DF65" i="30" s="1"/>
  <c r="DE20" i="30"/>
  <c r="DE65" i="30" s="1"/>
  <c r="CY20" i="30"/>
  <c r="CY65" i="30" s="1"/>
  <c r="CX20" i="30"/>
  <c r="CX65" i="30" s="1"/>
  <c r="CW20" i="30"/>
  <c r="CW65" i="30" s="1"/>
  <c r="CT20" i="30"/>
  <c r="CT65" i="30" s="1"/>
  <c r="CR20" i="30"/>
  <c r="CR65" i="30" s="1"/>
  <c r="CQ20" i="30"/>
  <c r="CQ65" i="30" s="1"/>
  <c r="CP20" i="30"/>
  <c r="CP65" i="30" s="1"/>
  <c r="CO20" i="30"/>
  <c r="CO65" i="30" s="1"/>
  <c r="CN20" i="30"/>
  <c r="CN65" i="30" s="1"/>
  <c r="CM20" i="30"/>
  <c r="CM65" i="30" s="1"/>
  <c r="CL20" i="30"/>
  <c r="CL65" i="30" s="1"/>
  <c r="CJ20" i="30"/>
  <c r="CJ65" i="30" s="1"/>
  <c r="CH20" i="30"/>
  <c r="CH65" i="30" s="1"/>
  <c r="CG20" i="30"/>
  <c r="CG65" i="30" s="1"/>
  <c r="CF20" i="30"/>
  <c r="CF65" i="30" s="1"/>
  <c r="CD20" i="30"/>
  <c r="CD65" i="30" s="1"/>
  <c r="CC20" i="30"/>
  <c r="CC65" i="30" s="1"/>
  <c r="CB20" i="30"/>
  <c r="CB65" i="30" s="1"/>
  <c r="BR20" i="30"/>
  <c r="BO20" i="30"/>
  <c r="BN20" i="30"/>
  <c r="BM20" i="30"/>
  <c r="BL20" i="30"/>
  <c r="BK20" i="30"/>
  <c r="BJ20" i="30"/>
  <c r="BG20" i="30"/>
  <c r="BE20" i="30"/>
  <c r="BD20" i="30"/>
  <c r="BC20" i="30"/>
  <c r="BB20" i="30"/>
  <c r="BA20" i="30"/>
  <c r="AY20" i="30"/>
  <c r="AW20" i="30"/>
  <c r="AT9" i="30"/>
  <c r="EB19" i="30"/>
  <c r="EB64" i="30" s="1"/>
  <c r="EA19" i="30"/>
  <c r="EA64" i="30" s="1"/>
  <c r="DZ19" i="30"/>
  <c r="DZ64" i="30" s="1"/>
  <c r="DY19" i="30"/>
  <c r="DY64" i="30" s="1"/>
  <c r="DX19" i="30"/>
  <c r="DX64" i="30" s="1"/>
  <c r="DV19" i="30"/>
  <c r="DV64" i="30" s="1"/>
  <c r="DU19" i="30"/>
  <c r="DU64" i="30" s="1"/>
  <c r="DT19" i="30"/>
  <c r="DT64" i="30" s="1"/>
  <c r="DS19" i="30"/>
  <c r="DS64" i="30" s="1"/>
  <c r="DP19" i="30"/>
  <c r="DP64" i="30" s="1"/>
  <c r="DN19" i="30"/>
  <c r="DN64" i="30" s="1"/>
  <c r="DM19" i="30"/>
  <c r="DM64" i="30" s="1"/>
  <c r="DL19" i="30"/>
  <c r="DL64" i="30" s="1"/>
  <c r="DK19" i="30"/>
  <c r="DK64" i="30" s="1"/>
  <c r="DH19" i="30"/>
  <c r="DH64" i="30" s="1"/>
  <c r="DF19" i="30"/>
  <c r="DF64" i="30" s="1"/>
  <c r="DE19" i="30"/>
  <c r="DE64" i="30" s="1"/>
  <c r="DC30" i="30"/>
  <c r="DC94" i="30" s="1"/>
  <c r="CY19" i="30"/>
  <c r="CY64" i="30" s="1"/>
  <c r="CX19" i="30"/>
  <c r="CX64" i="30" s="1"/>
  <c r="CT19" i="30"/>
  <c r="CT64" i="30" s="1"/>
  <c r="CS19" i="30"/>
  <c r="CS64" i="30" s="1"/>
  <c r="CR19" i="30"/>
  <c r="CR64" i="30" s="1"/>
  <c r="CQ19" i="30"/>
  <c r="CQ64" i="30" s="1"/>
  <c r="CP19" i="30"/>
  <c r="CP64" i="30" s="1"/>
  <c r="CL19" i="30"/>
  <c r="CL64" i="30" s="1"/>
  <c r="CK19" i="30"/>
  <c r="CK64" i="30" s="1"/>
  <c r="CJ19" i="30"/>
  <c r="CJ64" i="30" s="1"/>
  <c r="CI19" i="30"/>
  <c r="CI64" i="30" s="1"/>
  <c r="CH19" i="30"/>
  <c r="CH64" i="30" s="1"/>
  <c r="CF19" i="30"/>
  <c r="CF64" i="30" s="1"/>
  <c r="CD19" i="30"/>
  <c r="CD64" i="30" s="1"/>
  <c r="CC19" i="30"/>
  <c r="CC64" i="30" s="1"/>
  <c r="CB19" i="30"/>
  <c r="CB64" i="30" s="1"/>
  <c r="BQ19" i="30"/>
  <c r="BO19" i="30"/>
  <c r="BN19" i="30"/>
  <c r="BM19" i="30"/>
  <c r="BI19" i="30"/>
  <c r="BG19" i="30"/>
  <c r="BF19" i="30"/>
  <c r="BE19" i="30"/>
  <c r="BC19" i="30"/>
  <c r="BA19" i="30"/>
  <c r="AY19" i="30"/>
  <c r="AX19" i="30"/>
  <c r="AW19" i="30"/>
  <c r="AV19" i="30"/>
  <c r="DY18" i="30"/>
  <c r="DY63" i="30" s="1"/>
  <c r="DX18" i="30"/>
  <c r="DX63" i="30" s="1"/>
  <c r="DW18" i="30"/>
  <c r="DW63" i="30" s="1"/>
  <c r="DV18" i="30"/>
  <c r="DV63" i="30" s="1"/>
  <c r="DU18" i="30"/>
  <c r="DU63" i="30" s="1"/>
  <c r="DQ18" i="30"/>
  <c r="DQ63" i="30" s="1"/>
  <c r="DP18" i="30"/>
  <c r="DP63" i="30" s="1"/>
  <c r="DO18" i="30"/>
  <c r="DO63" i="30" s="1"/>
  <c r="DN18" i="30"/>
  <c r="DN63" i="30" s="1"/>
  <c r="DM18" i="30"/>
  <c r="DM63" i="30" s="1"/>
  <c r="DI18" i="30"/>
  <c r="DI63" i="30" s="1"/>
  <c r="DH18" i="30"/>
  <c r="DH63" i="30" s="1"/>
  <c r="DG18" i="30"/>
  <c r="DG63" i="30" s="1"/>
  <c r="DF18" i="30"/>
  <c r="DF63" i="30" s="1"/>
  <c r="DE18" i="30"/>
  <c r="DE63" i="30" s="1"/>
  <c r="CY18" i="30"/>
  <c r="CY63" i="30" s="1"/>
  <c r="CV18" i="30"/>
  <c r="CV63" i="30" s="1"/>
  <c r="CU18" i="30"/>
  <c r="CU63" i="30" s="1"/>
  <c r="CT18" i="30"/>
  <c r="CT63" i="30" s="1"/>
  <c r="CS18" i="30"/>
  <c r="CS63" i="30" s="1"/>
  <c r="CQ18" i="30"/>
  <c r="CQ63" i="30" s="1"/>
  <c r="CN18" i="30"/>
  <c r="CN63" i="30" s="1"/>
  <c r="CM18" i="30"/>
  <c r="CM63" i="30" s="1"/>
  <c r="CL18" i="30"/>
  <c r="CL63" i="30" s="1"/>
  <c r="CK18" i="30"/>
  <c r="CK63" i="30" s="1"/>
  <c r="CI18" i="30"/>
  <c r="CI63" i="30" s="1"/>
  <c r="CF18" i="30"/>
  <c r="CF63" i="30" s="1"/>
  <c r="CE18" i="30"/>
  <c r="CE63" i="30" s="1"/>
  <c r="CD18" i="30"/>
  <c r="CD63" i="30" s="1"/>
  <c r="CC18" i="30"/>
  <c r="CC63" i="30" s="1"/>
  <c r="BR18" i="30"/>
  <c r="BQ18" i="30"/>
  <c r="BO18" i="30"/>
  <c r="BN18" i="30"/>
  <c r="BL18" i="30"/>
  <c r="BJ18" i="30"/>
  <c r="BI18" i="30"/>
  <c r="BG18" i="30"/>
  <c r="BF18" i="30"/>
  <c r="BD18" i="30"/>
  <c r="BB18" i="30"/>
  <c r="BA18" i="30"/>
  <c r="AY18" i="30"/>
  <c r="AX18" i="30"/>
  <c r="AV18" i="30"/>
  <c r="AT7" i="30"/>
  <c r="EA17" i="30"/>
  <c r="EA62" i="30" s="1"/>
  <c r="DY17" i="30"/>
  <c r="DY62" i="30" s="1"/>
  <c r="DX17" i="30"/>
  <c r="DX62" i="30" s="1"/>
  <c r="DW17" i="30"/>
  <c r="DW62" i="30" s="1"/>
  <c r="DV17" i="30"/>
  <c r="DV62" i="30" s="1"/>
  <c r="DU17" i="30"/>
  <c r="DU62" i="30" s="1"/>
  <c r="DS17" i="30"/>
  <c r="DS62" i="30" s="1"/>
  <c r="DQ17" i="30"/>
  <c r="DQ62" i="30" s="1"/>
  <c r="DP17" i="30"/>
  <c r="DP62" i="30" s="1"/>
  <c r="DO17" i="30"/>
  <c r="DO62" i="30" s="1"/>
  <c r="DN17" i="30"/>
  <c r="DN62" i="30" s="1"/>
  <c r="DM17" i="30"/>
  <c r="DM62" i="30" s="1"/>
  <c r="DK17" i="30"/>
  <c r="DK62" i="30" s="1"/>
  <c r="DI17" i="30"/>
  <c r="DI62" i="30" s="1"/>
  <c r="DH17" i="30"/>
  <c r="DH62" i="30" s="1"/>
  <c r="DG17" i="30"/>
  <c r="DG62" i="30" s="1"/>
  <c r="DF17" i="30"/>
  <c r="DF62" i="30" s="1"/>
  <c r="DE17" i="30"/>
  <c r="DE62" i="30" s="1"/>
  <c r="CY17" i="30"/>
  <c r="CY62" i="30" s="1"/>
  <c r="CW17" i="30"/>
  <c r="CW62" i="30" s="1"/>
  <c r="CV17" i="30"/>
  <c r="CV62" i="30" s="1"/>
  <c r="CU17" i="30"/>
  <c r="CU62" i="30" s="1"/>
  <c r="CT17" i="30"/>
  <c r="CT62" i="30" s="1"/>
  <c r="CS17" i="30"/>
  <c r="CS62" i="30" s="1"/>
  <c r="CQ17" i="30"/>
  <c r="CQ62" i="30" s="1"/>
  <c r="CO17" i="30"/>
  <c r="CO62" i="30" s="1"/>
  <c r="CN17" i="30"/>
  <c r="CN62" i="30" s="1"/>
  <c r="CM17" i="30"/>
  <c r="CM62" i="30" s="1"/>
  <c r="CL17" i="30"/>
  <c r="CL62" i="30" s="1"/>
  <c r="CK17" i="30"/>
  <c r="CK62" i="30" s="1"/>
  <c r="CI17" i="30"/>
  <c r="CI62" i="30" s="1"/>
  <c r="CG17" i="30"/>
  <c r="CG62" i="30" s="1"/>
  <c r="CF17" i="30"/>
  <c r="CF62" i="30" s="1"/>
  <c r="CE17" i="30"/>
  <c r="CE62" i="30" s="1"/>
  <c r="CD17" i="30"/>
  <c r="CD62" i="30" s="1"/>
  <c r="CC17" i="30"/>
  <c r="CC62" i="30" s="1"/>
  <c r="BR17" i="30"/>
  <c r="BQ17" i="30"/>
  <c r="BP17" i="30"/>
  <c r="BO17" i="30"/>
  <c r="BN17" i="30"/>
  <c r="BJ17" i="30"/>
  <c r="BI17" i="30"/>
  <c r="BH17" i="30"/>
  <c r="BG17" i="30"/>
  <c r="BF17" i="30"/>
  <c r="BB17" i="30"/>
  <c r="BA17" i="30"/>
  <c r="AY17" i="30"/>
  <c r="AX17" i="30"/>
  <c r="AT6" i="30"/>
  <c r="EA16" i="30"/>
  <c r="EA61" i="30" s="1"/>
  <c r="DY16" i="30"/>
  <c r="DY61" i="30" s="1"/>
  <c r="DX16" i="30"/>
  <c r="DX61" i="30" s="1"/>
  <c r="DW16" i="30"/>
  <c r="DW61" i="30" s="1"/>
  <c r="DV16" i="30"/>
  <c r="DV61" i="30" s="1"/>
  <c r="DS16" i="30"/>
  <c r="DS61" i="30" s="1"/>
  <c r="DQ16" i="30"/>
  <c r="DQ61" i="30" s="1"/>
  <c r="DP16" i="30"/>
  <c r="DP61" i="30" s="1"/>
  <c r="DO16" i="30"/>
  <c r="DO61" i="30" s="1"/>
  <c r="DN16" i="30"/>
  <c r="DN61" i="30" s="1"/>
  <c r="DK16" i="30"/>
  <c r="DK61" i="30" s="1"/>
  <c r="DI16" i="30"/>
  <c r="DI61" i="30" s="1"/>
  <c r="DH16" i="30"/>
  <c r="DH61" i="30" s="1"/>
  <c r="DG16" i="30"/>
  <c r="DG61" i="30" s="1"/>
  <c r="DF16" i="30"/>
  <c r="DF61" i="30" s="1"/>
  <c r="DC27" i="30"/>
  <c r="DC91" i="30" s="1"/>
  <c r="CW16" i="30"/>
  <c r="CW61" i="30" s="1"/>
  <c r="CV16" i="30"/>
  <c r="CV61" i="30" s="1"/>
  <c r="CU16" i="30"/>
  <c r="CU61" i="30" s="1"/>
  <c r="CT16" i="30"/>
  <c r="CT61" i="30" s="1"/>
  <c r="CS16" i="30"/>
  <c r="CS61" i="30" s="1"/>
  <c r="CO16" i="30"/>
  <c r="CO61" i="30" s="1"/>
  <c r="CN16" i="30"/>
  <c r="CN61" i="30" s="1"/>
  <c r="CM16" i="30"/>
  <c r="CM61" i="30" s="1"/>
  <c r="CL16" i="30"/>
  <c r="CL61" i="30" s="1"/>
  <c r="CK16" i="30"/>
  <c r="CK61" i="30" s="1"/>
  <c r="CI16" i="30"/>
  <c r="CI61" i="30" s="1"/>
  <c r="CG16" i="30"/>
  <c r="CG61" i="30" s="1"/>
  <c r="CF16" i="30"/>
  <c r="CF61" i="30" s="1"/>
  <c r="CE16" i="30"/>
  <c r="CE61" i="30" s="1"/>
  <c r="CD16" i="30"/>
  <c r="CD61" i="30" s="1"/>
  <c r="CC16" i="30"/>
  <c r="CC61" i="30" s="1"/>
  <c r="BR16" i="30"/>
  <c r="BQ16" i="30"/>
  <c r="BO16" i="30"/>
  <c r="BN16" i="30"/>
  <c r="BJ16" i="30"/>
  <c r="BI16" i="30"/>
  <c r="BH16" i="30"/>
  <c r="BG16" i="30"/>
  <c r="BF16" i="30"/>
  <c r="BB16" i="30"/>
  <c r="BA16" i="30"/>
  <c r="AY16" i="30"/>
  <c r="AX16" i="30"/>
  <c r="AV16" i="30"/>
  <c r="EA15" i="30"/>
  <c r="EA60" i="30" s="1"/>
  <c r="DY15" i="30"/>
  <c r="DY60" i="30" s="1"/>
  <c r="DX15" i="30"/>
  <c r="DX60" i="30" s="1"/>
  <c r="DW15" i="30"/>
  <c r="DW60" i="30" s="1"/>
  <c r="DU15" i="30"/>
  <c r="DU60" i="30" s="1"/>
  <c r="DS15" i="30"/>
  <c r="DS60" i="30" s="1"/>
  <c r="DQ15" i="30"/>
  <c r="DQ60" i="30" s="1"/>
  <c r="DP15" i="30"/>
  <c r="DP60" i="30" s="1"/>
  <c r="DO15" i="30"/>
  <c r="DO60" i="30" s="1"/>
  <c r="DN15" i="30"/>
  <c r="DN60" i="30" s="1"/>
  <c r="DM15" i="30"/>
  <c r="DM60" i="30" s="1"/>
  <c r="DK15" i="30"/>
  <c r="DK60" i="30" s="1"/>
  <c r="DI15" i="30"/>
  <c r="DI60" i="30" s="1"/>
  <c r="DH15" i="30"/>
  <c r="DH60" i="30" s="1"/>
  <c r="DG15" i="30"/>
  <c r="DG60" i="30" s="1"/>
  <c r="DE15" i="30"/>
  <c r="DE60" i="30" s="1"/>
  <c r="CY15" i="30"/>
  <c r="CY60" i="30" s="1"/>
  <c r="CW15" i="30"/>
  <c r="CW60" i="30" s="1"/>
  <c r="CV15" i="30"/>
  <c r="CV60" i="30" s="1"/>
  <c r="CU15" i="30"/>
  <c r="CU60" i="30" s="1"/>
  <c r="CT15" i="30"/>
  <c r="CT60" i="30" s="1"/>
  <c r="CS15" i="30"/>
  <c r="CS60" i="30" s="1"/>
  <c r="CQ15" i="30"/>
  <c r="CQ60" i="30" s="1"/>
  <c r="CO15" i="30"/>
  <c r="CO60" i="30" s="1"/>
  <c r="CN15" i="30"/>
  <c r="CN60" i="30" s="1"/>
  <c r="CM15" i="30"/>
  <c r="CM60" i="30" s="1"/>
  <c r="CL15" i="30"/>
  <c r="CL60" i="30" s="1"/>
  <c r="CK15" i="30"/>
  <c r="CK60" i="30" s="1"/>
  <c r="CI15" i="30"/>
  <c r="CI60" i="30" s="1"/>
  <c r="CG15" i="30"/>
  <c r="CG60" i="30" s="1"/>
  <c r="CF15" i="30"/>
  <c r="CF60" i="30" s="1"/>
  <c r="CE15" i="30"/>
  <c r="CE60" i="30" s="1"/>
  <c r="CD15" i="30"/>
  <c r="CD60" i="30" s="1"/>
  <c r="CC15" i="30"/>
  <c r="CC60" i="30" s="1"/>
  <c r="BR15" i="30"/>
  <c r="BQ15" i="30"/>
  <c r="BP15" i="30"/>
  <c r="BO15" i="30"/>
  <c r="BN15" i="30"/>
  <c r="BL15" i="30"/>
  <c r="BJ15" i="30"/>
  <c r="BI15" i="30"/>
  <c r="BG15" i="30"/>
  <c r="BF15" i="30"/>
  <c r="BB15" i="30"/>
  <c r="BA15" i="30"/>
  <c r="AY15" i="30"/>
  <c r="AX15" i="30"/>
  <c r="AT4" i="30"/>
  <c r="DD2" i="30"/>
  <c r="DD120" i="33" s="1"/>
  <c r="CA2" i="30"/>
  <c r="CA120" i="33" s="1"/>
  <c r="AU2" i="30"/>
  <c r="AU120" i="33" s="1"/>
  <c r="Z47" i="29"/>
  <c r="Y47" i="29"/>
  <c r="X47" i="29"/>
  <c r="W47" i="29"/>
  <c r="V47" i="29"/>
  <c r="U47" i="29"/>
  <c r="R47" i="29"/>
  <c r="Q47" i="29"/>
  <c r="P47" i="29"/>
  <c r="O47" i="29"/>
  <c r="N47" i="29"/>
  <c r="J47" i="29"/>
  <c r="I47" i="29"/>
  <c r="H47" i="29"/>
  <c r="G47" i="29"/>
  <c r="F47" i="29"/>
  <c r="Z46" i="29"/>
  <c r="Y46" i="29"/>
  <c r="X46" i="29"/>
  <c r="W46" i="29"/>
  <c r="V46" i="29"/>
  <c r="R46" i="29"/>
  <c r="Q46" i="29"/>
  <c r="P46" i="29"/>
  <c r="O46" i="29"/>
  <c r="N46" i="29"/>
  <c r="M46" i="29"/>
  <c r="J46" i="29"/>
  <c r="I46" i="29"/>
  <c r="H46" i="29"/>
  <c r="G46" i="29"/>
  <c r="F46" i="29"/>
  <c r="X26" i="29"/>
  <c r="W26" i="29"/>
  <c r="V26" i="29"/>
  <c r="U26" i="29"/>
  <c r="S26" i="29"/>
  <c r="P26" i="29"/>
  <c r="O26" i="29"/>
  <c r="N26" i="29"/>
  <c r="M26" i="29"/>
  <c r="K26" i="29"/>
  <c r="H26" i="29"/>
  <c r="G26" i="29"/>
  <c r="F26" i="29"/>
  <c r="E26" i="29"/>
  <c r="C26" i="29"/>
  <c r="X25" i="29"/>
  <c r="W25" i="29"/>
  <c r="V25" i="29"/>
  <c r="U25" i="29"/>
  <c r="S25" i="29"/>
  <c r="P25" i="29"/>
  <c r="O25" i="29"/>
  <c r="N25" i="29"/>
  <c r="M25" i="29"/>
  <c r="K25" i="29"/>
  <c r="H25" i="29"/>
  <c r="G25" i="29"/>
  <c r="F25" i="29"/>
  <c r="E25" i="29"/>
  <c r="C25" i="29"/>
  <c r="AB207" i="28"/>
  <c r="AC205" i="28"/>
  <c r="AA205" i="28"/>
  <c r="AF203" i="28"/>
  <c r="W202" i="28"/>
  <c r="AB199" i="28"/>
  <c r="AF199" i="28"/>
  <c r="AG198" i="28"/>
  <c r="AJ185" i="28"/>
  <c r="AC185" i="28"/>
  <c r="AA184" i="28"/>
  <c r="AI184" i="28"/>
  <c r="AC183" i="28"/>
  <c r="AI183" i="28"/>
  <c r="AA183" i="28"/>
  <c r="AC182" i="28"/>
  <c r="AC180" i="28"/>
  <c r="AC179" i="28"/>
  <c r="AB179" i="28"/>
  <c r="V179" i="28"/>
  <c r="AC178" i="28"/>
  <c r="AB177" i="28"/>
  <c r="AG177" i="28"/>
  <c r="AB176" i="28"/>
  <c r="AA176" i="28"/>
  <c r="AJ176" i="28"/>
  <c r="AB175" i="28"/>
  <c r="AA175" i="28"/>
  <c r="U175" i="28"/>
  <c r="AC175" i="28"/>
  <c r="AB172" i="28"/>
  <c r="V172" i="28"/>
  <c r="AB171" i="28"/>
  <c r="AA171" i="28"/>
  <c r="AJ171" i="28"/>
  <c r="AC171" i="28"/>
  <c r="K72" i="28"/>
  <c r="C40" i="33" s="1"/>
  <c r="D40" i="33" s="1"/>
  <c r="K71" i="28"/>
  <c r="C39" i="33" s="1"/>
  <c r="D39" i="33" s="1"/>
  <c r="K70" i="28"/>
  <c r="C38" i="33" s="1"/>
  <c r="D38" i="33" s="1"/>
  <c r="W33" i="28"/>
  <c r="Z32" i="28"/>
  <c r="X31" i="28"/>
  <c r="AA30" i="28"/>
  <c r="X28" i="28"/>
  <c r="AC27" i="28"/>
  <c r="W26" i="28"/>
  <c r="AA24" i="28"/>
  <c r="K11" i="28"/>
  <c r="K10" i="28"/>
  <c r="C9" i="33" s="1"/>
  <c r="D9" i="33" s="1"/>
  <c r="AV29" i="30" l="1"/>
  <c r="BF29" i="30"/>
  <c r="BQ29" i="30"/>
  <c r="AW29" i="30"/>
  <c r="BG29" i="30"/>
  <c r="BR29" i="30"/>
  <c r="BR74" i="30" s="1"/>
  <c r="AX29" i="30"/>
  <c r="BI29" i="30"/>
  <c r="AY29" i="30"/>
  <c r="BJ29" i="30"/>
  <c r="BA29" i="30"/>
  <c r="BL29" i="30"/>
  <c r="BB29" i="30"/>
  <c r="C72" i="29"/>
  <c r="X170" i="31"/>
  <c r="T170" i="31"/>
  <c r="AG170" i="31" s="1"/>
  <c r="Z170" i="31"/>
  <c r="AC170" i="31" s="1"/>
  <c r="Y170" i="31"/>
  <c r="Y170" i="28"/>
  <c r="AB170" i="28" s="1"/>
  <c r="X170" i="28"/>
  <c r="AA170" i="28" s="1"/>
  <c r="T170" i="28"/>
  <c r="V170" i="28" s="1"/>
  <c r="Z170" i="28"/>
  <c r="AC170" i="28" s="1"/>
  <c r="C185" i="33"/>
  <c r="D239" i="33"/>
  <c r="D223" i="33"/>
  <c r="D224" i="33"/>
  <c r="D225" i="33"/>
  <c r="BD3" i="29"/>
  <c r="BE3" i="29" s="1"/>
  <c r="BF3" i="29" s="1"/>
  <c r="Z209" i="31"/>
  <c r="AC209" i="31" s="1"/>
  <c r="Y209" i="31"/>
  <c r="AB209" i="31" s="1"/>
  <c r="X209" i="31"/>
  <c r="T209" i="31"/>
  <c r="U209" i="31" s="1"/>
  <c r="Y210" i="31"/>
  <c r="AB210" i="31" s="1"/>
  <c r="T210" i="31"/>
  <c r="AJ210" i="31" s="1"/>
  <c r="X210" i="31"/>
  <c r="AA210" i="31" s="1"/>
  <c r="Z210" i="31"/>
  <c r="AC210" i="31" s="1"/>
  <c r="Z208" i="31"/>
  <c r="AC208" i="31" s="1"/>
  <c r="Y208" i="31"/>
  <c r="AB208" i="31" s="1"/>
  <c r="X208" i="31"/>
  <c r="AA208" i="31" s="1"/>
  <c r="T208" i="31"/>
  <c r="AF145" i="31"/>
  <c r="AF139" i="31"/>
  <c r="AF133" i="31"/>
  <c r="AF127" i="31"/>
  <c r="AF142" i="31"/>
  <c r="AF136" i="31"/>
  <c r="AF130" i="31"/>
  <c r="U137" i="31"/>
  <c r="U135" i="31"/>
  <c r="K113" i="31" s="1"/>
  <c r="U133" i="31"/>
  <c r="U136" i="31"/>
  <c r="U134" i="31"/>
  <c r="U132" i="31"/>
  <c r="C10" i="33"/>
  <c r="D10" i="33" s="1"/>
  <c r="C160" i="31"/>
  <c r="C159" i="31"/>
  <c r="C158" i="31"/>
  <c r="C161" i="31"/>
  <c r="AC169" i="28"/>
  <c r="AE169" i="28" s="1"/>
  <c r="AB169" i="28"/>
  <c r="AJ169" i="28"/>
  <c r="AA169" i="28"/>
  <c r="AG169" i="31"/>
  <c r="AA169" i="31"/>
  <c r="AV17" i="30"/>
  <c r="AV90" i="30"/>
  <c r="BD92" i="30"/>
  <c r="BL17" i="30"/>
  <c r="AA188" i="28"/>
  <c r="W188" i="28"/>
  <c r="AA192" i="28"/>
  <c r="AA196" i="28"/>
  <c r="AB186" i="31"/>
  <c r="AA186" i="31"/>
  <c r="AA190" i="31"/>
  <c r="AG194" i="31"/>
  <c r="AB194" i="31"/>
  <c r="AC189" i="28"/>
  <c r="AA193" i="28"/>
  <c r="V197" i="28"/>
  <c r="AC197" i="28"/>
  <c r="AC197" i="31"/>
  <c r="AB197" i="31"/>
  <c r="AB191" i="31"/>
  <c r="AF195" i="31"/>
  <c r="W186" i="28"/>
  <c r="AC186" i="28"/>
  <c r="AC190" i="28"/>
  <c r="AE190" i="28" s="1"/>
  <c r="AI194" i="28"/>
  <c r="AG193" i="31"/>
  <c r="AA188" i="31"/>
  <c r="AJ188" i="31"/>
  <c r="AC188" i="31"/>
  <c r="AC192" i="31"/>
  <c r="AE192" i="31" s="1"/>
  <c r="AA192" i="31"/>
  <c r="AA196" i="31"/>
  <c r="AJ196" i="31"/>
  <c r="AC196" i="31"/>
  <c r="AB189" i="31"/>
  <c r="AB191" i="28"/>
  <c r="AA191" i="28"/>
  <c r="AC191" i="28"/>
  <c r="AE191" i="28" s="1"/>
  <c r="AB195" i="28"/>
  <c r="AC168" i="28"/>
  <c r="AE168" i="28" s="1"/>
  <c r="AB168" i="28"/>
  <c r="AA168" i="28"/>
  <c r="AJ168" i="28"/>
  <c r="AA168" i="31"/>
  <c r="AB167" i="31"/>
  <c r="AB167" i="28"/>
  <c r="AA167" i="28"/>
  <c r="AC167" i="28"/>
  <c r="AF167" i="28" s="1"/>
  <c r="AC166" i="31"/>
  <c r="AB166" i="31"/>
  <c r="AB166" i="28"/>
  <c r="AC165" i="28"/>
  <c r="AB165" i="28"/>
  <c r="AJ165" i="28"/>
  <c r="AA165" i="28"/>
  <c r="AA165" i="31"/>
  <c r="AC164" i="28"/>
  <c r="AF164" i="28" s="1"/>
  <c r="AA164" i="28"/>
  <c r="AC164" i="31"/>
  <c r="AB164" i="31"/>
  <c r="Y25" i="28"/>
  <c r="AB190" i="28"/>
  <c r="AB188" i="31"/>
  <c r="AB196" i="31"/>
  <c r="C187" i="33"/>
  <c r="D187" i="33" s="1"/>
  <c r="AJ218" i="33" s="1"/>
  <c r="BM92" i="30"/>
  <c r="BQ90" i="30"/>
  <c r="BA91" i="30"/>
  <c r="BQ91" i="30"/>
  <c r="BA92" i="30"/>
  <c r="BI92" i="30"/>
  <c r="BI99" i="30" s="1"/>
  <c r="BI100" i="30" s="1"/>
  <c r="BI101" i="30" s="1"/>
  <c r="BQ92" i="30"/>
  <c r="AW17" i="30"/>
  <c r="AW73" i="30" s="1"/>
  <c r="BE92" i="30"/>
  <c r="BS16" i="30"/>
  <c r="C186" i="33"/>
  <c r="D186" i="33" s="1"/>
  <c r="AK231" i="33" s="1"/>
  <c r="AO231" i="33" s="1"/>
  <c r="AR231" i="33" s="1"/>
  <c r="AA198" i="28"/>
  <c r="AD198" i="28" s="1"/>
  <c r="AH198" i="28" s="1"/>
  <c r="AA202" i="28"/>
  <c r="AD202" i="28" s="1"/>
  <c r="AH202" i="28" s="1"/>
  <c r="AC206" i="28"/>
  <c r="AE206" i="28" s="1"/>
  <c r="BS90" i="30"/>
  <c r="H6" i="31"/>
  <c r="M6" i="31" s="1"/>
  <c r="AC188" i="28"/>
  <c r="AE188" i="28" s="1"/>
  <c r="AG206" i="28"/>
  <c r="E46" i="29"/>
  <c r="AT96" i="30"/>
  <c r="AA166" i="31"/>
  <c r="AG178" i="31"/>
  <c r="W198" i="31"/>
  <c r="AC207" i="31"/>
  <c r="AE207" i="31" s="1"/>
  <c r="AC175" i="31"/>
  <c r="AE175" i="31" s="1"/>
  <c r="AC215" i="31"/>
  <c r="AE215" i="31" s="1"/>
  <c r="I220" i="33"/>
  <c r="AC166" i="28"/>
  <c r="AG166" i="28" s="1"/>
  <c r="AC172" i="28"/>
  <c r="AE172" i="28" s="1"/>
  <c r="AJ182" i="28"/>
  <c r="AC192" i="28"/>
  <c r="AT22" i="30"/>
  <c r="D72" i="29"/>
  <c r="I117" i="29"/>
  <c r="AC176" i="28"/>
  <c r="AD176" i="28" s="1"/>
  <c r="AH176" i="28" s="1"/>
  <c r="AC200" i="28"/>
  <c r="T26" i="29"/>
  <c r="AJ202" i="31"/>
  <c r="W226" i="31"/>
  <c r="T254" i="31"/>
  <c r="C22" i="33"/>
  <c r="D22" i="33" s="1"/>
  <c r="E72" i="29"/>
  <c r="K117" i="29"/>
  <c r="DC17" i="30"/>
  <c r="DC50" i="30" s="1"/>
  <c r="AC193" i="31"/>
  <c r="AC211" i="31"/>
  <c r="J126" i="31"/>
  <c r="AC213" i="31"/>
  <c r="AE213" i="31" s="1"/>
  <c r="AC225" i="31"/>
  <c r="U72" i="29"/>
  <c r="AC203" i="31"/>
  <c r="O68" i="29"/>
  <c r="C182" i="33"/>
  <c r="D182" i="33" s="1"/>
  <c r="AJ215" i="33" s="1"/>
  <c r="AK226" i="33"/>
  <c r="AO226" i="33" s="1"/>
  <c r="AJ219" i="33"/>
  <c r="AN219" i="33" s="1"/>
  <c r="AK227" i="33"/>
  <c r="AO227" i="33" s="1"/>
  <c r="D272" i="33"/>
  <c r="C274" i="33"/>
  <c r="D274" i="33" s="1"/>
  <c r="T247" i="31"/>
  <c r="X247" i="31" s="1"/>
  <c r="X249" i="31" s="1"/>
  <c r="AK191" i="33"/>
  <c r="AO191" i="33" s="1"/>
  <c r="C251" i="33"/>
  <c r="D251" i="33" s="1"/>
  <c r="M5" i="31"/>
  <c r="AC180" i="31"/>
  <c r="AD180" i="31" s="1"/>
  <c r="AH180" i="31" s="1"/>
  <c r="CX30" i="30"/>
  <c r="CJ30" i="30"/>
  <c r="CI30" i="30"/>
  <c r="CH30" i="30"/>
  <c r="CP30" i="30"/>
  <c r="CG30" i="30"/>
  <c r="CO30" i="30"/>
  <c r="CV30" i="30"/>
  <c r="CN30" i="30"/>
  <c r="CF30" i="30"/>
  <c r="CT30" i="30"/>
  <c r="CD30" i="30"/>
  <c r="CS30" i="30"/>
  <c r="CC30" i="30"/>
  <c r="CB30" i="30"/>
  <c r="CY30" i="30"/>
  <c r="CU30" i="30"/>
  <c r="CM30" i="30"/>
  <c r="CE30" i="30"/>
  <c r="CL30" i="30"/>
  <c r="CK30" i="30"/>
  <c r="CR30" i="30"/>
  <c r="CQ30" i="30"/>
  <c r="CW30" i="30"/>
  <c r="CS31" i="30"/>
  <c r="CR31" i="30"/>
  <c r="CB31" i="30"/>
  <c r="CQ31" i="30"/>
  <c r="CG31" i="30"/>
  <c r="CY31" i="30"/>
  <c r="CP31" i="30"/>
  <c r="CW31" i="30"/>
  <c r="CI31" i="30"/>
  <c r="CH31" i="30"/>
  <c r="CV31" i="30"/>
  <c r="CN31" i="30"/>
  <c r="CF31" i="30"/>
  <c r="CL31" i="30"/>
  <c r="CK31" i="30"/>
  <c r="CJ31" i="30"/>
  <c r="CX31" i="30"/>
  <c r="CO31" i="30"/>
  <c r="CU31" i="30"/>
  <c r="CM31" i="30"/>
  <c r="CE31" i="30"/>
  <c r="CT31" i="30"/>
  <c r="CD31" i="30"/>
  <c r="CC31" i="30"/>
  <c r="CX32" i="30"/>
  <c r="CJ32" i="30"/>
  <c r="CO32" i="30"/>
  <c r="CY32" i="30"/>
  <c r="CH32" i="30"/>
  <c r="CW32" i="30"/>
  <c r="CG32" i="30"/>
  <c r="CV32" i="30"/>
  <c r="CN32" i="30"/>
  <c r="CF32" i="30"/>
  <c r="CT32" i="30"/>
  <c r="CD32" i="30"/>
  <c r="CK32" i="30"/>
  <c r="CB32" i="30"/>
  <c r="CQ32" i="30"/>
  <c r="CU32" i="30"/>
  <c r="CM32" i="30"/>
  <c r="CE32" i="30"/>
  <c r="CL32" i="30"/>
  <c r="CS32" i="30"/>
  <c r="CC32" i="30"/>
  <c r="CR32" i="30"/>
  <c r="CI32" i="30"/>
  <c r="CP32" i="30"/>
  <c r="G116" i="29"/>
  <c r="T159" i="29"/>
  <c r="CB33" i="30"/>
  <c r="CI33" i="30"/>
  <c r="CP33" i="30"/>
  <c r="CR33" i="30"/>
  <c r="CX33" i="30"/>
  <c r="CW33" i="30"/>
  <c r="CO33" i="30"/>
  <c r="CG33" i="30"/>
  <c r="CV33" i="30"/>
  <c r="CN33" i="30"/>
  <c r="CF33" i="30"/>
  <c r="CL33" i="30"/>
  <c r="CK33" i="30"/>
  <c r="CC33" i="30"/>
  <c r="CJ33" i="30"/>
  <c r="CY33" i="30"/>
  <c r="CH33" i="30"/>
  <c r="CU33" i="30"/>
  <c r="CM33" i="30"/>
  <c r="CE33" i="30"/>
  <c r="CT33" i="30"/>
  <c r="CD33" i="30"/>
  <c r="CS33" i="30"/>
  <c r="CQ33" i="30"/>
  <c r="N74" i="29"/>
  <c r="I116" i="29"/>
  <c r="CK26" i="30"/>
  <c r="CJ26" i="30"/>
  <c r="CI26" i="30"/>
  <c r="CP26" i="30"/>
  <c r="CR26" i="30"/>
  <c r="CY26" i="30"/>
  <c r="CV26" i="30"/>
  <c r="CN26" i="30"/>
  <c r="CF26" i="30"/>
  <c r="CT26" i="30"/>
  <c r="CD26" i="30"/>
  <c r="CS26" i="30"/>
  <c r="CQ26" i="30"/>
  <c r="CH26" i="30"/>
  <c r="CU26" i="30"/>
  <c r="CM26" i="30"/>
  <c r="CE26" i="30"/>
  <c r="CL26" i="30"/>
  <c r="CC26" i="30"/>
  <c r="CB26" i="30"/>
  <c r="CX26" i="30"/>
  <c r="CW26" i="30"/>
  <c r="CO26" i="30"/>
  <c r="CG26" i="30"/>
  <c r="CJ34" i="30"/>
  <c r="CI34" i="30"/>
  <c r="CQ34" i="30"/>
  <c r="CX34" i="30"/>
  <c r="CP34" i="30"/>
  <c r="CW34" i="30"/>
  <c r="CO34" i="30"/>
  <c r="CG34" i="30"/>
  <c r="CV34" i="30"/>
  <c r="CN34" i="30"/>
  <c r="CF34" i="30"/>
  <c r="CT34" i="30"/>
  <c r="CD34" i="30"/>
  <c r="CS34" i="30"/>
  <c r="CK34" i="30"/>
  <c r="CC34" i="30"/>
  <c r="CR34" i="30"/>
  <c r="CB34" i="30"/>
  <c r="CH34" i="30"/>
  <c r="CU34" i="30"/>
  <c r="CM34" i="30"/>
  <c r="CE34" i="30"/>
  <c r="CL34" i="30"/>
  <c r="CY34" i="30"/>
  <c r="CS27" i="30"/>
  <c r="CY27" i="30"/>
  <c r="CI27" i="30"/>
  <c r="CH27" i="30"/>
  <c r="CP27" i="30"/>
  <c r="CX27" i="30"/>
  <c r="CV27" i="30"/>
  <c r="CN27" i="30"/>
  <c r="CF27" i="30"/>
  <c r="CL27" i="30"/>
  <c r="CK27" i="30"/>
  <c r="CR27" i="30"/>
  <c r="CB27" i="30"/>
  <c r="CU27" i="30"/>
  <c r="CM27" i="30"/>
  <c r="CE27" i="30"/>
  <c r="CT27" i="30"/>
  <c r="CD27" i="30"/>
  <c r="CC27" i="30"/>
  <c r="CJ27" i="30"/>
  <c r="CQ27" i="30"/>
  <c r="CW27" i="30"/>
  <c r="CO27" i="30"/>
  <c r="CG27" i="30"/>
  <c r="CK35" i="30"/>
  <c r="CB35" i="30"/>
  <c r="CI35" i="30"/>
  <c r="CP35" i="30"/>
  <c r="CR35" i="30"/>
  <c r="CH35" i="30"/>
  <c r="CW35" i="30"/>
  <c r="CO35" i="30"/>
  <c r="CG35" i="30"/>
  <c r="CV35" i="30"/>
  <c r="CN35" i="30"/>
  <c r="CF35" i="30"/>
  <c r="CL35" i="30"/>
  <c r="CS35" i="30"/>
  <c r="CC35" i="30"/>
  <c r="CJ35" i="30"/>
  <c r="CQ35" i="30"/>
  <c r="CX35" i="30"/>
  <c r="CU35" i="30"/>
  <c r="CM35" i="30"/>
  <c r="CE35" i="30"/>
  <c r="CT35" i="30"/>
  <c r="CD35" i="30"/>
  <c r="CY35" i="30"/>
  <c r="DH99" i="30"/>
  <c r="DH100" i="30" s="1"/>
  <c r="DH101" i="30" s="1"/>
  <c r="DP99" i="30"/>
  <c r="DP100" i="30" s="1"/>
  <c r="DP101" i="30" s="1"/>
  <c r="DX99" i="30"/>
  <c r="I72" i="29"/>
  <c r="Z155" i="29"/>
  <c r="CB28" i="30"/>
  <c r="CX28" i="30"/>
  <c r="CJ28" i="30"/>
  <c r="CI28" i="30"/>
  <c r="CY28" i="30"/>
  <c r="CP28" i="30"/>
  <c r="CW28" i="30"/>
  <c r="CV28" i="30"/>
  <c r="CN28" i="30"/>
  <c r="CF28" i="30"/>
  <c r="CT28" i="30"/>
  <c r="CD28" i="30"/>
  <c r="CK28" i="30"/>
  <c r="CQ28" i="30"/>
  <c r="CH28" i="30"/>
  <c r="CU28" i="30"/>
  <c r="CM28" i="30"/>
  <c r="CE28" i="30"/>
  <c r="CL28" i="30"/>
  <c r="CS28" i="30"/>
  <c r="CC28" i="30"/>
  <c r="CR28" i="30"/>
  <c r="CG28" i="30"/>
  <c r="CO28" i="30"/>
  <c r="J72" i="29"/>
  <c r="CK29" i="30"/>
  <c r="CR29" i="30"/>
  <c r="CQ29" i="30"/>
  <c r="CH29" i="30"/>
  <c r="CO29" i="30"/>
  <c r="CJ29" i="30"/>
  <c r="CW29" i="30"/>
  <c r="CV29" i="30"/>
  <c r="CN29" i="30"/>
  <c r="CF29" i="30"/>
  <c r="CL29" i="30"/>
  <c r="CC29" i="30"/>
  <c r="CB29" i="30"/>
  <c r="CY29" i="30"/>
  <c r="CX29" i="30"/>
  <c r="CU29" i="30"/>
  <c r="CM29" i="30"/>
  <c r="CE29" i="30"/>
  <c r="CT29" i="30"/>
  <c r="CD29" i="30"/>
  <c r="CS29" i="30"/>
  <c r="CI29" i="30"/>
  <c r="CP29" i="30"/>
  <c r="CG29" i="30"/>
  <c r="R25" i="29"/>
  <c r="W72" i="29"/>
  <c r="O113" i="29"/>
  <c r="J116" i="29"/>
  <c r="K46" i="29"/>
  <c r="Z26" i="29"/>
  <c r="R68" i="29"/>
  <c r="C113" i="29"/>
  <c r="P113" i="29"/>
  <c r="J25" i="29"/>
  <c r="C73" i="29"/>
  <c r="D113" i="29"/>
  <c r="R113" i="29"/>
  <c r="Z115" i="29"/>
  <c r="O116" i="29"/>
  <c r="K156" i="29"/>
  <c r="K110" i="29"/>
  <c r="G113" i="29"/>
  <c r="S113" i="29"/>
  <c r="Q116" i="29"/>
  <c r="M156" i="29"/>
  <c r="X161" i="29"/>
  <c r="L72" i="29"/>
  <c r="H113" i="29"/>
  <c r="U113" i="29"/>
  <c r="C116" i="29"/>
  <c r="S116" i="29"/>
  <c r="N72" i="29"/>
  <c r="G111" i="29"/>
  <c r="J113" i="29"/>
  <c r="X113" i="29"/>
  <c r="D116" i="29"/>
  <c r="Y116" i="29"/>
  <c r="V157" i="29"/>
  <c r="P162" i="29"/>
  <c r="S72" i="29"/>
  <c r="Y111" i="29"/>
  <c r="K113" i="29"/>
  <c r="Y113" i="29"/>
  <c r="Y119" i="29"/>
  <c r="C155" i="29"/>
  <c r="L26" i="29"/>
  <c r="S47" i="29"/>
  <c r="W70" i="29"/>
  <c r="K73" i="29"/>
  <c r="C76" i="29"/>
  <c r="R110" i="29"/>
  <c r="Z111" i="29"/>
  <c r="Z116" i="29"/>
  <c r="V117" i="29"/>
  <c r="D26" i="29"/>
  <c r="K47" i="29"/>
  <c r="N71" i="29"/>
  <c r="R73" i="29"/>
  <c r="N76" i="29"/>
  <c r="X117" i="29"/>
  <c r="P156" i="29"/>
  <c r="C162" i="29"/>
  <c r="C47" i="29"/>
  <c r="M68" i="29"/>
  <c r="P71" i="29"/>
  <c r="Q76" i="29"/>
  <c r="D111" i="29"/>
  <c r="G153" i="29"/>
  <c r="K155" i="29"/>
  <c r="R156" i="29"/>
  <c r="D159" i="29"/>
  <c r="C161" i="29"/>
  <c r="H162" i="29"/>
  <c r="F111" i="29"/>
  <c r="T155" i="29"/>
  <c r="Y156" i="29"/>
  <c r="J159" i="29"/>
  <c r="G161" i="29"/>
  <c r="M162" i="29"/>
  <c r="C3" i="29"/>
  <c r="H154" i="29"/>
  <c r="K159" i="29"/>
  <c r="H161" i="29"/>
  <c r="J69" i="29"/>
  <c r="M111" i="29"/>
  <c r="O154" i="29"/>
  <c r="C157" i="29"/>
  <c r="R159" i="29"/>
  <c r="K161" i="29"/>
  <c r="W162" i="29"/>
  <c r="D75" i="29"/>
  <c r="C110" i="29"/>
  <c r="N111" i="29"/>
  <c r="P117" i="29"/>
  <c r="T154" i="29"/>
  <c r="E156" i="29"/>
  <c r="H157" i="29"/>
  <c r="S159" i="29"/>
  <c r="V161" i="29"/>
  <c r="U68" i="29"/>
  <c r="K70" i="29"/>
  <c r="X71" i="29"/>
  <c r="K72" i="29"/>
  <c r="V72" i="29"/>
  <c r="Z73" i="29"/>
  <c r="P74" i="29"/>
  <c r="F75" i="29"/>
  <c r="E76" i="29"/>
  <c r="R76" i="29"/>
  <c r="C19" i="29"/>
  <c r="C6" i="29" s="1"/>
  <c r="C10" i="29" s="1"/>
  <c r="C4" i="29"/>
  <c r="C20" i="29"/>
  <c r="C21" i="29" s="1"/>
  <c r="C7" i="29" s="1"/>
  <c r="C12" i="29" s="1"/>
  <c r="L68" i="29"/>
  <c r="L5" i="29"/>
  <c r="L9" i="29" s="1"/>
  <c r="L4" i="29"/>
  <c r="L20" i="29"/>
  <c r="L21" i="29" s="1"/>
  <c r="L7" i="29" s="1"/>
  <c r="L12" i="29" s="1"/>
  <c r="L3" i="29"/>
  <c r="L19" i="29"/>
  <c r="L6" i="29" s="1"/>
  <c r="L10" i="29" s="1"/>
  <c r="T5" i="29"/>
  <c r="T9" i="29" s="1"/>
  <c r="T4" i="29"/>
  <c r="T20" i="29"/>
  <c r="T21" i="29" s="1"/>
  <c r="T7" i="29" s="1"/>
  <c r="T12" i="29" s="1"/>
  <c r="T3" i="29"/>
  <c r="T19" i="29"/>
  <c r="T6" i="29" s="1"/>
  <c r="T10" i="29" s="1"/>
  <c r="K153" i="29"/>
  <c r="I154" i="29"/>
  <c r="W154" i="29"/>
  <c r="L155" i="29"/>
  <c r="H156" i="29"/>
  <c r="S156" i="29"/>
  <c r="K157" i="29"/>
  <c r="H158" i="29"/>
  <c r="C159" i="29"/>
  <c r="Z159" i="29"/>
  <c r="O161" i="29"/>
  <c r="D162" i="29"/>
  <c r="Q162" i="29"/>
  <c r="K5" i="29"/>
  <c r="K9" i="29" s="1"/>
  <c r="K4" i="29"/>
  <c r="K20" i="29"/>
  <c r="K21" i="29" s="1"/>
  <c r="K7" i="29" s="1"/>
  <c r="K12" i="29" s="1"/>
  <c r="K3" i="29"/>
  <c r="K19" i="29"/>
  <c r="K6" i="29" s="1"/>
  <c r="K10" i="29" s="1"/>
  <c r="F158" i="29"/>
  <c r="C5" i="29"/>
  <c r="C9" i="29" s="1"/>
  <c r="Z68" i="29"/>
  <c r="Q70" i="29"/>
  <c r="Q74" i="29"/>
  <c r="K75" i="29"/>
  <c r="G76" i="29"/>
  <c r="S76" i="29"/>
  <c r="D5" i="29"/>
  <c r="D9" i="29" s="1"/>
  <c r="D4" i="29"/>
  <c r="D20" i="29"/>
  <c r="D21" i="29" s="1"/>
  <c r="D7" i="29" s="1"/>
  <c r="D12" i="29" s="1"/>
  <c r="D3" i="29"/>
  <c r="D19" i="29"/>
  <c r="D6" i="29" s="1"/>
  <c r="D10" i="29" s="1"/>
  <c r="M5" i="29"/>
  <c r="M9" i="29" s="1"/>
  <c r="M4" i="29"/>
  <c r="M20" i="29"/>
  <c r="M21" i="29" s="1"/>
  <c r="M7" i="29" s="1"/>
  <c r="M12" i="29" s="1"/>
  <c r="M3" i="29"/>
  <c r="M19" i="29"/>
  <c r="M6" i="29" s="1"/>
  <c r="M10" i="29" s="1"/>
  <c r="U5" i="29"/>
  <c r="U9" i="29" s="1"/>
  <c r="U19" i="29"/>
  <c r="U6" i="29" s="1"/>
  <c r="U10" i="29" s="1"/>
  <c r="U4" i="29"/>
  <c r="U20" i="29"/>
  <c r="U21" i="29" s="1"/>
  <c r="U7" i="29" s="1"/>
  <c r="U12" i="29" s="1"/>
  <c r="U3" i="29"/>
  <c r="M117" i="29"/>
  <c r="Y117" i="29"/>
  <c r="V153" i="29"/>
  <c r="K154" i="29"/>
  <c r="X154" i="29"/>
  <c r="R155" i="29"/>
  <c r="I156" i="29"/>
  <c r="U156" i="29"/>
  <c r="P157" i="29"/>
  <c r="M158" i="29"/>
  <c r="P161" i="29"/>
  <c r="E162" i="29"/>
  <c r="U162" i="29"/>
  <c r="D46" i="29"/>
  <c r="L46" i="29"/>
  <c r="T46" i="29"/>
  <c r="X70" i="29"/>
  <c r="M72" i="29"/>
  <c r="Z72" i="29"/>
  <c r="C74" i="29"/>
  <c r="S74" i="29"/>
  <c r="N75" i="29"/>
  <c r="I76" i="29"/>
  <c r="T76" i="29"/>
  <c r="E5" i="29"/>
  <c r="E9" i="29" s="1"/>
  <c r="E4" i="29"/>
  <c r="E20" i="29"/>
  <c r="E21" i="29" s="1"/>
  <c r="E7" i="29" s="1"/>
  <c r="E12" i="29" s="1"/>
  <c r="E3" i="29"/>
  <c r="E19" i="29"/>
  <c r="E6" i="29" s="1"/>
  <c r="E10" i="29" s="1"/>
  <c r="N68" i="29"/>
  <c r="N19" i="29"/>
  <c r="N6" i="29" s="1"/>
  <c r="N10" i="29" s="1"/>
  <c r="N5" i="29"/>
  <c r="N9" i="29" s="1"/>
  <c r="N4" i="29"/>
  <c r="N20" i="29"/>
  <c r="N21" i="29" s="1"/>
  <c r="N7" i="29" s="1"/>
  <c r="N12" i="29" s="1"/>
  <c r="N3" i="29"/>
  <c r="R72" i="30" s="1"/>
  <c r="V68" i="29"/>
  <c r="V19" i="29"/>
  <c r="V6" i="29" s="1"/>
  <c r="V10" i="29" s="1"/>
  <c r="V3" i="29"/>
  <c r="Z72" i="30" s="1"/>
  <c r="V5" i="29"/>
  <c r="V9" i="29" s="1"/>
  <c r="V4" i="29"/>
  <c r="V20" i="29"/>
  <c r="V21" i="29" s="1"/>
  <c r="V7" i="29" s="1"/>
  <c r="V12" i="29" s="1"/>
  <c r="G110" i="29"/>
  <c r="K111" i="29"/>
  <c r="G112" i="29"/>
  <c r="P116" i="29"/>
  <c r="C117" i="29"/>
  <c r="O117" i="29"/>
  <c r="Z117" i="29"/>
  <c r="W153" i="29"/>
  <c r="N154" i="29"/>
  <c r="Y154" i="29"/>
  <c r="S155" i="29"/>
  <c r="J156" i="29"/>
  <c r="X156" i="29"/>
  <c r="S157" i="29"/>
  <c r="N158" i="29"/>
  <c r="S161" i="29"/>
  <c r="G162" i="29"/>
  <c r="V162" i="29"/>
  <c r="F74" i="29"/>
  <c r="V74" i="29"/>
  <c r="P75" i="29"/>
  <c r="J76" i="29"/>
  <c r="U76" i="29"/>
  <c r="F68" i="29"/>
  <c r="F19" i="29"/>
  <c r="F6" i="29" s="1"/>
  <c r="F10" i="29" s="1"/>
  <c r="F3" i="29"/>
  <c r="F5" i="29"/>
  <c r="F9" i="29" s="1"/>
  <c r="F20" i="29"/>
  <c r="F21" i="29" s="1"/>
  <c r="F7" i="29" s="1"/>
  <c r="F12" i="29" s="1"/>
  <c r="F4" i="29"/>
  <c r="O20" i="29"/>
  <c r="O21" i="29" s="1"/>
  <c r="O7" i="29" s="1"/>
  <c r="O12" i="29" s="1"/>
  <c r="O3" i="29"/>
  <c r="S72" i="30" s="1"/>
  <c r="O19" i="29"/>
  <c r="O6" i="29" s="1"/>
  <c r="O10" i="29" s="1"/>
  <c r="O4" i="29"/>
  <c r="O5" i="29"/>
  <c r="O9" i="29" s="1"/>
  <c r="W20" i="29"/>
  <c r="W21" i="29" s="1"/>
  <c r="W7" i="29" s="1"/>
  <c r="W12" i="29" s="1"/>
  <c r="W3" i="29"/>
  <c r="AA72" i="30" s="1"/>
  <c r="W19" i="29"/>
  <c r="W6" i="29" s="1"/>
  <c r="W10" i="29" s="1"/>
  <c r="W5" i="29"/>
  <c r="W9" i="29" s="1"/>
  <c r="W4" i="29"/>
  <c r="G20" i="29"/>
  <c r="G21" i="29" s="1"/>
  <c r="G7" i="29" s="1"/>
  <c r="G12" i="29" s="1"/>
  <c r="G5" i="29"/>
  <c r="G9" i="29" s="1"/>
  <c r="G3" i="29"/>
  <c r="G4" i="29"/>
  <c r="G19" i="29"/>
  <c r="G6" i="29" s="1"/>
  <c r="G10" i="29" s="1"/>
  <c r="I112" i="29"/>
  <c r="O158" i="29"/>
  <c r="I25" i="29"/>
  <c r="Q25" i="29"/>
  <c r="Y25" i="29"/>
  <c r="E68" i="29"/>
  <c r="R69" i="29"/>
  <c r="C71" i="29"/>
  <c r="Q72" i="29"/>
  <c r="H74" i="29"/>
  <c r="X74" i="29"/>
  <c r="V75" i="29"/>
  <c r="K76" i="29"/>
  <c r="W76" i="29"/>
  <c r="H4" i="29"/>
  <c r="H20" i="29"/>
  <c r="H21" i="29" s="1"/>
  <c r="H7" i="29" s="1"/>
  <c r="H12" i="29" s="1"/>
  <c r="H3" i="29"/>
  <c r="H19" i="29"/>
  <c r="H6" i="29" s="1"/>
  <c r="H10" i="29" s="1"/>
  <c r="H5" i="29"/>
  <c r="H9" i="29" s="1"/>
  <c r="P4" i="29"/>
  <c r="P20" i="29"/>
  <c r="P21" i="29" s="1"/>
  <c r="P7" i="29" s="1"/>
  <c r="P12" i="29" s="1"/>
  <c r="P3" i="29"/>
  <c r="T72" i="30" s="1"/>
  <c r="P19" i="29"/>
  <c r="P6" i="29" s="1"/>
  <c r="P10" i="29" s="1"/>
  <c r="P5" i="29"/>
  <c r="P9" i="29" s="1"/>
  <c r="X4" i="29"/>
  <c r="X20" i="29"/>
  <c r="X21" i="29" s="1"/>
  <c r="X7" i="29" s="1"/>
  <c r="X12" i="29" s="1"/>
  <c r="X3" i="29"/>
  <c r="X19" i="29"/>
  <c r="X6" i="29" s="1"/>
  <c r="X10" i="29" s="1"/>
  <c r="X5" i="29"/>
  <c r="X9" i="29" s="1"/>
  <c r="J112" i="29"/>
  <c r="E154" i="29"/>
  <c r="P154" i="29"/>
  <c r="X157" i="29"/>
  <c r="Q158" i="29"/>
  <c r="L159" i="29"/>
  <c r="F161" i="29"/>
  <c r="W161" i="29"/>
  <c r="L162" i="29"/>
  <c r="Y162" i="29"/>
  <c r="S5" i="29"/>
  <c r="S9" i="29" s="1"/>
  <c r="S4" i="29"/>
  <c r="S20" i="29"/>
  <c r="S21" i="29" s="1"/>
  <c r="S7" i="29" s="1"/>
  <c r="S12" i="29" s="1"/>
  <c r="S3" i="29"/>
  <c r="S19" i="29"/>
  <c r="S6" i="29" s="1"/>
  <c r="S10" i="29" s="1"/>
  <c r="J68" i="29"/>
  <c r="F71" i="29"/>
  <c r="G72" i="29"/>
  <c r="R72" i="29"/>
  <c r="J73" i="29"/>
  <c r="I74" i="29"/>
  <c r="Y74" i="29"/>
  <c r="X75" i="29"/>
  <c r="L76" i="29"/>
  <c r="Z76" i="29"/>
  <c r="I5" i="29"/>
  <c r="I9" i="29" s="1"/>
  <c r="I4" i="29"/>
  <c r="I20" i="29"/>
  <c r="I21" i="29" s="1"/>
  <c r="I7" i="29" s="1"/>
  <c r="I12" i="29" s="1"/>
  <c r="I3" i="29"/>
  <c r="I19" i="29"/>
  <c r="I6" i="29" s="1"/>
  <c r="I10" i="29" s="1"/>
  <c r="Q5" i="29"/>
  <c r="Q9" i="29" s="1"/>
  <c r="Q4" i="29"/>
  <c r="Q20" i="29"/>
  <c r="Q21" i="29" s="1"/>
  <c r="Q7" i="29" s="1"/>
  <c r="Q12" i="29" s="1"/>
  <c r="Q3" i="29"/>
  <c r="U72" i="30" s="1"/>
  <c r="Q19" i="29"/>
  <c r="Q6" i="29" s="1"/>
  <c r="Q10" i="29" s="1"/>
  <c r="Y5" i="29"/>
  <c r="Y9" i="29" s="1"/>
  <c r="Y4" i="29"/>
  <c r="Y20" i="29"/>
  <c r="Y21" i="29" s="1"/>
  <c r="Y7" i="29" s="1"/>
  <c r="Y12" i="29" s="1"/>
  <c r="Y3" i="29"/>
  <c r="Y19" i="29"/>
  <c r="Y6" i="29" s="1"/>
  <c r="Y10" i="29" s="1"/>
  <c r="Q111" i="29"/>
  <c r="S112" i="29"/>
  <c r="T116" i="29"/>
  <c r="G117" i="29"/>
  <c r="R117" i="29"/>
  <c r="Q119" i="29"/>
  <c r="C153" i="29"/>
  <c r="F154" i="29"/>
  <c r="Q154" i="29"/>
  <c r="W158" i="29"/>
  <c r="S69" i="29"/>
  <c r="J5" i="29"/>
  <c r="J9" i="29" s="1"/>
  <c r="J4" i="29"/>
  <c r="J20" i="29"/>
  <c r="J21" i="29" s="1"/>
  <c r="J7" i="29" s="1"/>
  <c r="J12" i="29" s="1"/>
  <c r="J3" i="29"/>
  <c r="J19" i="29"/>
  <c r="J6" i="29" s="1"/>
  <c r="J10" i="29" s="1"/>
  <c r="R5" i="29"/>
  <c r="R9" i="29" s="1"/>
  <c r="R4" i="29"/>
  <c r="R20" i="29"/>
  <c r="R21" i="29" s="1"/>
  <c r="R7" i="29" s="1"/>
  <c r="R12" i="29" s="1"/>
  <c r="R3" i="29"/>
  <c r="V72" i="30" s="1"/>
  <c r="R19" i="29"/>
  <c r="R6" i="29" s="1"/>
  <c r="R10" i="29" s="1"/>
  <c r="Z5" i="29"/>
  <c r="Z9" i="29" s="1"/>
  <c r="Z4" i="29"/>
  <c r="Z20" i="29"/>
  <c r="Z21" i="29" s="1"/>
  <c r="Z7" i="29" s="1"/>
  <c r="Z12" i="29" s="1"/>
  <c r="Z3" i="29"/>
  <c r="Z19" i="29"/>
  <c r="Z6" i="29" s="1"/>
  <c r="Z10" i="29" s="1"/>
  <c r="R111" i="29"/>
  <c r="T112" i="29"/>
  <c r="X116" i="29"/>
  <c r="H117" i="29"/>
  <c r="U117" i="29"/>
  <c r="S119" i="29"/>
  <c r="F153" i="29"/>
  <c r="G154" i="29"/>
  <c r="S154" i="29"/>
  <c r="J155" i="29"/>
  <c r="C156" i="29"/>
  <c r="Q156" i="29"/>
  <c r="F157" i="29"/>
  <c r="E158" i="29"/>
  <c r="X158" i="29"/>
  <c r="N162" i="29"/>
  <c r="AC171" i="31"/>
  <c r="AG171" i="31"/>
  <c r="AB171" i="31"/>
  <c r="AA171" i="31"/>
  <c r="AA179" i="31"/>
  <c r="AC179" i="31"/>
  <c r="AJ179" i="31"/>
  <c r="CF99" i="30"/>
  <c r="CN99" i="30"/>
  <c r="CV99" i="30"/>
  <c r="CV100" i="30" s="1"/>
  <c r="CV101" i="30" s="1"/>
  <c r="DI99" i="30"/>
  <c r="DQ99" i="30"/>
  <c r="DY99" i="30"/>
  <c r="AC165" i="31"/>
  <c r="AC177" i="31"/>
  <c r="AF177" i="31"/>
  <c r="AC181" i="31"/>
  <c r="AA181" i="31"/>
  <c r="AB201" i="31"/>
  <c r="AA201" i="31"/>
  <c r="AB170" i="31"/>
  <c r="AC186" i="31"/>
  <c r="W186" i="31"/>
  <c r="AB202" i="31"/>
  <c r="AA202" i="31"/>
  <c r="AD202" i="31" s="1"/>
  <c r="V206" i="31"/>
  <c r="AB206" i="31"/>
  <c r="AA222" i="31"/>
  <c r="AG222" i="31"/>
  <c r="AJ165" i="31"/>
  <c r="AG197" i="31"/>
  <c r="U172" i="31"/>
  <c r="AC200" i="31"/>
  <c r="AD200" i="31" s="1"/>
  <c r="AC212" i="31"/>
  <c r="AE212" i="31" s="1"/>
  <c r="AC216" i="31"/>
  <c r="AD216" i="31" s="1"/>
  <c r="AA220" i="31"/>
  <c r="AD220" i="31" s="1"/>
  <c r="AH220" i="31" s="1"/>
  <c r="AC223" i="31"/>
  <c r="AE223" i="31" s="1"/>
  <c r="V28" i="31"/>
  <c r="X28" i="31" s="1"/>
  <c r="AB27" i="31" s="1"/>
  <c r="AC27" i="31" s="1"/>
  <c r="V30" i="31"/>
  <c r="V32" i="31"/>
  <c r="X32" i="31" s="1"/>
  <c r="AJ27" i="31" s="1"/>
  <c r="D68" i="29"/>
  <c r="T68" i="29"/>
  <c r="K69" i="29"/>
  <c r="I70" i="29"/>
  <c r="L71" i="29"/>
  <c r="W71" i="29"/>
  <c r="F72" i="29"/>
  <c r="O72" i="29"/>
  <c r="Y72" i="29"/>
  <c r="S73" i="29"/>
  <c r="I75" i="29"/>
  <c r="T75" i="29"/>
  <c r="D76" i="29"/>
  <c r="M76" i="29"/>
  <c r="V76" i="29"/>
  <c r="C68" i="29"/>
  <c r="K68" i="29"/>
  <c r="S68" i="29"/>
  <c r="Z110" i="29"/>
  <c r="Y110" i="29"/>
  <c r="Q110" i="29"/>
  <c r="I110" i="29"/>
  <c r="X110" i="29"/>
  <c r="P110" i="29"/>
  <c r="H110" i="29"/>
  <c r="V110" i="29"/>
  <c r="N110" i="29"/>
  <c r="F110" i="29"/>
  <c r="U110" i="29"/>
  <c r="M110" i="29"/>
  <c r="E110" i="29"/>
  <c r="T110" i="29"/>
  <c r="L110" i="29"/>
  <c r="D110" i="29"/>
  <c r="J166" i="31"/>
  <c r="C234" i="33" s="1"/>
  <c r="D234" i="33" s="1"/>
  <c r="AC204" i="31"/>
  <c r="AE204" i="31" s="1"/>
  <c r="G68" i="29"/>
  <c r="W68" i="29"/>
  <c r="P70" i="29"/>
  <c r="D71" i="29"/>
  <c r="O71" i="29"/>
  <c r="Y71" i="29"/>
  <c r="C75" i="29"/>
  <c r="L75" i="29"/>
  <c r="W75" i="29"/>
  <c r="F76" i="29"/>
  <c r="O76" i="29"/>
  <c r="Y76" i="29"/>
  <c r="J110" i="29"/>
  <c r="AA209" i="31"/>
  <c r="AI225" i="31"/>
  <c r="Y69" i="29"/>
  <c r="S70" i="29"/>
  <c r="G71" i="29"/>
  <c r="Q71" i="29"/>
  <c r="T72" i="29"/>
  <c r="E75" i="29"/>
  <c r="O75" i="29"/>
  <c r="Y75" i="29"/>
  <c r="AV91" i="30"/>
  <c r="AV99" i="30" s="1"/>
  <c r="AV100" i="30" s="1"/>
  <c r="AV101" i="30" s="1"/>
  <c r="BC92" i="30"/>
  <c r="BK92" i="30"/>
  <c r="BK99" i="30" s="1"/>
  <c r="BK100" i="30" s="1"/>
  <c r="BK101" i="30" s="1"/>
  <c r="BS92" i="30"/>
  <c r="BS99" i="30" s="1"/>
  <c r="BS100" i="30" s="1"/>
  <c r="BS101" i="30" s="1"/>
  <c r="O110" i="29"/>
  <c r="W160" i="29"/>
  <c r="Z160" i="29"/>
  <c r="M160" i="29"/>
  <c r="Y160" i="29"/>
  <c r="K160" i="29"/>
  <c r="X160" i="29"/>
  <c r="J160" i="29"/>
  <c r="S160" i="29"/>
  <c r="H160" i="29"/>
  <c r="U160" i="29"/>
  <c r="R160" i="29"/>
  <c r="Q160" i="29"/>
  <c r="P160" i="29"/>
  <c r="I160" i="29"/>
  <c r="E160" i="29"/>
  <c r="C160" i="29"/>
  <c r="H71" i="29"/>
  <c r="S71" i="29"/>
  <c r="BH92" i="30"/>
  <c r="BH99" i="30" s="1"/>
  <c r="BH100" i="30" s="1"/>
  <c r="BH101" i="30" s="1"/>
  <c r="BP92" i="30"/>
  <c r="BP99" i="30" s="1"/>
  <c r="BP100" i="30" s="1"/>
  <c r="BP101" i="30" s="1"/>
  <c r="AA223" i="31"/>
  <c r="C69" i="29"/>
  <c r="C70" i="29"/>
  <c r="Y70" i="29"/>
  <c r="I71" i="29"/>
  <c r="T71" i="29"/>
  <c r="G75" i="29"/>
  <c r="Q75" i="29"/>
  <c r="I68" i="29"/>
  <c r="Q68" i="29"/>
  <c r="Y68" i="29"/>
  <c r="S110" i="29"/>
  <c r="K71" i="29"/>
  <c r="V71" i="29"/>
  <c r="H75" i="29"/>
  <c r="S75" i="29"/>
  <c r="E113" i="29"/>
  <c r="M113" i="29"/>
  <c r="V113" i="29"/>
  <c r="E111" i="29"/>
  <c r="Q112" i="29"/>
  <c r="F113" i="29"/>
  <c r="N113" i="29"/>
  <c r="W113" i="29"/>
  <c r="H116" i="29"/>
  <c r="R116" i="29"/>
  <c r="J117" i="29"/>
  <c r="S117" i="29"/>
  <c r="D158" i="29"/>
  <c r="I113" i="29"/>
  <c r="Q113" i="29"/>
  <c r="Z113" i="29"/>
  <c r="K116" i="29"/>
  <c r="W116" i="29"/>
  <c r="E117" i="29"/>
  <c r="N117" i="29"/>
  <c r="W117" i="29"/>
  <c r="I119" i="29"/>
  <c r="U153" i="29"/>
  <c r="P153" i="29"/>
  <c r="O153" i="29"/>
  <c r="N153" i="29"/>
  <c r="X153" i="29"/>
  <c r="H153" i="29"/>
  <c r="Z158" i="29"/>
  <c r="U158" i="29"/>
  <c r="L158" i="29"/>
  <c r="C158" i="29"/>
  <c r="T158" i="29"/>
  <c r="K158" i="29"/>
  <c r="S158" i="29"/>
  <c r="I158" i="29"/>
  <c r="Y158" i="29"/>
  <c r="P158" i="29"/>
  <c r="G158" i="29"/>
  <c r="G157" i="29"/>
  <c r="W157" i="29"/>
  <c r="F162" i="29"/>
  <c r="O162" i="29"/>
  <c r="X162" i="29"/>
  <c r="C154" i="29"/>
  <c r="L154" i="29"/>
  <c r="U154" i="29"/>
  <c r="Z156" i="29"/>
  <c r="N157" i="29"/>
  <c r="I162" i="29"/>
  <c r="S162" i="29"/>
  <c r="D154" i="29"/>
  <c r="M154" i="29"/>
  <c r="V154" i="29"/>
  <c r="O157" i="29"/>
  <c r="N161" i="29"/>
  <c r="K162" i="29"/>
  <c r="T162" i="29"/>
  <c r="S54" i="31"/>
  <c r="V45" i="31" s="1"/>
  <c r="AG191" i="28"/>
  <c r="AC49" i="31"/>
  <c r="AC51" i="31"/>
  <c r="AI198" i="28"/>
  <c r="W198" i="28"/>
  <c r="BB91" i="31"/>
  <c r="BK91" i="31"/>
  <c r="BI105" i="31"/>
  <c r="AB105" i="31"/>
  <c r="Z28" i="28"/>
  <c r="W32" i="28"/>
  <c r="AI197" i="28"/>
  <c r="W206" i="28"/>
  <c r="AJ206" i="28"/>
  <c r="V184" i="31"/>
  <c r="J129" i="31"/>
  <c r="AA28" i="28"/>
  <c r="W183" i="31"/>
  <c r="W184" i="31"/>
  <c r="AC48" i="31"/>
  <c r="AC50" i="31"/>
  <c r="AI206" i="28"/>
  <c r="AC28" i="28"/>
  <c r="AC31" i="28"/>
  <c r="U183" i="28"/>
  <c r="AE198" i="28"/>
  <c r="C77" i="29"/>
  <c r="J77" i="29"/>
  <c r="K77" i="29"/>
  <c r="R77" i="29"/>
  <c r="S77" i="29"/>
  <c r="Z77" i="29"/>
  <c r="T275" i="31"/>
  <c r="X275" i="31" s="1"/>
  <c r="X236" i="31"/>
  <c r="C309" i="33" s="1"/>
  <c r="BS33" i="30"/>
  <c r="F17" i="30"/>
  <c r="C252" i="33" s="1"/>
  <c r="D252" i="33" s="1"/>
  <c r="AX26" i="30"/>
  <c r="AX71" i="30" s="1"/>
  <c r="BO26" i="30"/>
  <c r="DF29" i="30"/>
  <c r="DH30" i="30"/>
  <c r="DU30" i="30"/>
  <c r="BA33" i="30"/>
  <c r="BP33" i="30"/>
  <c r="F22" i="30"/>
  <c r="C256" i="33" s="1"/>
  <c r="BD26" i="30"/>
  <c r="DO29" i="30"/>
  <c r="DM30" i="30"/>
  <c r="DY30" i="30"/>
  <c r="BF33" i="30"/>
  <c r="J167" i="31"/>
  <c r="C235" i="33" s="1"/>
  <c r="BE33" i="30"/>
  <c r="BG26" i="30"/>
  <c r="BG71" i="30" s="1"/>
  <c r="DS29" i="30"/>
  <c r="DN30" i="30"/>
  <c r="EA30" i="30"/>
  <c r="BI33" i="30"/>
  <c r="BH26" i="30"/>
  <c r="DY29" i="30"/>
  <c r="DW30" i="30"/>
  <c r="DP30" i="30"/>
  <c r="AW33" i="30"/>
  <c r="BK33" i="30"/>
  <c r="DL29" i="30"/>
  <c r="BI26" i="30"/>
  <c r="BI71" i="30" s="1"/>
  <c r="EB29" i="30"/>
  <c r="DE30" i="30"/>
  <c r="DQ30" i="30"/>
  <c r="AX33" i="30"/>
  <c r="BM33" i="30"/>
  <c r="AV26" i="30"/>
  <c r="BL26" i="30"/>
  <c r="BL60" i="30" s="1"/>
  <c r="DF30" i="30"/>
  <c r="AZ33" i="30"/>
  <c r="BN33" i="30"/>
  <c r="X273" i="31"/>
  <c r="X240" i="31"/>
  <c r="W274" i="31"/>
  <c r="AM218" i="33" s="1"/>
  <c r="X271" i="31"/>
  <c r="AH93" i="31"/>
  <c r="BL105" i="31"/>
  <c r="AP107" i="31"/>
  <c r="AB25" i="28"/>
  <c r="AF197" i="28"/>
  <c r="AW93" i="31"/>
  <c r="BF107" i="31"/>
  <c r="AI212" i="31"/>
  <c r="BA93" i="31"/>
  <c r="BI107" i="31"/>
  <c r="AI184" i="31"/>
  <c r="AF226" i="31"/>
  <c r="AG183" i="28"/>
  <c r="BN93" i="31"/>
  <c r="AH105" i="31"/>
  <c r="BQ107" i="31"/>
  <c r="AJ184" i="31"/>
  <c r="C206" i="30"/>
  <c r="AA33" i="28"/>
  <c r="AJ183" i="28"/>
  <c r="AC89" i="31"/>
  <c r="BR93" i="31"/>
  <c r="AD103" i="31"/>
  <c r="AJ105" i="31"/>
  <c r="BV107" i="31"/>
  <c r="X27" i="28"/>
  <c r="U166" i="28"/>
  <c r="U172" i="28"/>
  <c r="AN105" i="31"/>
  <c r="AC107" i="31"/>
  <c r="Z31" i="28"/>
  <c r="AD171" i="28"/>
  <c r="AH171" i="28" s="1"/>
  <c r="V187" i="28"/>
  <c r="W197" i="28"/>
  <c r="BC105" i="31"/>
  <c r="AF107" i="31"/>
  <c r="U212" i="31"/>
  <c r="Y28" i="28"/>
  <c r="AA31" i="28"/>
  <c r="AE202" i="28"/>
  <c r="AE93" i="31"/>
  <c r="AR104" i="31"/>
  <c r="V39" i="31"/>
  <c r="J125" i="31"/>
  <c r="AB217" i="31"/>
  <c r="K73" i="28"/>
  <c r="AF179" i="28"/>
  <c r="BS106" i="31"/>
  <c r="AX106" i="31"/>
  <c r="AE106" i="31"/>
  <c r="BQ106" i="31"/>
  <c r="AU106" i="31"/>
  <c r="AC106" i="31"/>
  <c r="BA106" i="31"/>
  <c r="AT106" i="31"/>
  <c r="BV106" i="31"/>
  <c r="AS106" i="31"/>
  <c r="BO106" i="31"/>
  <c r="AM106" i="31"/>
  <c r="BK106" i="31"/>
  <c r="AK106" i="31"/>
  <c r="BI106" i="31"/>
  <c r="AI106" i="31"/>
  <c r="BE106" i="31"/>
  <c r="AH106" i="31"/>
  <c r="X233" i="31"/>
  <c r="C306" i="33" s="1"/>
  <c r="AA193" i="31"/>
  <c r="BQ90" i="31"/>
  <c r="AK90" i="31"/>
  <c r="BA90" i="31"/>
  <c r="BV96" i="31"/>
  <c r="BR96" i="31"/>
  <c r="AY96" i="31"/>
  <c r="AH96" i="31"/>
  <c r="BN96" i="31"/>
  <c r="AX96" i="31"/>
  <c r="AF96" i="31"/>
  <c r="BB96" i="31"/>
  <c r="AB96" i="31"/>
  <c r="BT96" i="31"/>
  <c r="AV96" i="31"/>
  <c r="BS96" i="31"/>
  <c r="AR96" i="31"/>
  <c r="BL96" i="31"/>
  <c r="AQ96" i="31"/>
  <c r="BJ96" i="31"/>
  <c r="AN96" i="31"/>
  <c r="BH96" i="31"/>
  <c r="AM96" i="31"/>
  <c r="BG96" i="31"/>
  <c r="AL96" i="31"/>
  <c r="BV100" i="31"/>
  <c r="BG100" i="31"/>
  <c r="AO100" i="31"/>
  <c r="BU100" i="31"/>
  <c r="BC100" i="31"/>
  <c r="AM100" i="31"/>
  <c r="BJ100" i="31"/>
  <c r="AL100" i="31"/>
  <c r="BI100" i="31"/>
  <c r="AH100" i="31"/>
  <c r="BB100" i="31"/>
  <c r="AG100" i="31"/>
  <c r="AY100" i="31"/>
  <c r="AD100" i="31"/>
  <c r="BS100" i="31"/>
  <c r="AX100" i="31"/>
  <c r="AC100" i="31"/>
  <c r="BR100" i="31"/>
  <c r="AW100" i="31"/>
  <c r="BN100" i="31"/>
  <c r="AS100" i="31"/>
  <c r="CA59" i="30"/>
  <c r="AB27" i="28"/>
  <c r="W175" i="28"/>
  <c r="AG182" i="28"/>
  <c r="U191" i="28"/>
  <c r="AJ197" i="28"/>
  <c r="V203" i="28"/>
  <c r="BP99" i="31"/>
  <c r="AI99" i="31"/>
  <c r="V204" i="31"/>
  <c r="W204" i="31"/>
  <c r="U204" i="31"/>
  <c r="AI204" i="31"/>
  <c r="U179" i="28"/>
  <c r="V191" i="28"/>
  <c r="AD96" i="31"/>
  <c r="AG203" i="28"/>
  <c r="U199" i="28"/>
  <c r="BC96" i="31"/>
  <c r="AQ100" i="31"/>
  <c r="AF172" i="28"/>
  <c r="F70" i="29"/>
  <c r="N70" i="29"/>
  <c r="V70" i="29"/>
  <c r="AZ91" i="30"/>
  <c r="AZ16" i="30"/>
  <c r="AZ72" i="30" s="1"/>
  <c r="AZ92" i="30"/>
  <c r="AZ17" i="30"/>
  <c r="AZ62" i="30" s="1"/>
  <c r="AZ108" i="30" s="1"/>
  <c r="AT8" i="30"/>
  <c r="AT94" i="30"/>
  <c r="AF166" i="28"/>
  <c r="Y31" i="28"/>
  <c r="W182" i="28"/>
  <c r="AD183" i="28"/>
  <c r="AH183" i="28" s="1"/>
  <c r="AF191" i="28"/>
  <c r="AJ199" i="28"/>
  <c r="BP16" i="30"/>
  <c r="BP61" i="30" s="1"/>
  <c r="BI97" i="31"/>
  <c r="BM97" i="31"/>
  <c r="BA97" i="31"/>
  <c r="AN97" i="31"/>
  <c r="AB97" i="31"/>
  <c r="AC169" i="31"/>
  <c r="V220" i="31"/>
  <c r="AI220" i="31"/>
  <c r="W220" i="31"/>
  <c r="AE220" i="31"/>
  <c r="U220" i="31"/>
  <c r="AE175" i="28"/>
  <c r="AE179" i="28"/>
  <c r="V173" i="31"/>
  <c r="U173" i="31"/>
  <c r="AJ173" i="31"/>
  <c r="AI173" i="31"/>
  <c r="AC221" i="31"/>
  <c r="AE221" i="31" s="1"/>
  <c r="DD59" i="30"/>
  <c r="AX99" i="30"/>
  <c r="BF99" i="30"/>
  <c r="BF100" i="30" s="1"/>
  <c r="BF101" i="30" s="1"/>
  <c r="BN99" i="30"/>
  <c r="BN100" i="30" s="1"/>
  <c r="BN101" i="30" s="1"/>
  <c r="CG99" i="30"/>
  <c r="CO99" i="30"/>
  <c r="CO100" i="30" s="1"/>
  <c r="CO101" i="30" s="1"/>
  <c r="CW99" i="30"/>
  <c r="BR89" i="31"/>
  <c r="AE89" i="31"/>
  <c r="AG93" i="31"/>
  <c r="AX93" i="31"/>
  <c r="BQ93" i="31"/>
  <c r="BJ103" i="31"/>
  <c r="M113" i="31"/>
  <c r="U207" i="31"/>
  <c r="V207" i="31"/>
  <c r="J128" i="31"/>
  <c r="AB190" i="31"/>
  <c r="AC194" i="31"/>
  <c r="AE194" i="31" s="1"/>
  <c r="AA194" i="31"/>
  <c r="AB214" i="31"/>
  <c r="AJ214" i="31"/>
  <c r="AB218" i="31"/>
  <c r="AA218" i="31"/>
  <c r="AD218" i="31" s="1"/>
  <c r="V218" i="31"/>
  <c r="AC226" i="31"/>
  <c r="AE226" i="31" s="1"/>
  <c r="AA226" i="31"/>
  <c r="X68" i="29"/>
  <c r="AC185" i="31"/>
  <c r="AE185" i="31" s="1"/>
  <c r="AB226" i="31"/>
  <c r="DL99" i="30"/>
  <c r="DL100" i="30" s="1"/>
  <c r="DL101" i="30" s="1"/>
  <c r="DT99" i="30"/>
  <c r="DT100" i="30" s="1"/>
  <c r="DT101" i="30" s="1"/>
  <c r="EB99" i="30"/>
  <c r="AK89" i="31"/>
  <c r="AI92" i="31"/>
  <c r="AK93" i="31"/>
  <c r="BB93" i="31"/>
  <c r="V201" i="31"/>
  <c r="AG202" i="31"/>
  <c r="AJ226" i="31"/>
  <c r="U223" i="31"/>
  <c r="V223" i="31"/>
  <c r="Z118" i="29"/>
  <c r="R118" i="29"/>
  <c r="J118" i="29"/>
  <c r="Y118" i="29"/>
  <c r="Q118" i="29"/>
  <c r="I118" i="29"/>
  <c r="X118" i="29"/>
  <c r="P118" i="29"/>
  <c r="H118" i="29"/>
  <c r="W118" i="29"/>
  <c r="O118" i="29"/>
  <c r="G118" i="29"/>
  <c r="V118" i="29"/>
  <c r="N118" i="29"/>
  <c r="F118" i="29"/>
  <c r="U118" i="29"/>
  <c r="C118" i="29"/>
  <c r="T118" i="29"/>
  <c r="S118" i="29"/>
  <c r="M118" i="29"/>
  <c r="L118" i="29"/>
  <c r="K118" i="29"/>
  <c r="E118" i="29"/>
  <c r="T234" i="31"/>
  <c r="T272" i="31" s="1"/>
  <c r="B83" i="30"/>
  <c r="F84" i="30" s="1"/>
  <c r="BA99" i="30"/>
  <c r="BQ99" i="30"/>
  <c r="BQ100" i="30" s="1"/>
  <c r="BQ101" i="30" s="1"/>
  <c r="CB99" i="30"/>
  <c r="CB100" i="30" s="1"/>
  <c r="CB101" i="30" s="1"/>
  <c r="CJ99" i="30"/>
  <c r="CR99" i="30"/>
  <c r="AM89" i="31"/>
  <c r="BQ91" i="31"/>
  <c r="BU91" i="31"/>
  <c r="BD92" i="31"/>
  <c r="AL93" i="31"/>
  <c r="BC93" i="31"/>
  <c r="V175" i="31"/>
  <c r="V215" i="31"/>
  <c r="AB223" i="31"/>
  <c r="DF99" i="30"/>
  <c r="DN99" i="30"/>
  <c r="DV99" i="30"/>
  <c r="DV100" i="30" s="1"/>
  <c r="DV101" i="30" s="1"/>
  <c r="AU89" i="31"/>
  <c r="AJ91" i="31"/>
  <c r="AM93" i="31"/>
  <c r="BI93" i="31"/>
  <c r="AM98" i="31"/>
  <c r="AB165" i="31"/>
  <c r="AA170" i="31"/>
  <c r="AA198" i="31"/>
  <c r="AC201" i="31"/>
  <c r="AE201" i="31" s="1"/>
  <c r="AC205" i="31"/>
  <c r="AE205" i="31" s="1"/>
  <c r="BC99" i="30"/>
  <c r="BC100" i="30" s="1"/>
  <c r="BC101" i="30" s="1"/>
  <c r="CD99" i="30"/>
  <c r="CD100" i="30" s="1"/>
  <c r="CD101" i="30" s="1"/>
  <c r="CL99" i="30"/>
  <c r="CL100" i="30" s="1"/>
  <c r="CL101" i="30" s="1"/>
  <c r="CT99" i="30"/>
  <c r="CT100" i="30" s="1"/>
  <c r="CT101" i="30" s="1"/>
  <c r="BC89" i="31"/>
  <c r="AS91" i="31"/>
  <c r="AP93" i="31"/>
  <c r="BC98" i="31"/>
  <c r="BV105" i="31"/>
  <c r="AV105" i="31"/>
  <c r="AU105" i="31"/>
  <c r="BP105" i="31"/>
  <c r="BL107" i="31"/>
  <c r="BA107" i="31"/>
  <c r="AV107" i="31"/>
  <c r="BT107" i="31"/>
  <c r="AG172" i="31"/>
  <c r="AJ175" i="31"/>
  <c r="AA206" i="31"/>
  <c r="AU59" i="30"/>
  <c r="BU93" i="31"/>
  <c r="BV93" i="31"/>
  <c r="BG93" i="31"/>
  <c r="AS93" i="31"/>
  <c r="BS93" i="31"/>
  <c r="BF93" i="31"/>
  <c r="AQ93" i="31"/>
  <c r="AC93" i="31"/>
  <c r="AU93" i="31"/>
  <c r="BM93" i="31"/>
  <c r="AC173" i="31"/>
  <c r="AE173" i="31" s="1"/>
  <c r="AB193" i="31"/>
  <c r="AC217" i="31"/>
  <c r="AB225" i="31"/>
  <c r="AA225" i="31"/>
  <c r="Z114" i="29"/>
  <c r="R114" i="29"/>
  <c r="J114" i="29"/>
  <c r="Y114" i="29"/>
  <c r="Q114" i="29"/>
  <c r="I114" i="29"/>
  <c r="W114" i="29"/>
  <c r="O114" i="29"/>
  <c r="G114" i="29"/>
  <c r="X114" i="29"/>
  <c r="L114" i="29"/>
  <c r="V114" i="29"/>
  <c r="K114" i="29"/>
  <c r="U114" i="29"/>
  <c r="H114" i="29"/>
  <c r="T114" i="29"/>
  <c r="F114" i="29"/>
  <c r="S114" i="29"/>
  <c r="E114" i="29"/>
  <c r="P114" i="29"/>
  <c r="D114" i="29"/>
  <c r="N114" i="29"/>
  <c r="C114" i="29"/>
  <c r="X115" i="29"/>
  <c r="P115" i="29"/>
  <c r="H115" i="29"/>
  <c r="W115" i="29"/>
  <c r="O115" i="29"/>
  <c r="G115" i="29"/>
  <c r="U115" i="29"/>
  <c r="M115" i="29"/>
  <c r="E115" i="29"/>
  <c r="AC219" i="31"/>
  <c r="AC227" i="31"/>
  <c r="D69" i="29"/>
  <c r="L69" i="29"/>
  <c r="T69" i="29"/>
  <c r="J70" i="29"/>
  <c r="R70" i="29"/>
  <c r="Z70" i="29"/>
  <c r="D73" i="29"/>
  <c r="L73" i="29"/>
  <c r="T73" i="29"/>
  <c r="J74" i="29"/>
  <c r="R74" i="29"/>
  <c r="Z74" i="29"/>
  <c r="D77" i="29"/>
  <c r="L77" i="29"/>
  <c r="T77" i="29"/>
  <c r="X111" i="29"/>
  <c r="P111" i="29"/>
  <c r="H111" i="29"/>
  <c r="W111" i="29"/>
  <c r="O111" i="29"/>
  <c r="K112" i="29"/>
  <c r="W112" i="29"/>
  <c r="C115" i="29"/>
  <c r="Q115" i="29"/>
  <c r="C119" i="29"/>
  <c r="E69" i="29"/>
  <c r="M69" i="29"/>
  <c r="U69" i="29"/>
  <c r="E73" i="29"/>
  <c r="M73" i="29"/>
  <c r="U73" i="29"/>
  <c r="E77" i="29"/>
  <c r="M77" i="29"/>
  <c r="U77" i="29"/>
  <c r="L112" i="29"/>
  <c r="X112" i="29"/>
  <c r="D115" i="29"/>
  <c r="R115" i="29"/>
  <c r="X119" i="29"/>
  <c r="P119" i="29"/>
  <c r="H119" i="29"/>
  <c r="W119" i="29"/>
  <c r="O119" i="29"/>
  <c r="G119" i="29"/>
  <c r="V119" i="29"/>
  <c r="N119" i="29"/>
  <c r="F119" i="29"/>
  <c r="U119" i="29"/>
  <c r="M119" i="29"/>
  <c r="E119" i="29"/>
  <c r="T119" i="29"/>
  <c r="L119" i="29"/>
  <c r="D119" i="29"/>
  <c r="W212" i="31"/>
  <c r="H68" i="29"/>
  <c r="P68" i="29"/>
  <c r="F69" i="29"/>
  <c r="N69" i="29"/>
  <c r="V69" i="29"/>
  <c r="D70" i="29"/>
  <c r="L70" i="29"/>
  <c r="T70" i="29"/>
  <c r="J71" i="29"/>
  <c r="R71" i="29"/>
  <c r="Z71" i="29"/>
  <c r="H72" i="29"/>
  <c r="P72" i="29"/>
  <c r="F73" i="29"/>
  <c r="N73" i="29"/>
  <c r="V73" i="29"/>
  <c r="D74" i="29"/>
  <c r="L74" i="29"/>
  <c r="T74" i="29"/>
  <c r="J75" i="29"/>
  <c r="R75" i="29"/>
  <c r="Z75" i="29"/>
  <c r="H76" i="29"/>
  <c r="P76" i="29"/>
  <c r="F77" i="29"/>
  <c r="N77" i="29"/>
  <c r="V77" i="29"/>
  <c r="I111" i="29"/>
  <c r="S111" i="29"/>
  <c r="C112" i="29"/>
  <c r="O112" i="29"/>
  <c r="Y112" i="29"/>
  <c r="F115" i="29"/>
  <c r="S115" i="29"/>
  <c r="J119" i="29"/>
  <c r="G69" i="29"/>
  <c r="O69" i="29"/>
  <c r="W69" i="29"/>
  <c r="E70" i="29"/>
  <c r="M70" i="29"/>
  <c r="U70" i="29"/>
  <c r="G73" i="29"/>
  <c r="O73" i="29"/>
  <c r="W73" i="29"/>
  <c r="E74" i="29"/>
  <c r="M74" i="29"/>
  <c r="U74" i="29"/>
  <c r="G77" i="29"/>
  <c r="O77" i="29"/>
  <c r="W77" i="29"/>
  <c r="J111" i="29"/>
  <c r="T111" i="29"/>
  <c r="D112" i="29"/>
  <c r="P112" i="29"/>
  <c r="I115" i="29"/>
  <c r="T115" i="29"/>
  <c r="K119" i="29"/>
  <c r="H69" i="29"/>
  <c r="P69" i="29"/>
  <c r="X69" i="29"/>
  <c r="H73" i="29"/>
  <c r="P73" i="29"/>
  <c r="X73" i="29"/>
  <c r="H77" i="29"/>
  <c r="P77" i="29"/>
  <c r="X77" i="29"/>
  <c r="V112" i="29"/>
  <c r="N112" i="29"/>
  <c r="F112" i="29"/>
  <c r="U112" i="29"/>
  <c r="M112" i="29"/>
  <c r="E112" i="29"/>
  <c r="J115" i="29"/>
  <c r="V115" i="29"/>
  <c r="I69" i="29"/>
  <c r="Q69" i="29"/>
  <c r="G70" i="29"/>
  <c r="O70" i="29"/>
  <c r="E71" i="29"/>
  <c r="M71" i="29"/>
  <c r="I73" i="29"/>
  <c r="Q73" i="29"/>
  <c r="G74" i="29"/>
  <c r="O74" i="29"/>
  <c r="M75" i="29"/>
  <c r="I77" i="29"/>
  <c r="Q77" i="29"/>
  <c r="C111" i="29"/>
  <c r="L111" i="29"/>
  <c r="V111" i="29"/>
  <c r="H112" i="29"/>
  <c r="R112" i="29"/>
  <c r="K115" i="29"/>
  <c r="Y115" i="29"/>
  <c r="R119" i="29"/>
  <c r="I153" i="29"/>
  <c r="Q153" i="29"/>
  <c r="Y153" i="29"/>
  <c r="E155" i="29"/>
  <c r="M155" i="29"/>
  <c r="U155" i="29"/>
  <c r="I157" i="29"/>
  <c r="Q157" i="29"/>
  <c r="Y157" i="29"/>
  <c r="E159" i="29"/>
  <c r="M159" i="29"/>
  <c r="U159" i="29"/>
  <c r="I161" i="29"/>
  <c r="Q161" i="29"/>
  <c r="Y161" i="29"/>
  <c r="J153" i="29"/>
  <c r="R153" i="29"/>
  <c r="Z153" i="29"/>
  <c r="F155" i="29"/>
  <c r="N155" i="29"/>
  <c r="V155" i="29"/>
  <c r="D156" i="29"/>
  <c r="L156" i="29"/>
  <c r="T156" i="29"/>
  <c r="J157" i="29"/>
  <c r="R157" i="29"/>
  <c r="Z157" i="29"/>
  <c r="F159" i="29"/>
  <c r="N159" i="29"/>
  <c r="V159" i="29"/>
  <c r="D160" i="29"/>
  <c r="L160" i="29"/>
  <c r="T160" i="29"/>
  <c r="J161" i="29"/>
  <c r="R161" i="29"/>
  <c r="Z161" i="29"/>
  <c r="G155" i="29"/>
  <c r="O155" i="29"/>
  <c r="W155" i="29"/>
  <c r="G159" i="29"/>
  <c r="O159" i="29"/>
  <c r="W159" i="29"/>
  <c r="E116" i="29"/>
  <c r="M116" i="29"/>
  <c r="U116" i="29"/>
  <c r="D153" i="29"/>
  <c r="L153" i="29"/>
  <c r="T153" i="29"/>
  <c r="J154" i="29"/>
  <c r="R154" i="29"/>
  <c r="H155" i="29"/>
  <c r="P155" i="29"/>
  <c r="X155" i="29"/>
  <c r="F156" i="29"/>
  <c r="N156" i="29"/>
  <c r="V156" i="29"/>
  <c r="D157" i="29"/>
  <c r="L157" i="29"/>
  <c r="T157" i="29"/>
  <c r="J158" i="29"/>
  <c r="R158" i="29"/>
  <c r="H159" i="29"/>
  <c r="P159" i="29"/>
  <c r="X159" i="29"/>
  <c r="F160" i="29"/>
  <c r="N160" i="29"/>
  <c r="V160" i="29"/>
  <c r="D161" i="29"/>
  <c r="L161" i="29"/>
  <c r="T161" i="29"/>
  <c r="J162" i="29"/>
  <c r="R162" i="29"/>
  <c r="F116" i="29"/>
  <c r="N116" i="29"/>
  <c r="L117" i="29"/>
  <c r="E153" i="29"/>
  <c r="M153" i="29"/>
  <c r="I155" i="29"/>
  <c r="Q155" i="29"/>
  <c r="G156" i="29"/>
  <c r="O156" i="29"/>
  <c r="E157" i="29"/>
  <c r="M157" i="29"/>
  <c r="I159" i="29"/>
  <c r="Q159" i="29"/>
  <c r="G160" i="29"/>
  <c r="O160" i="29"/>
  <c r="E161" i="29"/>
  <c r="M161" i="29"/>
  <c r="AK27" i="31"/>
  <c r="AK28" i="31" s="1"/>
  <c r="J38" i="31" s="1"/>
  <c r="X30" i="31"/>
  <c r="AO28" i="31"/>
  <c r="AP28" i="31" s="1"/>
  <c r="AO27" i="31"/>
  <c r="AP27" i="31" s="1"/>
  <c r="H4" i="31"/>
  <c r="L5" i="31"/>
  <c r="G6" i="31"/>
  <c r="L6" i="31" s="1"/>
  <c r="AS90" i="31"/>
  <c r="BI90" i="31"/>
  <c r="BR92" i="31"/>
  <c r="BJ92" i="31"/>
  <c r="BB92" i="31"/>
  <c r="AT92" i="31"/>
  <c r="AL92" i="31"/>
  <c r="AD92" i="31"/>
  <c r="BV92" i="31"/>
  <c r="BF92" i="31"/>
  <c r="AX92" i="31"/>
  <c r="AP92" i="31"/>
  <c r="AH92" i="31"/>
  <c r="BM92" i="31"/>
  <c r="BC92" i="31"/>
  <c r="AR92" i="31"/>
  <c r="AG92" i="31"/>
  <c r="BL92" i="31"/>
  <c r="BA92" i="31"/>
  <c r="AQ92" i="31"/>
  <c r="AF92" i="31"/>
  <c r="BU92" i="31"/>
  <c r="BK92" i="31"/>
  <c r="AZ92" i="31"/>
  <c r="AO92" i="31"/>
  <c r="AE92" i="31"/>
  <c r="BT92" i="31"/>
  <c r="BI92" i="31"/>
  <c r="AY92" i="31"/>
  <c r="AN92" i="31"/>
  <c r="AC92" i="31"/>
  <c r="BS92" i="31"/>
  <c r="BH92" i="31"/>
  <c r="AW92" i="31"/>
  <c r="AM92" i="31"/>
  <c r="AB92" i="31"/>
  <c r="BQ92" i="31"/>
  <c r="BG92" i="31"/>
  <c r="AV92" i="31"/>
  <c r="AK92" i="31"/>
  <c r="BP92" i="31"/>
  <c r="BE92" i="31"/>
  <c r="AU92" i="31"/>
  <c r="AJ92" i="31"/>
  <c r="AY99" i="31"/>
  <c r="BP90" i="31"/>
  <c r="BH90" i="31"/>
  <c r="AZ90" i="31"/>
  <c r="AR90" i="31"/>
  <c r="AJ90" i="31"/>
  <c r="AB90" i="31"/>
  <c r="BO90" i="31"/>
  <c r="BG90" i="31"/>
  <c r="AY90" i="31"/>
  <c r="AQ90" i="31"/>
  <c r="AI90" i="31"/>
  <c r="BV90" i="31"/>
  <c r="BN90" i="31"/>
  <c r="BF90" i="31"/>
  <c r="AX90" i="31"/>
  <c r="AP90" i="31"/>
  <c r="AH90" i="31"/>
  <c r="BU90" i="31"/>
  <c r="BM90" i="31"/>
  <c r="BE90" i="31"/>
  <c r="AW90" i="31"/>
  <c r="AO90" i="31"/>
  <c r="BT90" i="31"/>
  <c r="BD90" i="31"/>
  <c r="AV90" i="31"/>
  <c r="AN90" i="31"/>
  <c r="AF90" i="31"/>
  <c r="BS90" i="31"/>
  <c r="BK90" i="31"/>
  <c r="BC90" i="31"/>
  <c r="AU90" i="31"/>
  <c r="AM90" i="31"/>
  <c r="AE90" i="31"/>
  <c r="BR90" i="31"/>
  <c r="BJ90" i="31"/>
  <c r="BB90" i="31"/>
  <c r="AT90" i="31"/>
  <c r="AL90" i="31"/>
  <c r="AD90" i="31"/>
  <c r="BP98" i="31"/>
  <c r="BH98" i="31"/>
  <c r="AZ98" i="31"/>
  <c r="AR98" i="31"/>
  <c r="AJ98" i="31"/>
  <c r="BT98" i="31"/>
  <c r="BL98" i="31"/>
  <c r="BD98" i="31"/>
  <c r="AV98" i="31"/>
  <c r="AN98" i="31"/>
  <c r="AF98" i="31"/>
  <c r="BQ98" i="31"/>
  <c r="BF98" i="31"/>
  <c r="AU98" i="31"/>
  <c r="AK98" i="31"/>
  <c r="BO98" i="31"/>
  <c r="BE98" i="31"/>
  <c r="AT98" i="31"/>
  <c r="AI98" i="31"/>
  <c r="BV98" i="31"/>
  <c r="BK98" i="31"/>
  <c r="BA98" i="31"/>
  <c r="AP98" i="31"/>
  <c r="AE98" i="31"/>
  <c r="BS98" i="31"/>
  <c r="BB98" i="31"/>
  <c r="AL98" i="31"/>
  <c r="BR98" i="31"/>
  <c r="AY98" i="31"/>
  <c r="AH98" i="31"/>
  <c r="BN98" i="31"/>
  <c r="AX98" i="31"/>
  <c r="AG98" i="31"/>
  <c r="AW98" i="31"/>
  <c r="AD98" i="31"/>
  <c r="BJ98" i="31"/>
  <c r="AS98" i="31"/>
  <c r="AC98" i="31"/>
  <c r="BI98" i="31"/>
  <c r="AQ98" i="31"/>
  <c r="AB98" i="31"/>
  <c r="BG98" i="31"/>
  <c r="AO98" i="31"/>
  <c r="AS92" i="31"/>
  <c r="AC90" i="31"/>
  <c r="BV99" i="31"/>
  <c r="BF99" i="31"/>
  <c r="AX99" i="31"/>
  <c r="AP99" i="31"/>
  <c r="AH99" i="31"/>
  <c r="BR99" i="31"/>
  <c r="BJ99" i="31"/>
  <c r="BB99" i="31"/>
  <c r="AT99" i="31"/>
  <c r="AL99" i="31"/>
  <c r="AD99" i="31"/>
  <c r="BL99" i="31"/>
  <c r="BA99" i="31"/>
  <c r="AQ99" i="31"/>
  <c r="AF99" i="31"/>
  <c r="BU99" i="31"/>
  <c r="BK99" i="31"/>
  <c r="AZ99" i="31"/>
  <c r="AO99" i="31"/>
  <c r="AE99" i="31"/>
  <c r="BQ99" i="31"/>
  <c r="BG99" i="31"/>
  <c r="AV99" i="31"/>
  <c r="AK99" i="31"/>
  <c r="BO99" i="31"/>
  <c r="AW99" i="31"/>
  <c r="AG99" i="31"/>
  <c r="BM99" i="31"/>
  <c r="AU99" i="31"/>
  <c r="AC99" i="31"/>
  <c r="BI99" i="31"/>
  <c r="AS99" i="31"/>
  <c r="AB99" i="31"/>
  <c r="BH99" i="31"/>
  <c r="AR99" i="31"/>
  <c r="BE99" i="31"/>
  <c r="AN99" i="31"/>
  <c r="BT99" i="31"/>
  <c r="BD99" i="31"/>
  <c r="AM99" i="31"/>
  <c r="BS99" i="31"/>
  <c r="BC99" i="31"/>
  <c r="AJ99" i="31"/>
  <c r="AF89" i="31"/>
  <c r="AN89" i="31"/>
  <c r="AV89" i="31"/>
  <c r="BD89" i="31"/>
  <c r="BL89" i="31"/>
  <c r="BT89" i="31"/>
  <c r="AB91" i="31"/>
  <c r="AK91" i="31"/>
  <c r="AT91" i="31"/>
  <c r="BC91" i="31"/>
  <c r="BV91" i="31"/>
  <c r="AD93" i="31"/>
  <c r="AO93" i="31"/>
  <c r="AY93" i="31"/>
  <c r="BJ93" i="31"/>
  <c r="AE96" i="31"/>
  <c r="AP96" i="31"/>
  <c r="AZ96" i="31"/>
  <c r="AC97" i="31"/>
  <c r="AO97" i="31"/>
  <c r="BB97" i="31"/>
  <c r="BQ97" i="31"/>
  <c r="AF103" i="31"/>
  <c r="BP103" i="31"/>
  <c r="AX104" i="31"/>
  <c r="AG89" i="31"/>
  <c r="AO89" i="31"/>
  <c r="AW89" i="31"/>
  <c r="BE89" i="31"/>
  <c r="BM89" i="31"/>
  <c r="BU89" i="31"/>
  <c r="AC91" i="31"/>
  <c r="AL91" i="31"/>
  <c r="AU91" i="31"/>
  <c r="BE91" i="31"/>
  <c r="BN91" i="31"/>
  <c r="AD97" i="31"/>
  <c r="AR97" i="31"/>
  <c r="BD97" i="31"/>
  <c r="BR97" i="31"/>
  <c r="AJ103" i="31"/>
  <c r="BR103" i="31"/>
  <c r="AH89" i="31"/>
  <c r="AP89" i="31"/>
  <c r="AX89" i="31"/>
  <c r="BF89" i="31"/>
  <c r="BN89" i="31"/>
  <c r="BV89" i="31"/>
  <c r="AD91" i="31"/>
  <c r="AM91" i="31"/>
  <c r="AW91" i="31"/>
  <c r="BF91" i="31"/>
  <c r="BO91" i="31"/>
  <c r="AF97" i="31"/>
  <c r="AS97" i="31"/>
  <c r="BE97" i="31"/>
  <c r="BS97" i="31"/>
  <c r="AQ103" i="31"/>
  <c r="BS104" i="31"/>
  <c r="BK104" i="31"/>
  <c r="BC104" i="31"/>
  <c r="AU104" i="31"/>
  <c r="AM104" i="31"/>
  <c r="AE104" i="31"/>
  <c r="BQ104" i="31"/>
  <c r="BI104" i="31"/>
  <c r="BA104" i="31"/>
  <c r="AS104" i="31"/>
  <c r="AK104" i="31"/>
  <c r="AC104" i="31"/>
  <c r="BO104" i="31"/>
  <c r="BG104" i="31"/>
  <c r="AY104" i="31"/>
  <c r="AQ104" i="31"/>
  <c r="AI104" i="31"/>
  <c r="BN104" i="31"/>
  <c r="BB104" i="31"/>
  <c r="AO104" i="31"/>
  <c r="AB104" i="31"/>
  <c r="BV104" i="31"/>
  <c r="BJ104" i="31"/>
  <c r="AW104" i="31"/>
  <c r="AJ104" i="31"/>
  <c r="BU104" i="31"/>
  <c r="BH104" i="31"/>
  <c r="AV104" i="31"/>
  <c r="AH104" i="31"/>
  <c r="BT104" i="31"/>
  <c r="BF104" i="31"/>
  <c r="AT104" i="31"/>
  <c r="AG104" i="31"/>
  <c r="BP104" i="31"/>
  <c r="BD104" i="31"/>
  <c r="AP104" i="31"/>
  <c r="AD104" i="31"/>
  <c r="BE104" i="31"/>
  <c r="AI89" i="31"/>
  <c r="AQ89" i="31"/>
  <c r="AY89" i="31"/>
  <c r="BG89" i="31"/>
  <c r="BO89" i="31"/>
  <c r="AE91" i="31"/>
  <c r="AO91" i="31"/>
  <c r="AX91" i="31"/>
  <c r="BG91" i="31"/>
  <c r="BP91" i="31"/>
  <c r="BQ96" i="31"/>
  <c r="BI96" i="31"/>
  <c r="BA96" i="31"/>
  <c r="AS96" i="31"/>
  <c r="AK96" i="31"/>
  <c r="AC96" i="31"/>
  <c r="BU96" i="31"/>
  <c r="BM96" i="31"/>
  <c r="BE96" i="31"/>
  <c r="AW96" i="31"/>
  <c r="AO96" i="31"/>
  <c r="AG96" i="31"/>
  <c r="AI96" i="31"/>
  <c r="AT96" i="31"/>
  <c r="BD96" i="31"/>
  <c r="BO96" i="31"/>
  <c r="AG97" i="31"/>
  <c r="AT97" i="31"/>
  <c r="BH97" i="31"/>
  <c r="BU97" i="31"/>
  <c r="AR103" i="31"/>
  <c r="AJ89" i="31"/>
  <c r="AR89" i="31"/>
  <c r="AZ89" i="31"/>
  <c r="BH89" i="31"/>
  <c r="BP89" i="31"/>
  <c r="AG91" i="31"/>
  <c r="AP91" i="31"/>
  <c r="AY91" i="31"/>
  <c r="BH91" i="31"/>
  <c r="BP93" i="31"/>
  <c r="BH93" i="31"/>
  <c r="AZ93" i="31"/>
  <c r="AR93" i="31"/>
  <c r="AJ93" i="31"/>
  <c r="AB93" i="31"/>
  <c r="BT93" i="31"/>
  <c r="BL93" i="31"/>
  <c r="BD93" i="31"/>
  <c r="AV93" i="31"/>
  <c r="AN93" i="31"/>
  <c r="AF93" i="31"/>
  <c r="AI93" i="31"/>
  <c r="AT93" i="31"/>
  <c r="BE93" i="31"/>
  <c r="AJ96" i="31"/>
  <c r="AU96" i="31"/>
  <c r="BF96" i="31"/>
  <c r="BP96" i="31"/>
  <c r="AJ97" i="31"/>
  <c r="AV97" i="31"/>
  <c r="AF104" i="31"/>
  <c r="BM104" i="31"/>
  <c r="AS89" i="31"/>
  <c r="BA89" i="31"/>
  <c r="BI89" i="31"/>
  <c r="BQ89" i="31"/>
  <c r="BT91" i="31"/>
  <c r="BL91" i="31"/>
  <c r="BD91" i="31"/>
  <c r="AV91" i="31"/>
  <c r="AN91" i="31"/>
  <c r="AF91" i="31"/>
  <c r="AH91" i="31"/>
  <c r="AQ91" i="31"/>
  <c r="AZ91" i="31"/>
  <c r="BI91" i="31"/>
  <c r="BR91" i="31"/>
  <c r="BV97" i="31"/>
  <c r="BN97" i="31"/>
  <c r="BP97" i="31"/>
  <c r="BG97" i="31"/>
  <c r="AY97" i="31"/>
  <c r="AQ97" i="31"/>
  <c r="AI97" i="31"/>
  <c r="BO97" i="31"/>
  <c r="BF97" i="31"/>
  <c r="AX97" i="31"/>
  <c r="AP97" i="31"/>
  <c r="AH97" i="31"/>
  <c r="BT97" i="31"/>
  <c r="BK97" i="31"/>
  <c r="BC97" i="31"/>
  <c r="AU97" i="31"/>
  <c r="AM97" i="31"/>
  <c r="AE97" i="31"/>
  <c r="AK97" i="31"/>
  <c r="AW97" i="31"/>
  <c r="BJ97" i="31"/>
  <c r="BU103" i="31"/>
  <c r="BM103" i="31"/>
  <c r="BE103" i="31"/>
  <c r="AW103" i="31"/>
  <c r="AO103" i="31"/>
  <c r="AG103" i="31"/>
  <c r="BS103" i="31"/>
  <c r="BC103" i="31"/>
  <c r="AU103" i="31"/>
  <c r="AM103" i="31"/>
  <c r="AE103" i="31"/>
  <c r="BQ103" i="31"/>
  <c r="BI103" i="31"/>
  <c r="BA103" i="31"/>
  <c r="AS103" i="31"/>
  <c r="AK103" i="31"/>
  <c r="AC103" i="31"/>
  <c r="BT103" i="31"/>
  <c r="BG103" i="31"/>
  <c r="AT103" i="31"/>
  <c r="AH103" i="31"/>
  <c r="BO103" i="31"/>
  <c r="BB103" i="31"/>
  <c r="AP103" i="31"/>
  <c r="AB103" i="31"/>
  <c r="BN103" i="31"/>
  <c r="AZ103" i="31"/>
  <c r="AN103" i="31"/>
  <c r="BL103" i="31"/>
  <c r="AY103" i="31"/>
  <c r="AL103" i="31"/>
  <c r="BV103" i="31"/>
  <c r="BH103" i="31"/>
  <c r="AV103" i="31"/>
  <c r="AI103" i="31"/>
  <c r="BD103" i="31"/>
  <c r="AL104" i="31"/>
  <c r="BR104" i="31"/>
  <c r="AD89" i="31"/>
  <c r="AL89" i="31"/>
  <c r="AT89" i="31"/>
  <c r="BB89" i="31"/>
  <c r="BJ89" i="31"/>
  <c r="AI91" i="31"/>
  <c r="AR91" i="31"/>
  <c r="BA91" i="31"/>
  <c r="BJ91" i="31"/>
  <c r="BS91" i="31"/>
  <c r="AL97" i="31"/>
  <c r="AZ97" i="31"/>
  <c r="BF103" i="31"/>
  <c r="AN104" i="31"/>
  <c r="AE100" i="31"/>
  <c r="AP100" i="31"/>
  <c r="BA100" i="31"/>
  <c r="BK100" i="31"/>
  <c r="AM105" i="31"/>
  <c r="AZ105" i="31"/>
  <c r="BN105" i="31"/>
  <c r="BP106" i="31"/>
  <c r="BH106" i="31"/>
  <c r="AZ106" i="31"/>
  <c r="AR106" i="31"/>
  <c r="AJ106" i="31"/>
  <c r="AB106" i="31"/>
  <c r="BT106" i="31"/>
  <c r="BL106" i="31"/>
  <c r="BD106" i="31"/>
  <c r="AV106" i="31"/>
  <c r="AN106" i="31"/>
  <c r="AF106" i="31"/>
  <c r="BM106" i="31"/>
  <c r="BB106" i="31"/>
  <c r="AQ106" i="31"/>
  <c r="AG106" i="31"/>
  <c r="BU106" i="31"/>
  <c r="BJ106" i="31"/>
  <c r="AY106" i="31"/>
  <c r="AO106" i="31"/>
  <c r="AD106" i="31"/>
  <c r="BR106" i="31"/>
  <c r="BG106" i="31"/>
  <c r="AW106" i="31"/>
  <c r="AL106" i="31"/>
  <c r="AP106" i="31"/>
  <c r="BF106" i="31"/>
  <c r="AK107" i="31"/>
  <c r="X132" i="31"/>
  <c r="Y132" i="31" s="1"/>
  <c r="X133" i="31"/>
  <c r="Y133" i="31" s="1"/>
  <c r="X136" i="31"/>
  <c r="Y136" i="31" s="1"/>
  <c r="AA191" i="31"/>
  <c r="AC191" i="31"/>
  <c r="AD105" i="31"/>
  <c r="AP105" i="31"/>
  <c r="BD105" i="31"/>
  <c r="BS105" i="31"/>
  <c r="BT100" i="31"/>
  <c r="BL100" i="31"/>
  <c r="BD100" i="31"/>
  <c r="AV100" i="31"/>
  <c r="AN100" i="31"/>
  <c r="AF100" i="31"/>
  <c r="BP100" i="31"/>
  <c r="BH100" i="31"/>
  <c r="AZ100" i="31"/>
  <c r="AR100" i="31"/>
  <c r="AJ100" i="31"/>
  <c r="AB100" i="31"/>
  <c r="AI100" i="31"/>
  <c r="AT100" i="31"/>
  <c r="BE100" i="31"/>
  <c r="AE105" i="31"/>
  <c r="AR105" i="31"/>
  <c r="BE105" i="31"/>
  <c r="BU105" i="31"/>
  <c r="AK100" i="31"/>
  <c r="AU100" i="31"/>
  <c r="BF100" i="31"/>
  <c r="BQ100" i="31"/>
  <c r="AF105" i="31"/>
  <c r="AT105" i="31"/>
  <c r="BG105" i="31"/>
  <c r="BG107" i="31"/>
  <c r="AY107" i="31"/>
  <c r="AQ107" i="31"/>
  <c r="AI107" i="31"/>
  <c r="BS107" i="31"/>
  <c r="BK107" i="31"/>
  <c r="BC107" i="31"/>
  <c r="AU107" i="31"/>
  <c r="AM107" i="31"/>
  <c r="AE107" i="31"/>
  <c r="BU107" i="31"/>
  <c r="BJ107" i="31"/>
  <c r="AZ107" i="31"/>
  <c r="AO107" i="31"/>
  <c r="AD107" i="31"/>
  <c r="BR107" i="31"/>
  <c r="BH107" i="31"/>
  <c r="AW107" i="31"/>
  <c r="AL107" i="31"/>
  <c r="AB107" i="31"/>
  <c r="BP107" i="31"/>
  <c r="BE107" i="31"/>
  <c r="AT107" i="31"/>
  <c r="AJ107" i="31"/>
  <c r="BN107" i="31"/>
  <c r="BD107" i="31"/>
  <c r="AS107" i="31"/>
  <c r="AH107" i="31"/>
  <c r="BM107" i="31"/>
  <c r="BB107" i="31"/>
  <c r="AR107" i="31"/>
  <c r="AG107" i="31"/>
  <c r="AX107" i="31"/>
  <c r="AI143" i="31"/>
  <c r="AI128" i="31"/>
  <c r="AI146" i="31"/>
  <c r="AI137" i="31"/>
  <c r="AI140" i="31"/>
  <c r="AI131" i="31"/>
  <c r="AI134" i="31"/>
  <c r="BR105" i="31"/>
  <c r="BJ105" i="31"/>
  <c r="BB105" i="31"/>
  <c r="BT105" i="31"/>
  <c r="BK105" i="31"/>
  <c r="BA105" i="31"/>
  <c r="AS105" i="31"/>
  <c r="AK105" i="31"/>
  <c r="AC105" i="31"/>
  <c r="BQ105" i="31"/>
  <c r="BH105" i="31"/>
  <c r="AY105" i="31"/>
  <c r="AQ105" i="31"/>
  <c r="AI105" i="31"/>
  <c r="BO105" i="31"/>
  <c r="BF105" i="31"/>
  <c r="AW105" i="31"/>
  <c r="AO105" i="31"/>
  <c r="AG105" i="31"/>
  <c r="AL105" i="31"/>
  <c r="AX105" i="31"/>
  <c r="V132" i="31"/>
  <c r="W132" i="31" s="1"/>
  <c r="V136" i="31"/>
  <c r="W136" i="31" s="1"/>
  <c r="AB168" i="31"/>
  <c r="AC168" i="31"/>
  <c r="V133" i="31"/>
  <c r="W133" i="31" s="1"/>
  <c r="J130" i="31"/>
  <c r="AD172" i="31"/>
  <c r="AE172" i="31"/>
  <c r="AB187" i="31"/>
  <c r="AA187" i="31"/>
  <c r="AC187" i="31"/>
  <c r="V177" i="31"/>
  <c r="L113" i="31"/>
  <c r="J127" i="31"/>
  <c r="AB169" i="31"/>
  <c r="AC174" i="31"/>
  <c r="AB174" i="31"/>
  <c r="AA174" i="31"/>
  <c r="W180" i="31"/>
  <c r="V180" i="31"/>
  <c r="U180" i="31"/>
  <c r="AF180" i="31"/>
  <c r="AJ180" i="31"/>
  <c r="AI180" i="31"/>
  <c r="AG180" i="31"/>
  <c r="AA182" i="31"/>
  <c r="AC182" i="31"/>
  <c r="AB182" i="31"/>
  <c r="T132" i="31"/>
  <c r="T133" i="31"/>
  <c r="AA167" i="31"/>
  <c r="AC167" i="31"/>
  <c r="T136" i="31"/>
  <c r="W185" i="31"/>
  <c r="V185" i="31"/>
  <c r="U185" i="31"/>
  <c r="AF185" i="31"/>
  <c r="AJ185" i="31"/>
  <c r="AI185" i="31"/>
  <c r="AG185" i="31"/>
  <c r="U175" i="31"/>
  <c r="AA178" i="31"/>
  <c r="AI178" i="31"/>
  <c r="V183" i="31"/>
  <c r="V176" i="31"/>
  <c r="U176" i="31"/>
  <c r="AJ176" i="31"/>
  <c r="AF176" i="31"/>
  <c r="AC178" i="31"/>
  <c r="AE178" i="31" s="1"/>
  <c r="AA183" i="31"/>
  <c r="AA185" i="31"/>
  <c r="AC189" i="31"/>
  <c r="Z136" i="31"/>
  <c r="AA136" i="31" s="1"/>
  <c r="AB173" i="31"/>
  <c r="AA173" i="31"/>
  <c r="AG176" i="31"/>
  <c r="AB180" i="31"/>
  <c r="AB183" i="31"/>
  <c r="AB185" i="31"/>
  <c r="AJ171" i="31"/>
  <c r="W176" i="31"/>
  <c r="AC183" i="31"/>
  <c r="AE183" i="31" s="1"/>
  <c r="AG184" i="31"/>
  <c r="AF184" i="31"/>
  <c r="AE184" i="31"/>
  <c r="AA189" i="31"/>
  <c r="AA164" i="31"/>
  <c r="AG173" i="31"/>
  <c r="AF173" i="31"/>
  <c r="W173" i="31"/>
  <c r="AB175" i="31"/>
  <c r="AA175" i="31"/>
  <c r="AA176" i="31"/>
  <c r="AI176" i="31"/>
  <c r="V178" i="31"/>
  <c r="U178" i="31"/>
  <c r="AJ178" i="31"/>
  <c r="AF178" i="31"/>
  <c r="W214" i="31"/>
  <c r="S228" i="31"/>
  <c r="AB176" i="31"/>
  <c r="AB178" i="31"/>
  <c r="U183" i="31"/>
  <c r="AJ183" i="31"/>
  <c r="AI183" i="31"/>
  <c r="AB199" i="31"/>
  <c r="AA199" i="31"/>
  <c r="AC199" i="31"/>
  <c r="AG175" i="31"/>
  <c r="AF175" i="31"/>
  <c r="W175" i="31"/>
  <c r="AC176" i="31"/>
  <c r="AE176" i="31" s="1"/>
  <c r="W178" i="31"/>
  <c r="AF183" i="31"/>
  <c r="AF194" i="31"/>
  <c r="W194" i="31"/>
  <c r="V194" i="31"/>
  <c r="AJ194" i="31"/>
  <c r="AI194" i="31"/>
  <c r="U194" i="31"/>
  <c r="AA177" i="31"/>
  <c r="AB179" i="31"/>
  <c r="AB181" i="31"/>
  <c r="AA184" i="31"/>
  <c r="AD184" i="31" s="1"/>
  <c r="AH184" i="31" s="1"/>
  <c r="AB195" i="31"/>
  <c r="U198" i="31"/>
  <c r="AB203" i="31"/>
  <c r="AB205" i="31"/>
  <c r="AA205" i="31"/>
  <c r="AA217" i="31"/>
  <c r="AB219" i="31"/>
  <c r="AA219" i="31"/>
  <c r="AB227" i="31"/>
  <c r="AA227" i="31"/>
  <c r="AB177" i="31"/>
  <c r="AB184" i="31"/>
  <c r="AC195" i="31"/>
  <c r="AB200" i="31"/>
  <c r="T259" i="31"/>
  <c r="T257" i="31"/>
  <c r="T260" i="31"/>
  <c r="T258" i="31"/>
  <c r="T256" i="31"/>
  <c r="AI205" i="31"/>
  <c r="AG205" i="31"/>
  <c r="AF205" i="31"/>
  <c r="W205" i="31"/>
  <c r="V205" i="31"/>
  <c r="U205" i="31"/>
  <c r="AB216" i="31"/>
  <c r="AB192" i="31"/>
  <c r="W201" i="31"/>
  <c r="U201" i="31"/>
  <c r="AI201" i="31"/>
  <c r="AG201" i="31"/>
  <c r="AF201" i="31"/>
  <c r="AI221" i="31"/>
  <c r="AG221" i="31"/>
  <c r="AF221" i="31"/>
  <c r="W221" i="31"/>
  <c r="V221" i="31"/>
  <c r="U221" i="31"/>
  <c r="AI213" i="31"/>
  <c r="AG213" i="31"/>
  <c r="AF213" i="31"/>
  <c r="W213" i="31"/>
  <c r="V213" i="31"/>
  <c r="U213" i="31"/>
  <c r="X235" i="31"/>
  <c r="C308" i="33" s="1"/>
  <c r="AA197" i="31"/>
  <c r="AB211" i="31"/>
  <c r="AA211" i="31"/>
  <c r="AF198" i="31"/>
  <c r="V198" i="31"/>
  <c r="AJ198" i="31"/>
  <c r="AI198" i="31"/>
  <c r="AG198" i="31"/>
  <c r="AJ213" i="31"/>
  <c r="AD224" i="31"/>
  <c r="AB224" i="31"/>
  <c r="AC190" i="31"/>
  <c r="AA195" i="31"/>
  <c r="AC198" i="31"/>
  <c r="V202" i="31"/>
  <c r="AA203" i="31"/>
  <c r="AF204" i="31"/>
  <c r="AC206" i="31"/>
  <c r="W207" i="31"/>
  <c r="V210" i="31"/>
  <c r="AF212" i="31"/>
  <c r="AC214" i="31"/>
  <c r="AD214" i="31" s="1"/>
  <c r="W215" i="31"/>
  <c r="AF220" i="31"/>
  <c r="AC222" i="31"/>
  <c r="W223" i="31"/>
  <c r="AG204" i="31"/>
  <c r="AA207" i="31"/>
  <c r="AD207" i="31" s="1"/>
  <c r="AH207" i="31" s="1"/>
  <c r="AF207" i="31"/>
  <c r="AG212" i="31"/>
  <c r="AA215" i="31"/>
  <c r="AF215" i="31"/>
  <c r="AG220" i="31"/>
  <c r="AF223" i="31"/>
  <c r="AF202" i="31"/>
  <c r="AB207" i="31"/>
  <c r="AG207" i="31"/>
  <c r="AB215" i="31"/>
  <c r="AG215" i="31"/>
  <c r="AG223" i="31"/>
  <c r="AA204" i="31"/>
  <c r="AA212" i="31"/>
  <c r="AA213" i="31"/>
  <c r="AA221" i="31"/>
  <c r="AB204" i="31"/>
  <c r="AJ204" i="31"/>
  <c r="AI207" i="31"/>
  <c r="AB212" i="31"/>
  <c r="AJ212" i="31"/>
  <c r="AB213" i="31"/>
  <c r="AI215" i="31"/>
  <c r="AJ220" i="31"/>
  <c r="AB221" i="31"/>
  <c r="AI223" i="31"/>
  <c r="W272" i="31"/>
  <c r="AM216" i="33" s="1"/>
  <c r="AJ207" i="31"/>
  <c r="AJ215" i="31"/>
  <c r="AJ223" i="31"/>
  <c r="BC77" i="30"/>
  <c r="BC66" i="30"/>
  <c r="CP77" i="30"/>
  <c r="DZ77" i="30"/>
  <c r="CB78" i="30"/>
  <c r="DL78" i="30"/>
  <c r="CW79" i="30"/>
  <c r="BA71" i="30"/>
  <c r="BA60" i="30"/>
  <c r="CF71" i="30"/>
  <c r="CN71" i="30"/>
  <c r="CV71" i="30"/>
  <c r="DH71" i="30"/>
  <c r="DP71" i="30"/>
  <c r="DX71" i="30"/>
  <c r="BA72" i="30"/>
  <c r="BA61" i="30"/>
  <c r="BI72" i="30"/>
  <c r="BI61" i="30"/>
  <c r="BQ61" i="30"/>
  <c r="CF72" i="30"/>
  <c r="CN72" i="30"/>
  <c r="CV72" i="30"/>
  <c r="DP72" i="30"/>
  <c r="DX72" i="30"/>
  <c r="CL73" i="30"/>
  <c r="CT73" i="30"/>
  <c r="DF73" i="30"/>
  <c r="DN73" i="30"/>
  <c r="DV73" i="30"/>
  <c r="AX74" i="30"/>
  <c r="AX63" i="30"/>
  <c r="AX109" i="30" s="1"/>
  <c r="BF74" i="30"/>
  <c r="BF63" i="30"/>
  <c r="BF109" i="30" s="1"/>
  <c r="BN74" i="30"/>
  <c r="BN63" i="30"/>
  <c r="BN109" i="30" s="1"/>
  <c r="CC74" i="30"/>
  <c r="CK74" i="30"/>
  <c r="CS74" i="30"/>
  <c r="DE74" i="30"/>
  <c r="DM74" i="30"/>
  <c r="DU74" i="30"/>
  <c r="BC64" i="30"/>
  <c r="BC110" i="30" s="1"/>
  <c r="BK75" i="30"/>
  <c r="BK64" i="30"/>
  <c r="BK110" i="30" s="1"/>
  <c r="BS75" i="30"/>
  <c r="BS64" i="30"/>
  <c r="BS110" i="30" s="1"/>
  <c r="CH75" i="30"/>
  <c r="CP75" i="30"/>
  <c r="CX75" i="30"/>
  <c r="DJ75" i="30"/>
  <c r="DR75" i="30"/>
  <c r="DZ75" i="30"/>
  <c r="BB76" i="30"/>
  <c r="BB65" i="30"/>
  <c r="BJ76" i="30"/>
  <c r="BJ65" i="30"/>
  <c r="BR76" i="30"/>
  <c r="BR65" i="30"/>
  <c r="CG76" i="30"/>
  <c r="CO76" i="30"/>
  <c r="CW76" i="30"/>
  <c r="DI76" i="30"/>
  <c r="DQ76" i="30"/>
  <c r="DY76" i="30"/>
  <c r="BA66" i="30"/>
  <c r="BA77" i="30"/>
  <c r="BI66" i="30"/>
  <c r="BI77" i="30"/>
  <c r="BQ77" i="30"/>
  <c r="BQ66" i="30"/>
  <c r="CF77" i="30"/>
  <c r="CN77" i="30"/>
  <c r="CV77" i="30"/>
  <c r="DH77" i="30"/>
  <c r="DP77" i="30"/>
  <c r="DX77" i="30"/>
  <c r="BR78" i="30"/>
  <c r="BR67" i="30"/>
  <c r="CG78" i="30"/>
  <c r="DI78" i="30"/>
  <c r="DQ78" i="30"/>
  <c r="BG79" i="30"/>
  <c r="BG68" i="30"/>
  <c r="BO79" i="30"/>
  <c r="BO68" i="30"/>
  <c r="CT79" i="30"/>
  <c r="DF79" i="30"/>
  <c r="BC72" i="30"/>
  <c r="BC61" i="30"/>
  <c r="CP72" i="30"/>
  <c r="DZ72" i="30"/>
  <c r="CH74" i="30"/>
  <c r="DR74" i="30"/>
  <c r="AV65" i="30"/>
  <c r="AV76" i="30"/>
  <c r="CS76" i="30"/>
  <c r="DE77" i="30"/>
  <c r="CW78" i="30"/>
  <c r="BJ79" i="30"/>
  <c r="BJ68" i="30"/>
  <c r="DL79" i="30"/>
  <c r="AY73" i="30"/>
  <c r="AY62" i="30"/>
  <c r="AY108" i="30" s="1"/>
  <c r="BR60" i="30"/>
  <c r="CG71" i="30"/>
  <c r="CO71" i="30"/>
  <c r="CW71" i="30"/>
  <c r="DI71" i="30"/>
  <c r="DQ71" i="30"/>
  <c r="DY71" i="30"/>
  <c r="BB61" i="30"/>
  <c r="BB72" i="30"/>
  <c r="BJ72" i="30"/>
  <c r="BJ61" i="30"/>
  <c r="BR61" i="30"/>
  <c r="CG72" i="30"/>
  <c r="CO72" i="30"/>
  <c r="CW72" i="30"/>
  <c r="DI72" i="30"/>
  <c r="DQ72" i="30"/>
  <c r="DY72" i="30"/>
  <c r="AZ73" i="30"/>
  <c r="BH73" i="30"/>
  <c r="BH62" i="30"/>
  <c r="BH108" i="30" s="1"/>
  <c r="BP73" i="30"/>
  <c r="BP62" i="30"/>
  <c r="BP108" i="30" s="1"/>
  <c r="CE73" i="30"/>
  <c r="CM73" i="30"/>
  <c r="CU73" i="30"/>
  <c r="DG73" i="30"/>
  <c r="DO73" i="30"/>
  <c r="DW73" i="30"/>
  <c r="AY74" i="30"/>
  <c r="AY63" i="30"/>
  <c r="AY109" i="30" s="1"/>
  <c r="BG74" i="30"/>
  <c r="BG63" i="30"/>
  <c r="BG109" i="30" s="1"/>
  <c r="BO74" i="30"/>
  <c r="BO63" i="30"/>
  <c r="BO109" i="30" s="1"/>
  <c r="CD74" i="30"/>
  <c r="CL74" i="30"/>
  <c r="CT74" i="30"/>
  <c r="DF74" i="30"/>
  <c r="DN74" i="30"/>
  <c r="DV74" i="30"/>
  <c r="AV75" i="30"/>
  <c r="AV64" i="30"/>
  <c r="AV110" i="30" s="1"/>
  <c r="BD75" i="30"/>
  <c r="BD64" i="30"/>
  <c r="BD110" i="30" s="1"/>
  <c r="BL64" i="30"/>
  <c r="BL110" i="30" s="1"/>
  <c r="CI75" i="30"/>
  <c r="CQ75" i="30"/>
  <c r="CY75" i="30"/>
  <c r="DK75" i="30"/>
  <c r="DS75" i="30"/>
  <c r="EA75" i="30"/>
  <c r="BC78" i="30"/>
  <c r="BC67" i="30"/>
  <c r="BK78" i="30"/>
  <c r="BK67" i="30"/>
  <c r="BS78" i="30"/>
  <c r="BS67" i="30"/>
  <c r="CH78" i="30"/>
  <c r="CP78" i="30"/>
  <c r="CX78" i="30"/>
  <c r="DJ78" i="30"/>
  <c r="DR78" i="30"/>
  <c r="DZ78" i="30"/>
  <c r="AZ79" i="30"/>
  <c r="AZ68" i="30"/>
  <c r="BH79" i="30"/>
  <c r="BH68" i="30"/>
  <c r="BP79" i="30"/>
  <c r="BP68" i="30"/>
  <c r="CE79" i="30"/>
  <c r="CM79" i="30"/>
  <c r="CU79" i="30"/>
  <c r="DG79" i="30"/>
  <c r="DO79" i="30"/>
  <c r="DW79" i="30"/>
  <c r="CG80" i="30"/>
  <c r="DI80" i="30"/>
  <c r="DQ80" i="30"/>
  <c r="CX71" i="30"/>
  <c r="BC62" i="30"/>
  <c r="BC108" i="30" s="1"/>
  <c r="CP73" i="30"/>
  <c r="DZ73" i="30"/>
  <c r="BP64" i="30"/>
  <c r="BP110" i="30" s="1"/>
  <c r="DG75" i="30"/>
  <c r="DV80" i="30"/>
  <c r="BQ71" i="30"/>
  <c r="BQ60" i="30"/>
  <c r="BA62" i="30"/>
  <c r="BA108" i="30" s="1"/>
  <c r="BQ62" i="30"/>
  <c r="BQ108" i="30" s="1"/>
  <c r="CF73" i="30"/>
  <c r="CN73" i="30"/>
  <c r="CV73" i="30"/>
  <c r="DH73" i="30"/>
  <c r="DP73" i="30"/>
  <c r="DX73" i="30"/>
  <c r="AZ63" i="30"/>
  <c r="AZ109" i="30" s="1"/>
  <c r="AZ74" i="30"/>
  <c r="BH74" i="30"/>
  <c r="BH63" i="30"/>
  <c r="BH109" i="30" s="1"/>
  <c r="BP74" i="30"/>
  <c r="BP63" i="30"/>
  <c r="BP109" i="30" s="1"/>
  <c r="CE74" i="30"/>
  <c r="CM74" i="30"/>
  <c r="CU74" i="30"/>
  <c r="DG74" i="30"/>
  <c r="DO74" i="30"/>
  <c r="DW74" i="30"/>
  <c r="AW75" i="30"/>
  <c r="AW64" i="30"/>
  <c r="AW110" i="30" s="1"/>
  <c r="BE64" i="30"/>
  <c r="BE110" i="30" s="1"/>
  <c r="BM64" i="30"/>
  <c r="BM110" i="30" s="1"/>
  <c r="CB75" i="30"/>
  <c r="CJ75" i="30"/>
  <c r="CR75" i="30"/>
  <c r="DL75" i="30"/>
  <c r="DT75" i="30"/>
  <c r="EB75" i="30"/>
  <c r="BD76" i="30"/>
  <c r="BD65" i="30"/>
  <c r="BL76" i="30"/>
  <c r="BL65" i="30"/>
  <c r="CQ76" i="30"/>
  <c r="CY76" i="30"/>
  <c r="EA76" i="30"/>
  <c r="BK77" i="30"/>
  <c r="BK66" i="30"/>
  <c r="BS77" i="30"/>
  <c r="BS66" i="30"/>
  <c r="CH77" i="30"/>
  <c r="CX77" i="30"/>
  <c r="DJ77" i="30"/>
  <c r="DR77" i="30"/>
  <c r="BC80" i="30"/>
  <c r="BC69" i="30"/>
  <c r="BK80" i="30"/>
  <c r="BK69" i="30"/>
  <c r="BS80" i="30"/>
  <c r="BS69" i="30"/>
  <c r="CH80" i="30"/>
  <c r="CP80" i="30"/>
  <c r="CX80" i="30"/>
  <c r="DJ80" i="30"/>
  <c r="DR80" i="30"/>
  <c r="DZ80" i="30"/>
  <c r="BK72" i="30"/>
  <c r="BK61" i="30"/>
  <c r="CX72" i="30"/>
  <c r="BC74" i="30"/>
  <c r="BC63" i="30"/>
  <c r="BC109" i="30" s="1"/>
  <c r="CP74" i="30"/>
  <c r="DZ74" i="30"/>
  <c r="BF76" i="30"/>
  <c r="BF65" i="30"/>
  <c r="DH76" i="30"/>
  <c r="DO77" i="30"/>
  <c r="BJ78" i="30"/>
  <c r="BJ67" i="30"/>
  <c r="CB79" i="30"/>
  <c r="BQ34" i="30"/>
  <c r="BI34" i="30"/>
  <c r="BA34" i="30"/>
  <c r="BN34" i="30"/>
  <c r="BF34" i="30"/>
  <c r="AX34" i="30"/>
  <c r="BL34" i="30"/>
  <c r="BD34" i="30"/>
  <c r="AV34" i="30"/>
  <c r="BJ34" i="30"/>
  <c r="AW34" i="30"/>
  <c r="BS34" i="30"/>
  <c r="BG34" i="30"/>
  <c r="BR34" i="30"/>
  <c r="BE34" i="30"/>
  <c r="BP34" i="30"/>
  <c r="BC34" i="30"/>
  <c r="AY34" i="30"/>
  <c r="BO34" i="30"/>
  <c r="BB34" i="30"/>
  <c r="BM34" i="30"/>
  <c r="AZ34" i="30"/>
  <c r="BK34" i="30"/>
  <c r="CD73" i="30"/>
  <c r="AV71" i="30"/>
  <c r="AV60" i="30"/>
  <c r="BD60" i="30"/>
  <c r="BD71" i="30"/>
  <c r="CI71" i="30"/>
  <c r="CQ71" i="30"/>
  <c r="CY71" i="30"/>
  <c r="DK71" i="30"/>
  <c r="DS71" i="30"/>
  <c r="EA71" i="30"/>
  <c r="AV61" i="30"/>
  <c r="BZ61" i="30"/>
  <c r="BZ27" i="30"/>
  <c r="BZ91" i="30" s="1"/>
  <c r="BZ38" i="30"/>
  <c r="BZ16" i="30"/>
  <c r="BZ49" i="30" s="1"/>
  <c r="CI72" i="30"/>
  <c r="CQ72" i="30"/>
  <c r="CY72" i="30"/>
  <c r="DK72" i="30"/>
  <c r="DS72" i="30"/>
  <c r="EA72" i="30"/>
  <c r="BB73" i="30"/>
  <c r="BB62" i="30"/>
  <c r="BB108" i="30" s="1"/>
  <c r="BJ73" i="30"/>
  <c r="BJ62" i="30"/>
  <c r="BJ108" i="30" s="1"/>
  <c r="BR73" i="30"/>
  <c r="BR62" i="30"/>
  <c r="BR108" i="30" s="1"/>
  <c r="CG73" i="30"/>
  <c r="CO73" i="30"/>
  <c r="CW73" i="30"/>
  <c r="DI73" i="30"/>
  <c r="DQ73" i="30"/>
  <c r="DY73" i="30"/>
  <c r="BA74" i="30"/>
  <c r="BA63" i="30"/>
  <c r="BA109" i="30" s="1"/>
  <c r="BI74" i="30"/>
  <c r="BI63" i="30"/>
  <c r="BI109" i="30" s="1"/>
  <c r="BQ74" i="30"/>
  <c r="BQ63" i="30"/>
  <c r="BQ109" i="30" s="1"/>
  <c r="CF74" i="30"/>
  <c r="CN74" i="30"/>
  <c r="CV74" i="30"/>
  <c r="DH74" i="30"/>
  <c r="DP74" i="30"/>
  <c r="DX74" i="30"/>
  <c r="AX64" i="30"/>
  <c r="AX110" i="30" s="1"/>
  <c r="BF64" i="30"/>
  <c r="BF110" i="30" s="1"/>
  <c r="BN64" i="30"/>
  <c r="BN110" i="30" s="1"/>
  <c r="CC75" i="30"/>
  <c r="CK75" i="30"/>
  <c r="CS75" i="30"/>
  <c r="DE75" i="30"/>
  <c r="DM75" i="30"/>
  <c r="DU75" i="30"/>
  <c r="AW65" i="30"/>
  <c r="AW76" i="30"/>
  <c r="BE65" i="30"/>
  <c r="BE76" i="30"/>
  <c r="BM76" i="30"/>
  <c r="BM65" i="30"/>
  <c r="CB76" i="30"/>
  <c r="CJ76" i="30"/>
  <c r="CR76" i="30"/>
  <c r="DC65" i="30"/>
  <c r="DC42" i="30"/>
  <c r="DC31" i="30"/>
  <c r="DC95" i="30" s="1"/>
  <c r="DC20" i="30"/>
  <c r="DC53" i="30" s="1"/>
  <c r="DL76" i="30"/>
  <c r="DT76" i="30"/>
  <c r="EB76" i="30"/>
  <c r="AV77" i="30"/>
  <c r="AV66" i="30"/>
  <c r="BD77" i="30"/>
  <c r="BD66" i="30"/>
  <c r="BL77" i="30"/>
  <c r="BL66" i="30"/>
  <c r="CI77" i="30"/>
  <c r="CQ77" i="30"/>
  <c r="CY77" i="30"/>
  <c r="DK77" i="30"/>
  <c r="DS77" i="30"/>
  <c r="EA77" i="30"/>
  <c r="AW78" i="30"/>
  <c r="AW67" i="30"/>
  <c r="BE78" i="30"/>
  <c r="BE67" i="30"/>
  <c r="BM78" i="30"/>
  <c r="BM67" i="30"/>
  <c r="CJ78" i="30"/>
  <c r="CR78" i="30"/>
  <c r="DC67" i="30"/>
  <c r="DC44" i="30"/>
  <c r="DC22" i="30"/>
  <c r="DC55" i="30" s="1"/>
  <c r="DC33" i="30"/>
  <c r="DC96" i="30" s="1"/>
  <c r="DT78" i="30"/>
  <c r="EB78" i="30"/>
  <c r="BB79" i="30"/>
  <c r="BB68" i="30"/>
  <c r="BR79" i="30"/>
  <c r="BR68" i="30"/>
  <c r="CG79" i="30"/>
  <c r="CO79" i="30"/>
  <c r="DI79" i="30"/>
  <c r="DQ79" i="30"/>
  <c r="DY79" i="30"/>
  <c r="CI80" i="30"/>
  <c r="CQ80" i="30"/>
  <c r="DS80" i="30"/>
  <c r="EA80" i="30"/>
  <c r="BS71" i="30"/>
  <c r="BS60" i="30"/>
  <c r="DJ71" i="30"/>
  <c r="CX73" i="30"/>
  <c r="CE75" i="30"/>
  <c r="DO75" i="30"/>
  <c r="BN77" i="30"/>
  <c r="BN66" i="30"/>
  <c r="DW78" i="30"/>
  <c r="DV79" i="30"/>
  <c r="CL80" i="30"/>
  <c r="BH34" i="30"/>
  <c r="DH72" i="30"/>
  <c r="BB63" i="30"/>
  <c r="BB109" i="30" s="1"/>
  <c r="BB74" i="30"/>
  <c r="BJ74" i="30"/>
  <c r="BJ63" i="30"/>
  <c r="BJ109" i="30" s="1"/>
  <c r="BR63" i="30"/>
  <c r="BR109" i="30" s="1"/>
  <c r="CG74" i="30"/>
  <c r="CO74" i="30"/>
  <c r="CW74" i="30"/>
  <c r="DI74" i="30"/>
  <c r="DQ74" i="30"/>
  <c r="DY74" i="30"/>
  <c r="AY75" i="30"/>
  <c r="AY64" i="30"/>
  <c r="AY110" i="30" s="1"/>
  <c r="BG64" i="30"/>
  <c r="BG110" i="30" s="1"/>
  <c r="BO64" i="30"/>
  <c r="BO110" i="30" s="1"/>
  <c r="CD75" i="30"/>
  <c r="CL75" i="30"/>
  <c r="CT75" i="30"/>
  <c r="DF75" i="30"/>
  <c r="DN75" i="30"/>
  <c r="DV75" i="30"/>
  <c r="BN76" i="30"/>
  <c r="BN65" i="30"/>
  <c r="CC76" i="30"/>
  <c r="DE76" i="30"/>
  <c r="DM76" i="30"/>
  <c r="AX67" i="30"/>
  <c r="AX78" i="30"/>
  <c r="BF78" i="30"/>
  <c r="BF67" i="30"/>
  <c r="BN67" i="30"/>
  <c r="BN78" i="30"/>
  <c r="CC78" i="30"/>
  <c r="CK78" i="30"/>
  <c r="CS78" i="30"/>
  <c r="DE78" i="30"/>
  <c r="DM78" i="30"/>
  <c r="DU78" i="30"/>
  <c r="BC68" i="30"/>
  <c r="BC79" i="30"/>
  <c r="BK79" i="30"/>
  <c r="BK68" i="30"/>
  <c r="BS79" i="30"/>
  <c r="BS68" i="30"/>
  <c r="CH79" i="30"/>
  <c r="CP79" i="30"/>
  <c r="CX79" i="30"/>
  <c r="DJ79" i="30"/>
  <c r="DR79" i="30"/>
  <c r="DZ79" i="30"/>
  <c r="AW80" i="30"/>
  <c r="AW69" i="30"/>
  <c r="BM80" i="30"/>
  <c r="BM69" i="30"/>
  <c r="CB80" i="30"/>
  <c r="CJ80" i="30"/>
  <c r="CR80" i="30"/>
  <c r="DL80" i="30"/>
  <c r="DT80" i="30"/>
  <c r="EB80" i="30"/>
  <c r="BS72" i="30"/>
  <c r="BS61" i="30"/>
  <c r="DJ72" i="30"/>
  <c r="BK74" i="30"/>
  <c r="BK63" i="30"/>
  <c r="BK109" i="30" s="1"/>
  <c r="CX74" i="30"/>
  <c r="BQ76" i="30"/>
  <c r="BQ65" i="30"/>
  <c r="DS76" i="30"/>
  <c r="BG73" i="30"/>
  <c r="BG62" i="30"/>
  <c r="BG108" i="30" s="1"/>
  <c r="AX60" i="30"/>
  <c r="CC71" i="30"/>
  <c r="CK71" i="30"/>
  <c r="CS71" i="30"/>
  <c r="DE71" i="30"/>
  <c r="DM71" i="30"/>
  <c r="DU71" i="30"/>
  <c r="AX72" i="30"/>
  <c r="AX61" i="30"/>
  <c r="BN72" i="30"/>
  <c r="BN61" i="30"/>
  <c r="CC72" i="30"/>
  <c r="CK72" i="30"/>
  <c r="CS72" i="30"/>
  <c r="DE72" i="30"/>
  <c r="DM72" i="30"/>
  <c r="DU72" i="30"/>
  <c r="AV73" i="30"/>
  <c r="AV62" i="30"/>
  <c r="AV108" i="30" s="1"/>
  <c r="BD62" i="30"/>
  <c r="BD108" i="30" s="1"/>
  <c r="BD73" i="30"/>
  <c r="BL62" i="30"/>
  <c r="BL108" i="30" s="1"/>
  <c r="BL73" i="30"/>
  <c r="CI73" i="30"/>
  <c r="CQ73" i="30"/>
  <c r="CY73" i="30"/>
  <c r="DK73" i="30"/>
  <c r="DS73" i="30"/>
  <c r="EA73" i="30"/>
  <c r="AY76" i="30"/>
  <c r="AY65" i="30"/>
  <c r="BG76" i="30"/>
  <c r="BG65" i="30"/>
  <c r="BO76" i="30"/>
  <c r="BO65" i="30"/>
  <c r="CD76" i="30"/>
  <c r="CL76" i="30"/>
  <c r="CT76" i="30"/>
  <c r="DF76" i="30"/>
  <c r="DN76" i="30"/>
  <c r="DV76" i="30"/>
  <c r="AX77" i="30"/>
  <c r="AX66" i="30"/>
  <c r="CC77" i="30"/>
  <c r="CK77" i="30"/>
  <c r="DM77" i="30"/>
  <c r="DU77" i="30"/>
  <c r="AX80" i="30"/>
  <c r="AX69" i="30"/>
  <c r="BF69" i="30"/>
  <c r="BF80" i="30"/>
  <c r="BN80" i="30"/>
  <c r="BN69" i="30"/>
  <c r="CC80" i="30"/>
  <c r="CK80" i="30"/>
  <c r="CS80" i="30"/>
  <c r="DE80" i="30"/>
  <c r="DM80" i="30"/>
  <c r="DU80" i="30"/>
  <c r="CH71" i="30"/>
  <c r="DR71" i="30"/>
  <c r="BS62" i="30"/>
  <c r="BS108" i="30" s="1"/>
  <c r="DJ73" i="30"/>
  <c r="AZ64" i="30"/>
  <c r="AZ110" i="30" s="1"/>
  <c r="CM75" i="30"/>
  <c r="DW75" i="30"/>
  <c r="CE77" i="30"/>
  <c r="CM78" i="30"/>
  <c r="CL79" i="30"/>
  <c r="AY69" i="30"/>
  <c r="CW80" i="30"/>
  <c r="BO73" i="30"/>
  <c r="BO62" i="30"/>
  <c r="BO108" i="30" s="1"/>
  <c r="AY71" i="30"/>
  <c r="AY60" i="30"/>
  <c r="BG60" i="30"/>
  <c r="BO71" i="30"/>
  <c r="BO60" i="30"/>
  <c r="CD71" i="30"/>
  <c r="CL71" i="30"/>
  <c r="CT71" i="30"/>
  <c r="DF71" i="30"/>
  <c r="DN71" i="30"/>
  <c r="DV71" i="30"/>
  <c r="AY61" i="30"/>
  <c r="CD72" i="30"/>
  <c r="CL72" i="30"/>
  <c r="CT72" i="30"/>
  <c r="DF72" i="30"/>
  <c r="DN72" i="30"/>
  <c r="DV72" i="30"/>
  <c r="AV74" i="30"/>
  <c r="AV63" i="30"/>
  <c r="AV109" i="30" s="1"/>
  <c r="BD74" i="30"/>
  <c r="BD63" i="30"/>
  <c r="BD109" i="30" s="1"/>
  <c r="BL63" i="30"/>
  <c r="BL109" i="30" s="1"/>
  <c r="BL74" i="30"/>
  <c r="BZ63" i="30"/>
  <c r="BZ40" i="30"/>
  <c r="BZ18" i="30"/>
  <c r="BZ51" i="30" s="1"/>
  <c r="BZ29" i="30"/>
  <c r="BZ93" i="30" s="1"/>
  <c r="CI74" i="30"/>
  <c r="CQ74" i="30"/>
  <c r="CY74" i="30"/>
  <c r="DK74" i="30"/>
  <c r="DS74" i="30"/>
  <c r="EA74" i="30"/>
  <c r="BA64" i="30"/>
  <c r="BA110" i="30" s="1"/>
  <c r="BI64" i="30"/>
  <c r="BI110" i="30" s="1"/>
  <c r="BQ64" i="30"/>
  <c r="BQ110" i="30" s="1"/>
  <c r="BQ75" i="30"/>
  <c r="CF75" i="30"/>
  <c r="CN75" i="30"/>
  <c r="CV75" i="30"/>
  <c r="DH75" i="30"/>
  <c r="DP75" i="30"/>
  <c r="DX75" i="30"/>
  <c r="AY77" i="30"/>
  <c r="AY66" i="30"/>
  <c r="BG77" i="30"/>
  <c r="BG66" i="30"/>
  <c r="BO77" i="30"/>
  <c r="BO66" i="30"/>
  <c r="CD77" i="30"/>
  <c r="CL77" i="30"/>
  <c r="CT77" i="30"/>
  <c r="DF77" i="30"/>
  <c r="DN77" i="30"/>
  <c r="DV77" i="30"/>
  <c r="BP78" i="30"/>
  <c r="BP67" i="30"/>
  <c r="DG78" i="30"/>
  <c r="BE79" i="30"/>
  <c r="BE68" i="30"/>
  <c r="CR79" i="30"/>
  <c r="EB79" i="30"/>
  <c r="CT80" i="30"/>
  <c r="DF80" i="30"/>
  <c r="CH72" i="30"/>
  <c r="DR72" i="30"/>
  <c r="BS74" i="30"/>
  <c r="BS63" i="30"/>
  <c r="BS109" i="30" s="1"/>
  <c r="DJ74" i="30"/>
  <c r="CO75" i="30"/>
  <c r="CI76" i="30"/>
  <c r="DV34" i="30"/>
  <c r="DN34" i="30"/>
  <c r="DF34" i="30"/>
  <c r="EA34" i="30"/>
  <c r="DS34" i="30"/>
  <c r="DK34" i="30"/>
  <c r="DY34" i="30"/>
  <c r="DQ34" i="30"/>
  <c r="DI34" i="30"/>
  <c r="DR34" i="30"/>
  <c r="DE34" i="30"/>
  <c r="EB34" i="30"/>
  <c r="DO34" i="30"/>
  <c r="DT34" i="30"/>
  <c r="DZ34" i="30"/>
  <c r="DM34" i="30"/>
  <c r="DX34" i="30"/>
  <c r="DL34" i="30"/>
  <c r="DW34" i="30"/>
  <c r="DJ34" i="30"/>
  <c r="DU34" i="30"/>
  <c r="DH34" i="30"/>
  <c r="DG34" i="30"/>
  <c r="BH71" i="30"/>
  <c r="BH60" i="30"/>
  <c r="BP60" i="30"/>
  <c r="CE71" i="30"/>
  <c r="CM71" i="30"/>
  <c r="CU71" i="30"/>
  <c r="DG71" i="30"/>
  <c r="DO71" i="30"/>
  <c r="DW71" i="30"/>
  <c r="AZ61" i="30"/>
  <c r="BH72" i="30"/>
  <c r="BH61" i="30"/>
  <c r="CE72" i="30"/>
  <c r="CM72" i="30"/>
  <c r="CU72" i="30"/>
  <c r="DG72" i="30"/>
  <c r="DO72" i="30"/>
  <c r="DW72" i="30"/>
  <c r="AX62" i="30"/>
  <c r="AX108" i="30" s="1"/>
  <c r="BN62" i="30"/>
  <c r="BN108" i="30" s="1"/>
  <c r="BN73" i="30"/>
  <c r="CC73" i="30"/>
  <c r="CK73" i="30"/>
  <c r="CS73" i="30"/>
  <c r="DE73" i="30"/>
  <c r="DM73" i="30"/>
  <c r="DU73" i="30"/>
  <c r="DY75" i="30"/>
  <c r="BA76" i="30"/>
  <c r="BA65" i="30"/>
  <c r="CF76" i="30"/>
  <c r="CN76" i="30"/>
  <c r="DP76" i="30"/>
  <c r="DX76" i="30"/>
  <c r="AZ66" i="30"/>
  <c r="AZ77" i="30"/>
  <c r="BH77" i="30"/>
  <c r="BH66" i="30"/>
  <c r="CM77" i="30"/>
  <c r="CU77" i="30"/>
  <c r="DW77" i="30"/>
  <c r="BA67" i="30"/>
  <c r="BA78" i="30"/>
  <c r="BI78" i="30"/>
  <c r="BI67" i="30"/>
  <c r="BQ78" i="30"/>
  <c r="BQ67" i="30"/>
  <c r="CF78" i="30"/>
  <c r="CN78" i="30"/>
  <c r="CV78" i="30"/>
  <c r="DH78" i="30"/>
  <c r="DP78" i="30"/>
  <c r="DX78" i="30"/>
  <c r="AX79" i="30"/>
  <c r="AX68" i="30"/>
  <c r="BF79" i="30"/>
  <c r="BF68" i="30"/>
  <c r="BN79" i="30"/>
  <c r="BN68" i="30"/>
  <c r="CC79" i="30"/>
  <c r="CK79" i="30"/>
  <c r="CS79" i="30"/>
  <c r="DE79" i="30"/>
  <c r="DM79" i="30"/>
  <c r="DU79" i="30"/>
  <c r="AZ80" i="30"/>
  <c r="AZ69" i="30"/>
  <c r="BP69" i="30"/>
  <c r="BP80" i="30"/>
  <c r="CE80" i="30"/>
  <c r="CM80" i="30"/>
  <c r="CU80" i="30"/>
  <c r="DG80" i="30"/>
  <c r="DO80" i="30"/>
  <c r="DW80" i="30"/>
  <c r="CP71" i="30"/>
  <c r="DZ71" i="30"/>
  <c r="CH73" i="30"/>
  <c r="DR73" i="30"/>
  <c r="BH64" i="30"/>
  <c r="BH110" i="30" s="1"/>
  <c r="CU75" i="30"/>
  <c r="AZ78" i="30"/>
  <c r="AZ67" i="30"/>
  <c r="AY79" i="30"/>
  <c r="AY68" i="30"/>
  <c r="DK80" i="30"/>
  <c r="CD78" i="30"/>
  <c r="DF78" i="30"/>
  <c r="BD79" i="30"/>
  <c r="BD68" i="30"/>
  <c r="CI79" i="30"/>
  <c r="EA79" i="30"/>
  <c r="AW60" i="30"/>
  <c r="CJ71" i="30"/>
  <c r="AW72" i="30"/>
  <c r="AW61" i="30"/>
  <c r="DT73" i="30"/>
  <c r="BE63" i="30"/>
  <c r="BE109" i="30" s="1"/>
  <c r="BE74" i="30"/>
  <c r="BM63" i="30"/>
  <c r="BM109" i="30" s="1"/>
  <c r="BM74" i="30"/>
  <c r="CR74" i="30"/>
  <c r="DL74" i="30"/>
  <c r="EB74" i="30"/>
  <c r="BR75" i="30"/>
  <c r="BR64" i="30"/>
  <c r="BR110" i="30" s="1"/>
  <c r="CW75" i="30"/>
  <c r="AX76" i="30"/>
  <c r="AX65" i="30"/>
  <c r="CK76" i="30"/>
  <c r="DK76" i="30"/>
  <c r="BF77" i="30"/>
  <c r="BF66" i="30"/>
  <c r="CS77" i="30"/>
  <c r="BB78" i="30"/>
  <c r="BB67" i="30"/>
  <c r="CO78" i="30"/>
  <c r="DO78" i="30"/>
  <c r="CD79" i="30"/>
  <c r="CD80" i="30"/>
  <c r="DY80" i="30"/>
  <c r="BH30" i="30"/>
  <c r="BH75" i="30" s="1"/>
  <c r="BZ64" i="30"/>
  <c r="BZ41" i="30"/>
  <c r="AZ76" i="30"/>
  <c r="AZ65" i="30"/>
  <c r="BH76" i="30"/>
  <c r="BH65" i="30"/>
  <c r="BP76" i="30"/>
  <c r="BP65" i="30"/>
  <c r="CE76" i="30"/>
  <c r="CM76" i="30"/>
  <c r="CU76" i="30"/>
  <c r="DG76" i="30"/>
  <c r="DO76" i="30"/>
  <c r="DW76" i="30"/>
  <c r="BZ66" i="30"/>
  <c r="BZ43" i="30"/>
  <c r="DC68" i="30"/>
  <c r="DC45" i="30"/>
  <c r="DC34" i="30"/>
  <c r="DC97" i="30" s="1"/>
  <c r="BA80" i="30"/>
  <c r="BA69" i="30"/>
  <c r="BI80" i="30"/>
  <c r="BI69" i="30"/>
  <c r="BQ80" i="30"/>
  <c r="BQ69" i="30"/>
  <c r="CF80" i="30"/>
  <c r="CN80" i="30"/>
  <c r="CV80" i="30"/>
  <c r="DH80" i="30"/>
  <c r="DP80" i="30"/>
  <c r="DX80" i="30"/>
  <c r="DC24" i="30"/>
  <c r="DC57" i="30" s="1"/>
  <c r="AZ26" i="30"/>
  <c r="AZ60" i="30" s="1"/>
  <c r="BK26" i="30"/>
  <c r="BK71" i="30" s="1"/>
  <c r="DI26" i="30"/>
  <c r="DT26" i="30"/>
  <c r="BL27" i="30"/>
  <c r="BL72" i="30" s="1"/>
  <c r="BD27" i="30"/>
  <c r="BD72" i="30" s="1"/>
  <c r="AV27" i="30"/>
  <c r="AV72" i="30" s="1"/>
  <c r="BQ27" i="30"/>
  <c r="BQ72" i="30" s="1"/>
  <c r="BO27" i="30"/>
  <c r="BO72" i="30" s="1"/>
  <c r="BG27" i="30"/>
  <c r="BG61" i="30" s="1"/>
  <c r="AY27" i="30"/>
  <c r="AY72" i="30" s="1"/>
  <c r="BF27" i="30"/>
  <c r="BF72" i="30" s="1"/>
  <c r="BR27" i="30"/>
  <c r="BR72" i="30" s="1"/>
  <c r="EA28" i="30"/>
  <c r="DS28" i="30"/>
  <c r="DK28" i="30"/>
  <c r="DX28" i="30"/>
  <c r="DP28" i="30"/>
  <c r="DH28" i="30"/>
  <c r="DV28" i="30"/>
  <c r="DN28" i="30"/>
  <c r="DF28" i="30"/>
  <c r="DQ28" i="30"/>
  <c r="DG29" i="30"/>
  <c r="DT29" i="30"/>
  <c r="AV30" i="30"/>
  <c r="BI30" i="30"/>
  <c r="BI75" i="30" s="1"/>
  <c r="BB31" i="30"/>
  <c r="BO31" i="30"/>
  <c r="DJ31" i="30"/>
  <c r="DW31" i="30"/>
  <c r="DK32" i="30"/>
  <c r="DW32" i="30"/>
  <c r="BO33" i="30"/>
  <c r="BG33" i="30"/>
  <c r="AY33" i="30"/>
  <c r="BL33" i="30"/>
  <c r="BD33" i="30"/>
  <c r="AV33" i="30"/>
  <c r="BR33" i="30"/>
  <c r="BJ33" i="30"/>
  <c r="BB33" i="30"/>
  <c r="BH33" i="30"/>
  <c r="BE35" i="30"/>
  <c r="BE80" i="30" s="1"/>
  <c r="BG78" i="30"/>
  <c r="BG67" i="30"/>
  <c r="DV78" i="30"/>
  <c r="CY79" i="30"/>
  <c r="CB71" i="30"/>
  <c r="EB72" i="30"/>
  <c r="BE73" i="30"/>
  <c r="BE62" i="30"/>
  <c r="BE108" i="30" s="1"/>
  <c r="CR73" i="30"/>
  <c r="EB73" i="30"/>
  <c r="CJ74" i="30"/>
  <c r="BJ64" i="30"/>
  <c r="BJ110" i="30" s="1"/>
  <c r="DG77" i="30"/>
  <c r="CE78" i="30"/>
  <c r="DY78" i="30"/>
  <c r="DN79" i="30"/>
  <c r="CY80" i="30"/>
  <c r="BR30" i="30"/>
  <c r="BJ30" i="30"/>
  <c r="BJ75" i="30" s="1"/>
  <c r="BB30" i="30"/>
  <c r="BB75" i="30" s="1"/>
  <c r="BO30" i="30"/>
  <c r="BO75" i="30" s="1"/>
  <c r="BG30" i="30"/>
  <c r="BG75" i="30" s="1"/>
  <c r="AY30" i="30"/>
  <c r="BM30" i="30"/>
  <c r="BM75" i="30" s="1"/>
  <c r="BE30" i="30"/>
  <c r="BE75" i="30" s="1"/>
  <c r="AW30" i="30"/>
  <c r="BZ60" i="30"/>
  <c r="BZ37" i="30"/>
  <c r="BZ62" i="30"/>
  <c r="BZ39" i="30"/>
  <c r="DC64" i="30"/>
  <c r="DC41" i="30"/>
  <c r="AW77" i="30"/>
  <c r="AW66" i="30"/>
  <c r="BE77" i="30"/>
  <c r="BE66" i="30"/>
  <c r="BM77" i="30"/>
  <c r="BM66" i="30"/>
  <c r="CB77" i="30"/>
  <c r="CJ77" i="30"/>
  <c r="CR77" i="30"/>
  <c r="DC66" i="30"/>
  <c r="DC43" i="30"/>
  <c r="DC21" i="30"/>
  <c r="DC54" i="30" s="1"/>
  <c r="DL77" i="30"/>
  <c r="DT77" i="30"/>
  <c r="EB77" i="30"/>
  <c r="BZ19" i="30"/>
  <c r="BZ52" i="30" s="1"/>
  <c r="DV29" i="30"/>
  <c r="AX30" i="30"/>
  <c r="AX75" i="30" s="1"/>
  <c r="BK30" i="30"/>
  <c r="CT78" i="30"/>
  <c r="BZ68" i="30"/>
  <c r="BZ45" i="30"/>
  <c r="BZ34" i="30"/>
  <c r="BZ97" i="30" s="1"/>
  <c r="BZ23" i="30"/>
  <c r="BZ56" i="30" s="1"/>
  <c r="EB71" i="30"/>
  <c r="CB72" i="30"/>
  <c r="CJ72" i="30"/>
  <c r="DT72" i="30"/>
  <c r="CB73" i="30"/>
  <c r="CB74" i="30"/>
  <c r="BM79" i="30"/>
  <c r="BM68" i="30"/>
  <c r="CW100" i="30"/>
  <c r="CW101" i="30" s="1"/>
  <c r="CG100" i="30"/>
  <c r="CG101" i="30" s="1"/>
  <c r="BA100" i="30"/>
  <c r="BA101" i="30" s="1"/>
  <c r="DY100" i="30"/>
  <c r="DY101" i="30" s="1"/>
  <c r="DQ100" i="30"/>
  <c r="DQ101" i="30" s="1"/>
  <c r="DI100" i="30"/>
  <c r="DI101" i="30" s="1"/>
  <c r="CN100" i="30"/>
  <c r="CN101" i="30" s="1"/>
  <c r="CF100" i="30"/>
  <c r="CF101" i="30" s="1"/>
  <c r="DX100" i="30"/>
  <c r="DX101" i="30" s="1"/>
  <c r="DN100" i="30"/>
  <c r="DN101" i="30" s="1"/>
  <c r="DF100" i="30"/>
  <c r="DF101" i="30" s="1"/>
  <c r="CR100" i="30"/>
  <c r="CR101" i="30" s="1"/>
  <c r="EB100" i="30"/>
  <c r="EB101" i="30" s="1"/>
  <c r="AX100" i="30"/>
  <c r="AX101" i="30" s="1"/>
  <c r="CJ100" i="30"/>
  <c r="CJ101" i="30" s="1"/>
  <c r="DC60" i="30"/>
  <c r="DC37" i="30"/>
  <c r="DC62" i="30"/>
  <c r="DC28" i="30"/>
  <c r="DC92" i="30" s="1"/>
  <c r="DC19" i="30"/>
  <c r="DC52" i="30" s="1"/>
  <c r="BZ21" i="30"/>
  <c r="BZ54" i="30" s="1"/>
  <c r="BC26" i="30"/>
  <c r="BC71" i="30" s="1"/>
  <c r="BN26" i="30"/>
  <c r="BN60" i="30" s="1"/>
  <c r="DL26" i="30"/>
  <c r="DK29" i="30"/>
  <c r="DW29" i="30"/>
  <c r="AZ30" i="30"/>
  <c r="AZ75" i="30" s="1"/>
  <c r="BL30" i="30"/>
  <c r="BL75" i="30" s="1"/>
  <c r="BE31" i="30"/>
  <c r="DM31" i="30"/>
  <c r="BZ32" i="30"/>
  <c r="DN32" i="30"/>
  <c r="BO35" i="30"/>
  <c r="BO80" i="30" s="1"/>
  <c r="BG35" i="30"/>
  <c r="BG69" i="30" s="1"/>
  <c r="AY35" i="30"/>
  <c r="AY80" i="30" s="1"/>
  <c r="BL35" i="30"/>
  <c r="BL80" i="30" s="1"/>
  <c r="BD35" i="30"/>
  <c r="BD80" i="30" s="1"/>
  <c r="AV35" i="30"/>
  <c r="AV80" i="30" s="1"/>
  <c r="BR35" i="30"/>
  <c r="BR69" i="30" s="1"/>
  <c r="BJ35" i="30"/>
  <c r="BJ80" i="30" s="1"/>
  <c r="BB35" i="30"/>
  <c r="BH35" i="30"/>
  <c r="BH69" i="30" s="1"/>
  <c r="BO78" i="30"/>
  <c r="BO67" i="30"/>
  <c r="AV79" i="30"/>
  <c r="AV68" i="30"/>
  <c r="DK79" i="30"/>
  <c r="DL71" i="30"/>
  <c r="BE72" i="30"/>
  <c r="BE61" i="30"/>
  <c r="CR72" i="30"/>
  <c r="BM73" i="30"/>
  <c r="BM62" i="30"/>
  <c r="BM108" i="30" s="1"/>
  <c r="AW63" i="30"/>
  <c r="AW109" i="30" s="1"/>
  <c r="AW74" i="30"/>
  <c r="DQ75" i="30"/>
  <c r="BC76" i="30"/>
  <c r="BC65" i="30"/>
  <c r="BK76" i="30"/>
  <c r="BK65" i="30"/>
  <c r="BS76" i="30"/>
  <c r="BS65" i="30"/>
  <c r="CH76" i="30"/>
  <c r="CP76" i="30"/>
  <c r="CX76" i="30"/>
  <c r="DJ76" i="30"/>
  <c r="DR76" i="30"/>
  <c r="DZ76" i="30"/>
  <c r="BZ69" i="30"/>
  <c r="BZ46" i="30"/>
  <c r="BZ35" i="30"/>
  <c r="BZ98" i="30" s="1"/>
  <c r="BH78" i="30"/>
  <c r="BH67" i="30"/>
  <c r="CU78" i="30"/>
  <c r="AW79" i="30"/>
  <c r="AW68" i="30"/>
  <c r="CJ79" i="30"/>
  <c r="DT79" i="30"/>
  <c r="DC26" i="30"/>
  <c r="DC90" i="30" s="1"/>
  <c r="BA30" i="30"/>
  <c r="BA75" i="30" s="1"/>
  <c r="BN30" i="30"/>
  <c r="BN75" i="30" s="1"/>
  <c r="AT95" i="30"/>
  <c r="AT20" i="30"/>
  <c r="DC32" i="30"/>
  <c r="AY78" i="30"/>
  <c r="AY67" i="30"/>
  <c r="CL78" i="30"/>
  <c r="DN78" i="30"/>
  <c r="BL79" i="30"/>
  <c r="BL68" i="30"/>
  <c r="CQ79" i="30"/>
  <c r="DS79" i="30"/>
  <c r="CR71" i="30"/>
  <c r="DT71" i="30"/>
  <c r="BM72" i="30"/>
  <c r="BM61" i="30"/>
  <c r="DL72" i="30"/>
  <c r="CJ73" i="30"/>
  <c r="DL73" i="30"/>
  <c r="DT74" i="30"/>
  <c r="BB64" i="30"/>
  <c r="BB110" i="30" s="1"/>
  <c r="CG75" i="30"/>
  <c r="DI75" i="30"/>
  <c r="BI76" i="30"/>
  <c r="BI65" i="30"/>
  <c r="CV76" i="30"/>
  <c r="DU76" i="30"/>
  <c r="BP77" i="30"/>
  <c r="BP66" i="30"/>
  <c r="BB80" i="30"/>
  <c r="BB69" i="30"/>
  <c r="CO80" i="30"/>
  <c r="DN80" i="30"/>
  <c r="AT5" i="30"/>
  <c r="BZ65" i="30"/>
  <c r="BZ31" i="30"/>
  <c r="BZ95" i="30" s="1"/>
  <c r="AV78" i="30"/>
  <c r="AV67" i="30"/>
  <c r="BD78" i="30"/>
  <c r="BD67" i="30"/>
  <c r="BL67" i="30"/>
  <c r="BL78" i="30"/>
  <c r="BZ67" i="30"/>
  <c r="BZ44" i="30"/>
  <c r="BZ22" i="30"/>
  <c r="BZ55" i="30" s="1"/>
  <c r="BZ33" i="30"/>
  <c r="BZ96" i="30" s="1"/>
  <c r="CI78" i="30"/>
  <c r="CQ78" i="30"/>
  <c r="CY78" i="30"/>
  <c r="DK78" i="30"/>
  <c r="DS78" i="30"/>
  <c r="EA78" i="30"/>
  <c r="BA79" i="30"/>
  <c r="BA68" i="30"/>
  <c r="BI79" i="30"/>
  <c r="BI68" i="30"/>
  <c r="BQ79" i="30"/>
  <c r="BQ68" i="30"/>
  <c r="CF79" i="30"/>
  <c r="CN79" i="30"/>
  <c r="CV79" i="30"/>
  <c r="DH79" i="30"/>
  <c r="DP79" i="30"/>
  <c r="DX79" i="30"/>
  <c r="DC69" i="30"/>
  <c r="DC46" i="30"/>
  <c r="B95" i="30"/>
  <c r="D95" i="30" s="1"/>
  <c r="BR26" i="30"/>
  <c r="BR71" i="30" s="1"/>
  <c r="BJ26" i="30"/>
  <c r="BJ71" i="30" s="1"/>
  <c r="BB26" i="30"/>
  <c r="BB71" i="30" s="1"/>
  <c r="BM26" i="30"/>
  <c r="BM71" i="30" s="1"/>
  <c r="BE26" i="30"/>
  <c r="BE71" i="30" s="1"/>
  <c r="AW26" i="30"/>
  <c r="AW71" i="30" s="1"/>
  <c r="BF26" i="30"/>
  <c r="BF71" i="30" s="1"/>
  <c r="BP26" i="30"/>
  <c r="BP71" i="30" s="1"/>
  <c r="DW26" i="30"/>
  <c r="DO26" i="30"/>
  <c r="DG26" i="30"/>
  <c r="DZ26" i="30"/>
  <c r="DR26" i="30"/>
  <c r="DJ26" i="30"/>
  <c r="DN26" i="30"/>
  <c r="DY26" i="30"/>
  <c r="DN29" i="30"/>
  <c r="BC30" i="30"/>
  <c r="BC75" i="30" s="1"/>
  <c r="BP30" i="30"/>
  <c r="BP75" i="30" s="1"/>
  <c r="BQ31" i="30"/>
  <c r="BI31" i="30"/>
  <c r="BA31" i="30"/>
  <c r="BN31" i="30"/>
  <c r="BF31" i="30"/>
  <c r="AX31" i="30"/>
  <c r="BL31" i="30"/>
  <c r="BD31" i="30"/>
  <c r="AV31" i="30"/>
  <c r="BH31" i="30"/>
  <c r="DV31" i="30"/>
  <c r="DN31" i="30"/>
  <c r="DF31" i="30"/>
  <c r="EA31" i="30"/>
  <c r="DS31" i="30"/>
  <c r="DK31" i="30"/>
  <c r="DY31" i="30"/>
  <c r="DQ31" i="30"/>
  <c r="DI31" i="30"/>
  <c r="DP31" i="30"/>
  <c r="DU32" i="30"/>
  <c r="DM32" i="30"/>
  <c r="DE32" i="30"/>
  <c r="DZ32" i="30"/>
  <c r="DR32" i="30"/>
  <c r="DJ32" i="30"/>
  <c r="DX32" i="30"/>
  <c r="DP32" i="30"/>
  <c r="DH32" i="30"/>
  <c r="DQ32" i="30"/>
  <c r="DC38" i="30"/>
  <c r="DC61" i="30"/>
  <c r="DC63" i="30"/>
  <c r="DC40" i="30"/>
  <c r="BB77" i="30"/>
  <c r="BB66" i="30"/>
  <c r="BJ77" i="30"/>
  <c r="BJ66" i="30"/>
  <c r="BR77" i="30"/>
  <c r="BR66" i="30"/>
  <c r="CG77" i="30"/>
  <c r="CO77" i="30"/>
  <c r="CW77" i="30"/>
  <c r="DI77" i="30"/>
  <c r="DQ77" i="30"/>
  <c r="DY77" i="30"/>
  <c r="BZ15" i="30"/>
  <c r="BZ48" i="30" s="1"/>
  <c r="BZ17" i="30"/>
  <c r="BZ50" i="30" s="1"/>
  <c r="DU29" i="30"/>
  <c r="DM29" i="30"/>
  <c r="DE29" i="30"/>
  <c r="DZ29" i="30"/>
  <c r="DR29" i="30"/>
  <c r="DJ29" i="30"/>
  <c r="DX29" i="30"/>
  <c r="DP29" i="30"/>
  <c r="DH29" i="30"/>
  <c r="DQ29" i="30"/>
  <c r="BF30" i="30"/>
  <c r="BF75" i="30" s="1"/>
  <c r="BS30" i="30"/>
  <c r="DL27" i="30"/>
  <c r="DT27" i="30"/>
  <c r="EB27" i="30"/>
  <c r="BA28" i="30"/>
  <c r="BA73" i="30" s="1"/>
  <c r="BI28" i="30"/>
  <c r="BI62" i="30" s="1"/>
  <c r="BI108" i="30" s="1"/>
  <c r="BQ28" i="30"/>
  <c r="BQ73" i="30" s="1"/>
  <c r="BC29" i="30"/>
  <c r="BK29" i="30"/>
  <c r="BS29" i="30"/>
  <c r="DJ30" i="30"/>
  <c r="DR30" i="30"/>
  <c r="DZ30" i="30"/>
  <c r="BC32" i="30"/>
  <c r="BK32" i="30"/>
  <c r="BS32" i="30"/>
  <c r="DG33" i="30"/>
  <c r="DO33" i="30"/>
  <c r="DW33" i="30"/>
  <c r="DG35" i="30"/>
  <c r="DO35" i="30"/>
  <c r="DW35" i="30"/>
  <c r="AW99" i="30"/>
  <c r="AW100" i="30" s="1"/>
  <c r="AW101" i="30" s="1"/>
  <c r="BE99" i="30"/>
  <c r="BE100" i="30" s="1"/>
  <c r="BE101" i="30" s="1"/>
  <c r="BM99" i="30"/>
  <c r="BM100" i="30" s="1"/>
  <c r="BM101" i="30" s="1"/>
  <c r="CC99" i="30"/>
  <c r="CC100" i="30" s="1"/>
  <c r="CC101" i="30" s="1"/>
  <c r="CK99" i="30"/>
  <c r="CK100" i="30" s="1"/>
  <c r="CK101" i="30" s="1"/>
  <c r="CS99" i="30"/>
  <c r="CS100" i="30" s="1"/>
  <c r="CS101" i="30" s="1"/>
  <c r="DE99" i="30"/>
  <c r="DE100" i="30" s="1"/>
  <c r="DE101" i="30" s="1"/>
  <c r="DM99" i="30"/>
  <c r="DM100" i="30" s="1"/>
  <c r="DM101" i="30" s="1"/>
  <c r="DU99" i="30"/>
  <c r="DU100" i="30" s="1"/>
  <c r="DU101" i="30" s="1"/>
  <c r="BC28" i="30"/>
  <c r="BC73" i="30" s="1"/>
  <c r="BK28" i="30"/>
  <c r="BK73" i="30" s="1"/>
  <c r="BS28" i="30"/>
  <c r="BS73" i="30" s="1"/>
  <c r="DL30" i="30"/>
  <c r="DT30" i="30"/>
  <c r="EB30" i="30"/>
  <c r="AY99" i="30"/>
  <c r="AY100" i="30" s="1"/>
  <c r="AY101" i="30" s="1"/>
  <c r="BG99" i="30"/>
  <c r="BG100" i="30" s="1"/>
  <c r="BG101" i="30" s="1"/>
  <c r="BO99" i="30"/>
  <c r="BO100" i="30" s="1"/>
  <c r="BO101" i="30" s="1"/>
  <c r="CE99" i="30"/>
  <c r="CE100" i="30" s="1"/>
  <c r="CE101" i="30" s="1"/>
  <c r="CM99" i="30"/>
  <c r="CM100" i="30" s="1"/>
  <c r="CM101" i="30" s="1"/>
  <c r="CU99" i="30"/>
  <c r="CU100" i="30" s="1"/>
  <c r="CU101" i="30" s="1"/>
  <c r="DG99" i="30"/>
  <c r="DG100" i="30" s="1"/>
  <c r="DG101" i="30" s="1"/>
  <c r="DO99" i="30"/>
  <c r="DO100" i="30" s="1"/>
  <c r="DO101" i="30" s="1"/>
  <c r="DW99" i="30"/>
  <c r="DW100" i="30" s="1"/>
  <c r="DW101" i="30" s="1"/>
  <c r="DI27" i="30"/>
  <c r="DQ27" i="30"/>
  <c r="AX28" i="30"/>
  <c r="AX73" i="30" s="1"/>
  <c r="BF28" i="30"/>
  <c r="BF73" i="30" s="1"/>
  <c r="AZ29" i="30"/>
  <c r="BH29" i="30"/>
  <c r="DG30" i="30"/>
  <c r="DO30" i="30"/>
  <c r="AZ32" i="30"/>
  <c r="BH32" i="30"/>
  <c r="DL33" i="30"/>
  <c r="DT33" i="30"/>
  <c r="DL35" i="30"/>
  <c r="DT35" i="30"/>
  <c r="BB99" i="30"/>
  <c r="BB100" i="30" s="1"/>
  <c r="BB101" i="30" s="1"/>
  <c r="BJ99" i="30"/>
  <c r="BJ100" i="30" s="1"/>
  <c r="BJ101" i="30" s="1"/>
  <c r="BR99" i="30"/>
  <c r="BR100" i="30" s="1"/>
  <c r="BR101" i="30" s="1"/>
  <c r="CH99" i="30"/>
  <c r="CH100" i="30" s="1"/>
  <c r="CH101" i="30" s="1"/>
  <c r="CP99" i="30"/>
  <c r="CP100" i="30" s="1"/>
  <c r="CP101" i="30" s="1"/>
  <c r="CX99" i="30"/>
  <c r="CX100" i="30" s="1"/>
  <c r="CX101" i="30" s="1"/>
  <c r="DJ99" i="30"/>
  <c r="DJ100" i="30" s="1"/>
  <c r="DJ101" i="30" s="1"/>
  <c r="DR99" i="30"/>
  <c r="DR100" i="30" s="1"/>
  <c r="DR101" i="30" s="1"/>
  <c r="DZ99" i="30"/>
  <c r="DZ100" i="30" s="1"/>
  <c r="DZ101" i="30" s="1"/>
  <c r="CI99" i="30"/>
  <c r="CI100" i="30" s="1"/>
  <c r="CI101" i="30" s="1"/>
  <c r="CQ99" i="30"/>
  <c r="CQ100" i="30" s="1"/>
  <c r="CQ101" i="30" s="1"/>
  <c r="CY99" i="30"/>
  <c r="CY100" i="30" s="1"/>
  <c r="CY101" i="30" s="1"/>
  <c r="DK99" i="30"/>
  <c r="DK100" i="30" s="1"/>
  <c r="DK101" i="30" s="1"/>
  <c r="DS99" i="30"/>
  <c r="DS100" i="30" s="1"/>
  <c r="DS101" i="30" s="1"/>
  <c r="EA99" i="30"/>
  <c r="EA100" i="30" s="1"/>
  <c r="EA101" i="30" s="1"/>
  <c r="BD99" i="30"/>
  <c r="BD100" i="30" s="1"/>
  <c r="BD101" i="30" s="1"/>
  <c r="BL99" i="30"/>
  <c r="BL100" i="30" s="1"/>
  <c r="BL101" i="30" s="1"/>
  <c r="B107" i="30"/>
  <c r="B124" i="30" s="1"/>
  <c r="B116" i="30"/>
  <c r="AF22" i="29"/>
  <c r="AK21" i="29" s="1"/>
  <c r="AA174" i="28"/>
  <c r="AB174" i="28"/>
  <c r="AC30" i="28"/>
  <c r="Z30" i="28"/>
  <c r="Y30" i="28"/>
  <c r="X30" i="28"/>
  <c r="S228" i="28"/>
  <c r="AB24" i="28"/>
  <c r="Y24" i="28"/>
  <c r="X24" i="28"/>
  <c r="W24" i="28"/>
  <c r="AC24" i="28"/>
  <c r="AG164" i="28"/>
  <c r="V164" i="28"/>
  <c r="U164" i="28"/>
  <c r="AJ164" i="28"/>
  <c r="AC174" i="28"/>
  <c r="Z24" i="28"/>
  <c r="W30" i="28"/>
  <c r="Z33" i="28"/>
  <c r="X33" i="28"/>
  <c r="Y33" i="28"/>
  <c r="AC33" i="28"/>
  <c r="W164" i="28"/>
  <c r="V177" i="28"/>
  <c r="U177" i="28"/>
  <c r="AJ177" i="28"/>
  <c r="AI177" i="28"/>
  <c r="AF177" i="28"/>
  <c r="W177" i="28"/>
  <c r="AB189" i="28"/>
  <c r="AA189" i="28"/>
  <c r="AB204" i="28"/>
  <c r="W25" i="28"/>
  <c r="AC25" i="28"/>
  <c r="AA25" i="28"/>
  <c r="Z25" i="28"/>
  <c r="AC29" i="28"/>
  <c r="AB29" i="28"/>
  <c r="AA29" i="28"/>
  <c r="Y29" i="28"/>
  <c r="X29" i="28"/>
  <c r="AB30" i="28"/>
  <c r="AA166" i="28"/>
  <c r="AA172" i="28"/>
  <c r="AB194" i="28"/>
  <c r="AA194" i="28"/>
  <c r="AC194" i="28"/>
  <c r="W167" i="28"/>
  <c r="U167" i="28"/>
  <c r="V167" i="28"/>
  <c r="AG167" i="28"/>
  <c r="V181" i="28"/>
  <c r="U181" i="28"/>
  <c r="AJ181" i="28"/>
  <c r="AI181" i="28"/>
  <c r="AG181" i="28"/>
  <c r="W181" i="28"/>
  <c r="AF181" i="28"/>
  <c r="X26" i="28"/>
  <c r="AC26" i="28"/>
  <c r="AB26" i="28"/>
  <c r="AA26" i="28"/>
  <c r="Y26" i="28"/>
  <c r="AJ167" i="28"/>
  <c r="Z26" i="28"/>
  <c r="AF171" i="28"/>
  <c r="AE171" i="28"/>
  <c r="W171" i="28"/>
  <c r="V171" i="28"/>
  <c r="U171" i="28"/>
  <c r="AI171" i="28"/>
  <c r="AG171" i="28"/>
  <c r="AG176" i="28"/>
  <c r="AF176" i="28"/>
  <c r="W176" i="28"/>
  <c r="U176" i="28"/>
  <c r="V176" i="28"/>
  <c r="AI176" i="28"/>
  <c r="U201" i="28"/>
  <c r="AG201" i="28"/>
  <c r="AI201" i="28"/>
  <c r="W201" i="28"/>
  <c r="AF201" i="28"/>
  <c r="V201" i="28"/>
  <c r="AJ201" i="28"/>
  <c r="X25" i="28"/>
  <c r="AA27" i="28"/>
  <c r="Z27" i="28"/>
  <c r="Y27" i="28"/>
  <c r="W27" i="28"/>
  <c r="Z29" i="28"/>
  <c r="AC32" i="28"/>
  <c r="AB32" i="28"/>
  <c r="AA32" i="28"/>
  <c r="Y32" i="28"/>
  <c r="X32" i="28"/>
  <c r="AB33" i="28"/>
  <c r="AB164" i="28"/>
  <c r="AG169" i="28"/>
  <c r="AF169" i="28"/>
  <c r="W169" i="28"/>
  <c r="V169" i="28"/>
  <c r="U169" i="28"/>
  <c r="AI169" i="28"/>
  <c r="AB206" i="28"/>
  <c r="AE164" i="28"/>
  <c r="AA185" i="28"/>
  <c r="AD185" i="28" s="1"/>
  <c r="AH185" i="28" s="1"/>
  <c r="AC173" i="28"/>
  <c r="V166" i="28"/>
  <c r="V168" i="28"/>
  <c r="U182" i="28"/>
  <c r="V183" i="28"/>
  <c r="AB193" i="28"/>
  <c r="AB201" i="28"/>
  <c r="AA201" i="28"/>
  <c r="AB28" i="28"/>
  <c r="AB31" i="28"/>
  <c r="W166" i="28"/>
  <c r="AE166" i="28"/>
  <c r="W168" i="28"/>
  <c r="W172" i="28"/>
  <c r="AB173" i="28"/>
  <c r="V175" i="28"/>
  <c r="AD175" i="28"/>
  <c r="AH175" i="28" s="1"/>
  <c r="AA177" i="28"/>
  <c r="AJ179" i="28"/>
  <c r="AI179" i="28"/>
  <c r="V182" i="28"/>
  <c r="AF182" i="28"/>
  <c r="AB183" i="28"/>
  <c r="AC184" i="28"/>
  <c r="AD184" i="28" s="1"/>
  <c r="AH184" i="28" s="1"/>
  <c r="U187" i="28"/>
  <c r="V188" i="28"/>
  <c r="W190" i="28"/>
  <c r="AI190" i="28"/>
  <c r="AA199" i="28"/>
  <c r="U203" i="28"/>
  <c r="AG172" i="28"/>
  <c r="AF175" i="28"/>
  <c r="AB181" i="28"/>
  <c r="U184" i="28"/>
  <c r="AJ184" i="28"/>
  <c r="AG185" i="28"/>
  <c r="AC193" i="28"/>
  <c r="U194" i="28"/>
  <c r="AC195" i="28"/>
  <c r="AA195" i="28"/>
  <c r="AC199" i="28"/>
  <c r="AE199" i="28" s="1"/>
  <c r="AB202" i="28"/>
  <c r="AB205" i="28"/>
  <c r="AA206" i="28"/>
  <c r="AI207" i="28"/>
  <c r="W207" i="28"/>
  <c r="AJ207" i="28"/>
  <c r="AG207" i="28"/>
  <c r="V207" i="28"/>
  <c r="AF207" i="28"/>
  <c r="U207" i="28"/>
  <c r="W187" i="28"/>
  <c r="W28" i="28"/>
  <c r="W31" i="28"/>
  <c r="AG175" i="28"/>
  <c r="AA178" i="28"/>
  <c r="AD178" i="28" s="1"/>
  <c r="AC181" i="28"/>
  <c r="AE181" i="28" s="1"/>
  <c r="U185" i="28"/>
  <c r="AE185" i="28"/>
  <c r="AA186" i="28"/>
  <c r="AA187" i="28"/>
  <c r="AB198" i="28"/>
  <c r="AC201" i="28"/>
  <c r="AE201" i="28" s="1"/>
  <c r="V202" i="28"/>
  <c r="AJ202" i="28"/>
  <c r="AI202" i="28"/>
  <c r="AF202" i="28"/>
  <c r="AD205" i="28"/>
  <c r="AA207" i="28"/>
  <c r="AG168" i="28"/>
  <c r="AC177" i="28"/>
  <c r="AI166" i="28"/>
  <c r="AI168" i="28"/>
  <c r="AI172" i="28"/>
  <c r="AA173" i="28"/>
  <c r="AB178" i="28"/>
  <c r="W179" i="28"/>
  <c r="AG179" i="28"/>
  <c r="AA181" i="28"/>
  <c r="V184" i="28"/>
  <c r="AF184" i="28"/>
  <c r="V185" i="28"/>
  <c r="AF185" i="28"/>
  <c r="AB186" i="28"/>
  <c r="AB187" i="28"/>
  <c r="AB188" i="28"/>
  <c r="AC196" i="28"/>
  <c r="V198" i="28"/>
  <c r="AF198" i="28"/>
  <c r="U198" i="28"/>
  <c r="AJ198" i="28"/>
  <c r="U202" i="28"/>
  <c r="AG202" i="28"/>
  <c r="AC207" i="28"/>
  <c r="AJ172" i="28"/>
  <c r="AI175" i="28"/>
  <c r="AA182" i="28"/>
  <c r="AD182" i="28" s="1"/>
  <c r="AH182" i="28" s="1"/>
  <c r="AF183" i="28"/>
  <c r="AE183" i="28"/>
  <c r="W183" i="28"/>
  <c r="W184" i="28"/>
  <c r="AG184" i="28"/>
  <c r="W185" i="28"/>
  <c r="AI185" i="28"/>
  <c r="AC187" i="28"/>
  <c r="AF187" i="28" s="1"/>
  <c r="AA190" i="28"/>
  <c r="AI199" i="28"/>
  <c r="W199" i="28"/>
  <c r="AG199" i="28"/>
  <c r="V199" i="28"/>
  <c r="AC203" i="28"/>
  <c r="AB203" i="28"/>
  <c r="AC204" i="28"/>
  <c r="AB180" i="28"/>
  <c r="AA180" i="28"/>
  <c r="AD180" i="28" s="1"/>
  <c r="AI182" i="28"/>
  <c r="AJ188" i="28"/>
  <c r="AF188" i="28"/>
  <c r="AG188" i="28"/>
  <c r="V190" i="28"/>
  <c r="AJ190" i="28"/>
  <c r="AF190" i="28"/>
  <c r="AJ175" i="28"/>
  <c r="AE182" i="28"/>
  <c r="AB184" i="28"/>
  <c r="U188" i="28"/>
  <c r="U190" i="28"/>
  <c r="AG190" i="28"/>
  <c r="AB197" i="28"/>
  <c r="AA197" i="28"/>
  <c r="AA200" i="28"/>
  <c r="AB200" i="28"/>
  <c r="W203" i="28"/>
  <c r="AI203" i="28"/>
  <c r="AJ203" i="28"/>
  <c r="AA179" i="28"/>
  <c r="AD179" i="28" s="1"/>
  <c r="AH179" i="28" s="1"/>
  <c r="AB185" i="28"/>
  <c r="AB196" i="28"/>
  <c r="V206" i="28"/>
  <c r="AB192" i="28"/>
  <c r="AA204" i="28"/>
  <c r="U206" i="28"/>
  <c r="AF206" i="28"/>
  <c r="AI191" i="28"/>
  <c r="W191" i="28"/>
  <c r="AG197" i="28"/>
  <c r="U197" i="28"/>
  <c r="AA203" i="28"/>
  <c r="BP40" i="23"/>
  <c r="BO40" i="23"/>
  <c r="BN40" i="23"/>
  <c r="BM40" i="23"/>
  <c r="BL40" i="23"/>
  <c r="BK40" i="23"/>
  <c r="BJ40" i="23"/>
  <c r="BI40" i="23"/>
  <c r="BH40" i="23"/>
  <c r="BG40" i="23"/>
  <c r="BF40" i="23"/>
  <c r="BE40" i="23"/>
  <c r="BD40" i="23"/>
  <c r="BC40" i="23"/>
  <c r="BB40" i="23"/>
  <c r="BA40" i="23"/>
  <c r="AZ40" i="23"/>
  <c r="AY40" i="23"/>
  <c r="AX40" i="23"/>
  <c r="AW40" i="23"/>
  <c r="AV40" i="23"/>
  <c r="AU40" i="23"/>
  <c r="AT40" i="23"/>
  <c r="AS40" i="23"/>
  <c r="BP39" i="23"/>
  <c r="BO39" i="23"/>
  <c r="BN39" i="23"/>
  <c r="BM39" i="23"/>
  <c r="BL39" i="23"/>
  <c r="BK39" i="23"/>
  <c r="BJ39" i="23"/>
  <c r="BI39" i="23"/>
  <c r="BH39" i="23"/>
  <c r="BG39" i="23"/>
  <c r="BF39" i="23"/>
  <c r="BE39" i="23"/>
  <c r="BD39" i="23"/>
  <c r="BC39" i="23"/>
  <c r="BB39" i="23"/>
  <c r="BA39" i="23"/>
  <c r="AZ39" i="23"/>
  <c r="AY39" i="23"/>
  <c r="AT39" i="23"/>
  <c r="AS39" i="23"/>
  <c r="BN38" i="23"/>
  <c r="BM38" i="23"/>
  <c r="BL38" i="23"/>
  <c r="BK38" i="23"/>
  <c r="BJ38" i="23"/>
  <c r="BI38" i="23"/>
  <c r="BH38" i="23"/>
  <c r="BG38" i="23"/>
  <c r="BF38" i="23"/>
  <c r="BE38" i="23"/>
  <c r="BD38" i="23"/>
  <c r="BC38" i="23"/>
  <c r="BB38" i="23"/>
  <c r="BA38" i="23"/>
  <c r="AZ38" i="23"/>
  <c r="AY38" i="23"/>
  <c r="AX38" i="23"/>
  <c r="AW38" i="23"/>
  <c r="AV38" i="23"/>
  <c r="AU38" i="23"/>
  <c r="BP37" i="23"/>
  <c r="BO37" i="23"/>
  <c r="BH37" i="23"/>
  <c r="BG37" i="23"/>
  <c r="BF37" i="23"/>
  <c r="BE37" i="23"/>
  <c r="BD37" i="23"/>
  <c r="BC37" i="23"/>
  <c r="BB37" i="23"/>
  <c r="BA37" i="23"/>
  <c r="AZ37" i="23"/>
  <c r="AY37" i="23"/>
  <c r="AX37" i="23"/>
  <c r="AW37" i="23"/>
  <c r="AV37" i="23"/>
  <c r="AU37" i="23"/>
  <c r="AT37" i="23"/>
  <c r="AS37" i="23"/>
  <c r="BP36" i="23"/>
  <c r="BO36" i="23"/>
  <c r="BN36" i="23"/>
  <c r="BM36" i="23"/>
  <c r="BL36" i="23"/>
  <c r="BK36" i="23"/>
  <c r="BJ36" i="23"/>
  <c r="BI36" i="23"/>
  <c r="BD36" i="23"/>
  <c r="BC36" i="23"/>
  <c r="BB36" i="23"/>
  <c r="BA36" i="23"/>
  <c r="AZ36" i="23"/>
  <c r="AY36" i="23"/>
  <c r="AX36" i="23"/>
  <c r="AW36" i="23"/>
  <c r="AV36" i="23"/>
  <c r="AU36" i="23"/>
  <c r="AT36" i="23"/>
  <c r="AS36" i="23"/>
  <c r="BP35" i="23"/>
  <c r="BO35" i="23"/>
  <c r="BN35" i="23"/>
  <c r="BM35" i="23"/>
  <c r="BL35" i="23"/>
  <c r="BK35" i="23"/>
  <c r="BJ35" i="23"/>
  <c r="BI35" i="23"/>
  <c r="BH35" i="23"/>
  <c r="BG35" i="23"/>
  <c r="BF35" i="23"/>
  <c r="BE35" i="23"/>
  <c r="AX35" i="23"/>
  <c r="AW35" i="23"/>
  <c r="AV35" i="23"/>
  <c r="AU35" i="23"/>
  <c r="AT35" i="23"/>
  <c r="AS35" i="23"/>
  <c r="BP32" i="23"/>
  <c r="BO32" i="23"/>
  <c r="BN32" i="23"/>
  <c r="BM32" i="23"/>
  <c r="BL32" i="23"/>
  <c r="BK32" i="23"/>
  <c r="BJ32" i="23"/>
  <c r="BI32" i="23"/>
  <c r="BH32" i="23"/>
  <c r="BG32" i="23"/>
  <c r="BF32" i="23"/>
  <c r="BE32" i="23"/>
  <c r="BD32" i="23"/>
  <c r="BC32" i="23"/>
  <c r="BB32" i="23"/>
  <c r="BA32" i="23"/>
  <c r="AZ32" i="23"/>
  <c r="AY32" i="23"/>
  <c r="AX32" i="23"/>
  <c r="AW32" i="23"/>
  <c r="AV32" i="23"/>
  <c r="AU32" i="23"/>
  <c r="AT32" i="23"/>
  <c r="AS32" i="23"/>
  <c r="BP31" i="23"/>
  <c r="BO31" i="23"/>
  <c r="BN31" i="23"/>
  <c r="BM31" i="23"/>
  <c r="BL31" i="23"/>
  <c r="BK31" i="23"/>
  <c r="BJ31" i="23"/>
  <c r="BI31" i="23"/>
  <c r="BH31" i="23"/>
  <c r="BG31" i="23"/>
  <c r="BF31" i="23"/>
  <c r="BE31" i="23"/>
  <c r="BD31" i="23"/>
  <c r="BC31" i="23"/>
  <c r="BB31" i="23"/>
  <c r="BA31" i="23"/>
  <c r="AZ31" i="23"/>
  <c r="AY31" i="23"/>
  <c r="AT31" i="23"/>
  <c r="AS31" i="23"/>
  <c r="BN30" i="23"/>
  <c r="BM30" i="23"/>
  <c r="BL30" i="23"/>
  <c r="BK30" i="23"/>
  <c r="BJ30" i="23"/>
  <c r="BI30" i="23"/>
  <c r="BH30" i="23"/>
  <c r="BG30" i="23"/>
  <c r="BF30" i="23"/>
  <c r="BE30" i="23"/>
  <c r="BD30" i="23"/>
  <c r="BC30" i="23"/>
  <c r="BB30" i="23"/>
  <c r="BA30" i="23"/>
  <c r="AZ30" i="23"/>
  <c r="AY30" i="23"/>
  <c r="AX30" i="23"/>
  <c r="AW30" i="23"/>
  <c r="AV30" i="23"/>
  <c r="AU30" i="23"/>
  <c r="BP29" i="23"/>
  <c r="BO29" i="23"/>
  <c r="BH29" i="23"/>
  <c r="BG29" i="23"/>
  <c r="BF29" i="23"/>
  <c r="BE29" i="23"/>
  <c r="BD29" i="23"/>
  <c r="BC29" i="23"/>
  <c r="BB29" i="23"/>
  <c r="BA29" i="23"/>
  <c r="AZ29" i="23"/>
  <c r="AY29" i="23"/>
  <c r="AX29" i="23"/>
  <c r="AW29" i="23"/>
  <c r="AV29" i="23"/>
  <c r="AU29" i="23"/>
  <c r="AT29" i="23"/>
  <c r="AS29" i="23"/>
  <c r="BP28" i="23"/>
  <c r="BO28" i="23"/>
  <c r="BN28" i="23"/>
  <c r="BM28" i="23"/>
  <c r="BL28" i="23"/>
  <c r="BK28" i="23"/>
  <c r="BJ28" i="23"/>
  <c r="BI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BP27" i="23"/>
  <c r="BO27" i="23"/>
  <c r="BN27" i="23"/>
  <c r="BM27" i="23"/>
  <c r="BL27" i="23"/>
  <c r="BK27" i="23"/>
  <c r="BJ27" i="23"/>
  <c r="BI27" i="23"/>
  <c r="BH27" i="23"/>
  <c r="BG27" i="23"/>
  <c r="BF27" i="23"/>
  <c r="BE27" i="23"/>
  <c r="AX27" i="23"/>
  <c r="AW27" i="23"/>
  <c r="AV27" i="23"/>
  <c r="AU27" i="23"/>
  <c r="AT27" i="23"/>
  <c r="AS27" i="23"/>
  <c r="BP24" i="23"/>
  <c r="BO24" i="23"/>
  <c r="BN24" i="23"/>
  <c r="BM24" i="23"/>
  <c r="BL24" i="23"/>
  <c r="BK24" i="23"/>
  <c r="BJ24" i="23"/>
  <c r="BI24" i="23"/>
  <c r="BH24" i="23"/>
  <c r="BG24" i="23"/>
  <c r="BF24" i="23"/>
  <c r="BE24" i="23"/>
  <c r="BD24" i="23"/>
  <c r="BC24" i="23"/>
  <c r="BB24" i="23"/>
  <c r="BA24" i="23"/>
  <c r="AZ24" i="23"/>
  <c r="AY24" i="23"/>
  <c r="AX24" i="23"/>
  <c r="AW24" i="23"/>
  <c r="AV24" i="23"/>
  <c r="AU24" i="23"/>
  <c r="AT24" i="23"/>
  <c r="AS24" i="23"/>
  <c r="BP23" i="23"/>
  <c r="BO23" i="23"/>
  <c r="BN23" i="23"/>
  <c r="BM23" i="23"/>
  <c r="BL23" i="23"/>
  <c r="BK23" i="23"/>
  <c r="BJ23" i="23"/>
  <c r="BI23" i="23"/>
  <c r="BH23" i="23"/>
  <c r="BG23" i="23"/>
  <c r="BF23" i="23"/>
  <c r="BE23" i="23"/>
  <c r="BD23" i="23"/>
  <c r="BC23" i="23"/>
  <c r="BB23" i="23"/>
  <c r="BA23" i="23"/>
  <c r="AZ23" i="23"/>
  <c r="AY23" i="23"/>
  <c r="AT23" i="23"/>
  <c r="AS23" i="23"/>
  <c r="BN22" i="23"/>
  <c r="BM22" i="23"/>
  <c r="BL22" i="23"/>
  <c r="BK22" i="23"/>
  <c r="BJ22" i="23"/>
  <c r="BI22" i="23"/>
  <c r="BH22" i="23"/>
  <c r="BG22" i="23"/>
  <c r="BF22" i="23"/>
  <c r="BE22" i="23"/>
  <c r="BD22" i="23"/>
  <c r="BC22" i="23"/>
  <c r="BB22" i="23"/>
  <c r="BA22" i="23"/>
  <c r="AZ22" i="23"/>
  <c r="AY22" i="23"/>
  <c r="AX22" i="23"/>
  <c r="AW22" i="23"/>
  <c r="AV22" i="23"/>
  <c r="AU22" i="23"/>
  <c r="BP21" i="23"/>
  <c r="BO21" i="23"/>
  <c r="BH21" i="23"/>
  <c r="BG21" i="23"/>
  <c r="BF21" i="23"/>
  <c r="BE21" i="23"/>
  <c r="BD21" i="23"/>
  <c r="BC21" i="23"/>
  <c r="BB21" i="23"/>
  <c r="BA21" i="23"/>
  <c r="AZ21" i="23"/>
  <c r="AY21" i="23"/>
  <c r="AX21" i="23"/>
  <c r="AW21" i="23"/>
  <c r="AV21" i="23"/>
  <c r="AU21" i="23"/>
  <c r="AT21" i="23"/>
  <c r="AS21" i="23"/>
  <c r="BP20" i="23"/>
  <c r="BO20" i="23"/>
  <c r="BN20" i="23"/>
  <c r="BM20" i="23"/>
  <c r="BL20" i="23"/>
  <c r="BK20" i="23"/>
  <c r="BJ20" i="23"/>
  <c r="BI20" i="23"/>
  <c r="BD20" i="23"/>
  <c r="BC20" i="23"/>
  <c r="BB20" i="23"/>
  <c r="BA20" i="23"/>
  <c r="AZ20" i="23"/>
  <c r="AY20" i="23"/>
  <c r="AX20" i="23"/>
  <c r="AW20" i="23"/>
  <c r="AV20" i="23"/>
  <c r="AU20" i="23"/>
  <c r="AT20" i="23"/>
  <c r="AS20" i="23"/>
  <c r="BP19" i="23"/>
  <c r="BO19" i="23"/>
  <c r="BN19" i="23"/>
  <c r="BM19" i="23"/>
  <c r="BL19" i="23"/>
  <c r="BK19" i="23"/>
  <c r="BJ19" i="23"/>
  <c r="BI19" i="23"/>
  <c r="BH19" i="23"/>
  <c r="BG19" i="23"/>
  <c r="BF19" i="23"/>
  <c r="BE19" i="23"/>
  <c r="AX19" i="23"/>
  <c r="AW19" i="23"/>
  <c r="AV19" i="23"/>
  <c r="AU19" i="23"/>
  <c r="AT19" i="23"/>
  <c r="AS19" i="23"/>
  <c r="I73" i="23"/>
  <c r="I72" i="23"/>
  <c r="I71" i="23"/>
  <c r="AD190" i="28" l="1"/>
  <c r="AH190" i="28" s="1"/>
  <c r="M8" i="29"/>
  <c r="Q72" i="30"/>
  <c r="J8" i="29"/>
  <c r="N72" i="30"/>
  <c r="AC72" i="30"/>
  <c r="Y8" i="29"/>
  <c r="L8" i="29"/>
  <c r="P72" i="30"/>
  <c r="S8" i="29"/>
  <c r="W72" i="30"/>
  <c r="X8" i="29"/>
  <c r="AB72" i="30"/>
  <c r="U8" i="29"/>
  <c r="Y72" i="30"/>
  <c r="K8" i="29"/>
  <c r="K11" i="29" s="1"/>
  <c r="K13" i="29" s="1"/>
  <c r="O72" i="30"/>
  <c r="M72" i="30"/>
  <c r="I8" i="29"/>
  <c r="L72" i="30"/>
  <c r="H8" i="29"/>
  <c r="T8" i="29"/>
  <c r="X72" i="30"/>
  <c r="H72" i="30"/>
  <c r="D8" i="29"/>
  <c r="D11" i="29" s="1"/>
  <c r="D13" i="29" s="1"/>
  <c r="I72" i="30"/>
  <c r="E8" i="29"/>
  <c r="G72" i="30"/>
  <c r="C8" i="29"/>
  <c r="AD72" i="30"/>
  <c r="Z8" i="29"/>
  <c r="Z11" i="29" s="1"/>
  <c r="Z13" i="29" s="1"/>
  <c r="K72" i="30"/>
  <c r="G8" i="29"/>
  <c r="G11" i="29" s="1"/>
  <c r="G13" i="29" s="1"/>
  <c r="J72" i="30"/>
  <c r="F8" i="29"/>
  <c r="AD215" i="31"/>
  <c r="AH215" i="31" s="1"/>
  <c r="AD203" i="31"/>
  <c r="AG170" i="28"/>
  <c r="U170" i="28"/>
  <c r="AE170" i="28"/>
  <c r="W170" i="28"/>
  <c r="AJ170" i="28"/>
  <c r="K110" i="31"/>
  <c r="AF170" i="28"/>
  <c r="AD170" i="28"/>
  <c r="AD170" i="31"/>
  <c r="AI170" i="31" s="1"/>
  <c r="O8" i="29"/>
  <c r="O11" i="29" s="1"/>
  <c r="O13" i="29" s="1"/>
  <c r="R8" i="29"/>
  <c r="R11" i="29" s="1"/>
  <c r="R13" i="29" s="1"/>
  <c r="V8" i="29"/>
  <c r="V11" i="29" s="1"/>
  <c r="V13" i="29" s="1"/>
  <c r="W8" i="29"/>
  <c r="W11" i="29" s="1"/>
  <c r="W13" i="29" s="1"/>
  <c r="Q8" i="29"/>
  <c r="Q11" i="29" s="1"/>
  <c r="Q13" i="29" s="1"/>
  <c r="P8" i="29"/>
  <c r="P11" i="29" s="1"/>
  <c r="P13" i="29" s="1"/>
  <c r="N8" i="29"/>
  <c r="N11" i="29" s="1"/>
  <c r="N13" i="29" s="1"/>
  <c r="D185" i="33"/>
  <c r="AD175" i="31"/>
  <c r="AH175" i="31" s="1"/>
  <c r="U210" i="31"/>
  <c r="AI210" i="31"/>
  <c r="AD208" i="31"/>
  <c r="AD169" i="28"/>
  <c r="AH169" i="28" s="1"/>
  <c r="AD211" i="31"/>
  <c r="AH211" i="31" s="1"/>
  <c r="AE210" i="31"/>
  <c r="AF210" i="31"/>
  <c r="K114" i="31"/>
  <c r="W210" i="31"/>
  <c r="AG210" i="31"/>
  <c r="AA240" i="31"/>
  <c r="AB240" i="31" s="1"/>
  <c r="C310" i="33"/>
  <c r="AD206" i="28"/>
  <c r="AH206" i="28" s="1"/>
  <c r="AD172" i="28"/>
  <c r="AH172" i="28" s="1"/>
  <c r="AD167" i="28"/>
  <c r="AI167" i="28" s="1"/>
  <c r="AJ217" i="33"/>
  <c r="AN217" i="33" s="1"/>
  <c r="AD192" i="31"/>
  <c r="AH192" i="31" s="1"/>
  <c r="AD191" i="28"/>
  <c r="AH191" i="28" s="1"/>
  <c r="AH167" i="28"/>
  <c r="AD188" i="28"/>
  <c r="AH188" i="28" s="1"/>
  <c r="U165" i="28"/>
  <c r="AD196" i="31"/>
  <c r="AH196" i="31" s="1"/>
  <c r="V165" i="28"/>
  <c r="W195" i="31"/>
  <c r="AE195" i="31"/>
  <c r="W165" i="28"/>
  <c r="AI195" i="31"/>
  <c r="AG195" i="31"/>
  <c r="V195" i="31"/>
  <c r="AE165" i="28"/>
  <c r="AG165" i="28"/>
  <c r="U195" i="31"/>
  <c r="AD188" i="31"/>
  <c r="AH188" i="31" s="1"/>
  <c r="AD166" i="28"/>
  <c r="AH166" i="28" s="1"/>
  <c r="AD165" i="28"/>
  <c r="AH165" i="28" s="1"/>
  <c r="AF165" i="28"/>
  <c r="AD168" i="28"/>
  <c r="AH168" i="28" s="1"/>
  <c r="AF168" i="28"/>
  <c r="U168" i="28"/>
  <c r="AB28" i="31"/>
  <c r="AC28" i="31" s="1"/>
  <c r="AB29" i="31"/>
  <c r="AC29" i="31" s="1"/>
  <c r="AE186" i="28"/>
  <c r="AF194" i="28"/>
  <c r="AF188" i="31"/>
  <c r="AF186" i="28"/>
  <c r="U186" i="28"/>
  <c r="AG186" i="28"/>
  <c r="AD193" i="31"/>
  <c r="AH193" i="31" s="1"/>
  <c r="AJ186" i="28"/>
  <c r="AE194" i="28"/>
  <c r="V186" i="28"/>
  <c r="AE167" i="28"/>
  <c r="AD166" i="31"/>
  <c r="AJ166" i="31" s="1"/>
  <c r="AW62" i="30"/>
  <c r="AW108" i="30" s="1"/>
  <c r="AD225" i="31"/>
  <c r="AD213" i="31"/>
  <c r="AH213" i="31" s="1"/>
  <c r="AD200" i="28"/>
  <c r="AH200" i="28" s="1"/>
  <c r="W194" i="28"/>
  <c r="BP72" i="30"/>
  <c r="BP83" i="30" s="1"/>
  <c r="AG188" i="31"/>
  <c r="AZ99" i="30"/>
  <c r="AZ100" i="30" s="1"/>
  <c r="AZ101" i="30" s="1"/>
  <c r="AD192" i="28"/>
  <c r="AH192" i="28" s="1"/>
  <c r="AG194" i="28"/>
  <c r="AE202" i="31"/>
  <c r="W171" i="31"/>
  <c r="AH202" i="31"/>
  <c r="AJ194" i="28"/>
  <c r="W202" i="31"/>
  <c r="AF171" i="31"/>
  <c r="V226" i="31"/>
  <c r="V194" i="28"/>
  <c r="AI171" i="31"/>
  <c r="U226" i="31"/>
  <c r="U202" i="31"/>
  <c r="AI226" i="31"/>
  <c r="AE33" i="29"/>
  <c r="C41" i="33"/>
  <c r="D41" i="33" s="1"/>
  <c r="AG226" i="31"/>
  <c r="AE176" i="28"/>
  <c r="AI202" i="31"/>
  <c r="V265" i="31"/>
  <c r="V264" i="31"/>
  <c r="AH170" i="31"/>
  <c r="AE180" i="31"/>
  <c r="W165" i="31"/>
  <c r="V186" i="31"/>
  <c r="U186" i="31"/>
  <c r="AG186" i="31"/>
  <c r="AD206" i="31"/>
  <c r="AH206" i="31" s="1"/>
  <c r="U197" i="31"/>
  <c r="AI197" i="31"/>
  <c r="AE197" i="31"/>
  <c r="V197" i="31"/>
  <c r="AJ186" i="31"/>
  <c r="AF197" i="31"/>
  <c r="W197" i="31"/>
  <c r="AE186" i="31"/>
  <c r="AD212" i="31"/>
  <c r="AH212" i="31" s="1"/>
  <c r="AJ197" i="31"/>
  <c r="AD169" i="31"/>
  <c r="AH169" i="31" s="1"/>
  <c r="AG187" i="28"/>
  <c r="AN218" i="33"/>
  <c r="AK224" i="33"/>
  <c r="AO224" i="33" s="1"/>
  <c r="AN215" i="33"/>
  <c r="AI172" i="31"/>
  <c r="V188" i="31"/>
  <c r="AE170" i="31"/>
  <c r="U171" i="31"/>
  <c r="W170" i="31"/>
  <c r="AJ172" i="31"/>
  <c r="U192" i="31"/>
  <c r="AE188" i="31"/>
  <c r="AF172" i="31"/>
  <c r="AD179" i="31"/>
  <c r="AH179" i="31" s="1"/>
  <c r="AD204" i="28"/>
  <c r="AH204" i="28" s="1"/>
  <c r="B96" i="30"/>
  <c r="D96" i="30" s="1"/>
  <c r="AI179" i="31"/>
  <c r="AI214" i="31"/>
  <c r="V214" i="31"/>
  <c r="U169" i="31"/>
  <c r="W169" i="31"/>
  <c r="V165" i="31"/>
  <c r="AG177" i="31"/>
  <c r="X274" i="31"/>
  <c r="AI206" i="31"/>
  <c r="V225" i="31"/>
  <c r="AF206" i="31"/>
  <c r="W225" i="31"/>
  <c r="Y11" i="29"/>
  <c r="Y13" i="29" s="1"/>
  <c r="C288" i="33"/>
  <c r="AD171" i="31"/>
  <c r="AH171" i="31" s="1"/>
  <c r="AS231" i="33"/>
  <c r="AT231" i="33" s="1"/>
  <c r="AW231" i="33" s="1"/>
  <c r="D288" i="33"/>
  <c r="W218" i="31"/>
  <c r="AD226" i="31"/>
  <c r="AH226" i="31" s="1"/>
  <c r="BE60" i="30"/>
  <c r="AF179" i="31"/>
  <c r="AD222" i="31"/>
  <c r="AH222" i="31" s="1"/>
  <c r="AF192" i="31"/>
  <c r="AD219" i="31"/>
  <c r="AH219" i="31" s="1"/>
  <c r="W188" i="31"/>
  <c r="U179" i="31"/>
  <c r="U170" i="31"/>
  <c r="AE179" i="31"/>
  <c r="AH172" i="31"/>
  <c r="V172" i="31"/>
  <c r="V179" i="31"/>
  <c r="AE171" i="31"/>
  <c r="V192" i="31"/>
  <c r="AI209" i="31"/>
  <c r="AF222" i="31"/>
  <c r="AJ192" i="31"/>
  <c r="U188" i="31"/>
  <c r="AG179" i="31"/>
  <c r="AJ170" i="31"/>
  <c r="V171" i="31"/>
  <c r="V170" i="31"/>
  <c r="W172" i="31"/>
  <c r="AF170" i="31"/>
  <c r="AG209" i="31"/>
  <c r="AJ206" i="31"/>
  <c r="AJ177" i="31"/>
  <c r="AG225" i="31"/>
  <c r="AD209" i="31"/>
  <c r="AH209" i="31" s="1"/>
  <c r="AF186" i="31"/>
  <c r="AE177" i="31"/>
  <c r="W209" i="31"/>
  <c r="AJ209" i="31"/>
  <c r="W206" i="31"/>
  <c r="U206" i="31"/>
  <c r="AF165" i="31"/>
  <c r="U177" i="31"/>
  <c r="W177" i="31"/>
  <c r="AH225" i="31"/>
  <c r="U225" i="31"/>
  <c r="AJ225" i="31"/>
  <c r="AD204" i="31"/>
  <c r="AH204" i="31" s="1"/>
  <c r="AG165" i="31"/>
  <c r="AG206" i="31"/>
  <c r="U165" i="31"/>
  <c r="AI177" i="31"/>
  <c r="AI193" i="31"/>
  <c r="AE165" i="31"/>
  <c r="AF225" i="31"/>
  <c r="AD201" i="31"/>
  <c r="AH201" i="31" s="1"/>
  <c r="V196" i="31"/>
  <c r="AD185" i="31"/>
  <c r="AH185" i="31" s="1"/>
  <c r="B97" i="30"/>
  <c r="D97" i="30" s="1"/>
  <c r="AI222" i="31"/>
  <c r="AJ222" i="31"/>
  <c r="AI196" i="31"/>
  <c r="AD177" i="31"/>
  <c r="AH177" i="31" s="1"/>
  <c r="U222" i="31"/>
  <c r="AE196" i="31"/>
  <c r="V222" i="31"/>
  <c r="AF196" i="31"/>
  <c r="W222" i="31"/>
  <c r="AG196" i="31"/>
  <c r="AD227" i="31"/>
  <c r="AH227" i="31" s="1"/>
  <c r="AD186" i="31"/>
  <c r="AI186" i="31" s="1"/>
  <c r="U196" i="31"/>
  <c r="BL3" i="29"/>
  <c r="BJ3" i="29"/>
  <c r="BG3" i="29"/>
  <c r="Z41" i="29"/>
  <c r="O16" i="29"/>
  <c r="H11" i="29"/>
  <c r="H13" i="29" s="1"/>
  <c r="R16" i="29"/>
  <c r="R15" i="29"/>
  <c r="I11" i="29"/>
  <c r="I13" i="29" s="1"/>
  <c r="O15" i="29"/>
  <c r="M17" i="29"/>
  <c r="R17" i="29"/>
  <c r="F17" i="29"/>
  <c r="F16" i="29"/>
  <c r="F15" i="29"/>
  <c r="J16" i="29"/>
  <c r="J15" i="29"/>
  <c r="J17" i="29"/>
  <c r="X11" i="29"/>
  <c r="X13" i="29" s="1"/>
  <c r="N17" i="29"/>
  <c r="N16" i="29"/>
  <c r="N15" i="29"/>
  <c r="O17" i="29"/>
  <c r="T11" i="29"/>
  <c r="T13" i="29" s="1"/>
  <c r="P17" i="29"/>
  <c r="P16" i="29"/>
  <c r="P15" i="29"/>
  <c r="M11" i="29"/>
  <c r="M13" i="29" s="1"/>
  <c r="L17" i="29"/>
  <c r="L16" i="29"/>
  <c r="L15" i="29"/>
  <c r="X17" i="29"/>
  <c r="X16" i="29"/>
  <c r="X15" i="29"/>
  <c r="Q15" i="29"/>
  <c r="Q17" i="29"/>
  <c r="Q16" i="29"/>
  <c r="K17" i="29"/>
  <c r="K16" i="29"/>
  <c r="K15" i="29"/>
  <c r="D17" i="29"/>
  <c r="D16" i="29"/>
  <c r="D15" i="29"/>
  <c r="M15" i="29"/>
  <c r="U11" i="29"/>
  <c r="U13" i="29" s="1"/>
  <c r="C15" i="29"/>
  <c r="S17" i="29"/>
  <c r="S16" i="29"/>
  <c r="S15" i="29"/>
  <c r="V17" i="29"/>
  <c r="V16" i="29"/>
  <c r="V15" i="29"/>
  <c r="I15" i="29"/>
  <c r="I17" i="29"/>
  <c r="I16" i="29"/>
  <c r="M16" i="29"/>
  <c r="S11" i="29"/>
  <c r="S13" i="29" s="1"/>
  <c r="E11" i="29"/>
  <c r="E13" i="29" s="1"/>
  <c r="H17" i="29"/>
  <c r="H16" i="29"/>
  <c r="H15" i="29"/>
  <c r="Y15" i="29"/>
  <c r="Y17" i="29"/>
  <c r="Y16" i="29"/>
  <c r="T17" i="29"/>
  <c r="T16" i="29"/>
  <c r="T15" i="29"/>
  <c r="W17" i="29"/>
  <c r="W16" i="29"/>
  <c r="W15" i="29"/>
  <c r="E17" i="29"/>
  <c r="E16" i="29"/>
  <c r="E15" i="29"/>
  <c r="F11" i="29"/>
  <c r="F13" i="29" s="1"/>
  <c r="Z16" i="29"/>
  <c r="Z15" i="29"/>
  <c r="Z17" i="29"/>
  <c r="L11" i="29"/>
  <c r="L13" i="29" s="1"/>
  <c r="BK3" i="29"/>
  <c r="G17" i="29"/>
  <c r="G16" i="29"/>
  <c r="G15" i="29"/>
  <c r="J11" i="29"/>
  <c r="J13" i="29" s="1"/>
  <c r="U17" i="29"/>
  <c r="U16" i="29"/>
  <c r="U15" i="29"/>
  <c r="F83" i="30"/>
  <c r="AE225" i="31"/>
  <c r="U214" i="31"/>
  <c r="AF218" i="31"/>
  <c r="AH214" i="31"/>
  <c r="AF214" i="31"/>
  <c r="AD181" i="31"/>
  <c r="AH181" i="31" s="1"/>
  <c r="AE187" i="28"/>
  <c r="AD221" i="31"/>
  <c r="AH221" i="31" s="1"/>
  <c r="AD173" i="31"/>
  <c r="AH173" i="31" s="1"/>
  <c r="AE218" i="31"/>
  <c r="AG214" i="31"/>
  <c r="AD217" i="31"/>
  <c r="AH217" i="31" s="1"/>
  <c r="AD223" i="31"/>
  <c r="AH223" i="31" s="1"/>
  <c r="AZ71" i="30"/>
  <c r="AZ81" i="30" s="1"/>
  <c r="W196" i="31"/>
  <c r="I38" i="29"/>
  <c r="P37" i="29"/>
  <c r="AG192" i="31"/>
  <c r="W179" i="31"/>
  <c r="W192" i="31"/>
  <c r="AD210" i="31"/>
  <c r="AH210" i="31" s="1"/>
  <c r="AD194" i="31"/>
  <c r="AH194" i="31" s="1"/>
  <c r="AD189" i="31"/>
  <c r="AI189" i="31" s="1"/>
  <c r="AD196" i="28"/>
  <c r="AI196" i="28" s="1"/>
  <c r="V169" i="31"/>
  <c r="AE169" i="31"/>
  <c r="AX101" i="31"/>
  <c r="BZ111" i="31" s="1"/>
  <c r="AP29" i="31"/>
  <c r="J35" i="31" s="1"/>
  <c r="C202" i="33" s="1"/>
  <c r="AD165" i="31"/>
  <c r="AH165" i="31" s="1"/>
  <c r="AF169" i="31"/>
  <c r="AD205" i="31"/>
  <c r="AH205" i="31" s="1"/>
  <c r="AD199" i="31"/>
  <c r="AH199" i="31" s="1"/>
  <c r="AJ169" i="31"/>
  <c r="AI169" i="31"/>
  <c r="BG72" i="30"/>
  <c r="BF60" i="30"/>
  <c r="BK60" i="30"/>
  <c r="BR80" i="30"/>
  <c r="BI108" i="31"/>
  <c r="BL69" i="30"/>
  <c r="BL71" i="30"/>
  <c r="BL81" i="30" s="1"/>
  <c r="BI60" i="30"/>
  <c r="BC60" i="30"/>
  <c r="BD69" i="30"/>
  <c r="BJ69" i="30"/>
  <c r="BF62" i="30"/>
  <c r="BF108" i="30" s="1"/>
  <c r="AX108" i="31"/>
  <c r="CA111" i="31" s="1"/>
  <c r="BR101" i="31"/>
  <c r="AM101" i="31"/>
  <c r="BZ100" i="31" s="1"/>
  <c r="BV101" i="31"/>
  <c r="AC101" i="31"/>
  <c r="BZ90" i="31" s="1"/>
  <c r="BV94" i="31"/>
  <c r="AK94" i="31"/>
  <c r="BY98" i="31" s="1"/>
  <c r="BJ94" i="31"/>
  <c r="AD108" i="31"/>
  <c r="CA91" i="31" s="1"/>
  <c r="BB94" i="31"/>
  <c r="BC101" i="31"/>
  <c r="BF94" i="31"/>
  <c r="K111" i="31"/>
  <c r="AE184" i="28"/>
  <c r="AI188" i="31"/>
  <c r="AH218" i="31"/>
  <c r="F73" i="30"/>
  <c r="B110" i="30" s="1"/>
  <c r="AE181" i="31"/>
  <c r="AB101" i="31"/>
  <c r="BZ89" i="31" s="1"/>
  <c r="AD182" i="31"/>
  <c r="AH182" i="31" s="1"/>
  <c r="AZ108" i="31"/>
  <c r="CA113" i="31" s="1"/>
  <c r="AE108" i="31"/>
  <c r="CA92" i="31" s="1"/>
  <c r="AD197" i="28"/>
  <c r="AH197" i="28" s="1"/>
  <c r="X272" i="31"/>
  <c r="BR94" i="31"/>
  <c r="DQ117" i="30"/>
  <c r="S7" i="30" s="1"/>
  <c r="CG117" i="30"/>
  <c r="L6" i="30" s="1"/>
  <c r="AF217" i="31"/>
  <c r="U217" i="31"/>
  <c r="AI217" i="31"/>
  <c r="AG217" i="31"/>
  <c r="W217" i="31"/>
  <c r="V217" i="31"/>
  <c r="AJ217" i="31"/>
  <c r="AD167" i="31"/>
  <c r="AH167" i="31" s="1"/>
  <c r="BU94" i="31"/>
  <c r="AG190" i="31"/>
  <c r="AF190" i="31"/>
  <c r="W190" i="31"/>
  <c r="V190" i="31"/>
  <c r="U190" i="31"/>
  <c r="AD19" i="29"/>
  <c r="AF19" i="29" s="1"/>
  <c r="AK20" i="29" s="1"/>
  <c r="AD203" i="28"/>
  <c r="AH203" i="28" s="1"/>
  <c r="DT117" i="30"/>
  <c r="V7" i="30" s="1"/>
  <c r="BO69" i="30"/>
  <c r="BI73" i="30"/>
  <c r="BI82" i="30" s="1"/>
  <c r="AD178" i="31"/>
  <c r="AH178" i="31" s="1"/>
  <c r="AC108" i="31"/>
  <c r="CA90" i="31" s="1"/>
  <c r="AQ101" i="31"/>
  <c r="BZ104" i="31" s="1"/>
  <c r="AV101" i="31"/>
  <c r="BZ109" i="31" s="1"/>
  <c r="AS101" i="31"/>
  <c r="BZ106" i="31" s="1"/>
  <c r="AE94" i="31"/>
  <c r="BY92" i="31" s="1"/>
  <c r="AF101" i="31"/>
  <c r="BZ93" i="31" s="1"/>
  <c r="AR101" i="31"/>
  <c r="BZ105" i="31" s="1"/>
  <c r="BT94" i="31"/>
  <c r="AU94" i="31"/>
  <c r="BY108" i="31" s="1"/>
  <c r="W193" i="31"/>
  <c r="V193" i="31"/>
  <c r="U193" i="31"/>
  <c r="AJ193" i="31"/>
  <c r="AF193" i="31"/>
  <c r="AE193" i="31"/>
  <c r="AO166" i="28"/>
  <c r="P36" i="29"/>
  <c r="BM60" i="30"/>
  <c r="BG80" i="30"/>
  <c r="BK62" i="30"/>
  <c r="BK108" i="30" s="1"/>
  <c r="AV69" i="30"/>
  <c r="AV117" i="30" s="1"/>
  <c r="G5" i="30" s="1"/>
  <c r="BL61" i="30"/>
  <c r="AE206" i="31"/>
  <c r="L114" i="31"/>
  <c r="BS94" i="31"/>
  <c r="BV108" i="31"/>
  <c r="BJ101" i="31"/>
  <c r="BT101" i="31"/>
  <c r="AY101" i="31"/>
  <c r="BZ112" i="31" s="1"/>
  <c r="AD101" i="31"/>
  <c r="BZ91" i="31" s="1"/>
  <c r="BB101" i="31"/>
  <c r="BC94" i="31"/>
  <c r="X234" i="31"/>
  <c r="AJ181" i="31"/>
  <c r="W181" i="31"/>
  <c r="Z42" i="29"/>
  <c r="Z28" i="29" s="1"/>
  <c r="AD194" i="28"/>
  <c r="AH194" i="28" s="1"/>
  <c r="AD189" i="28"/>
  <c r="AI189" i="28" s="1"/>
  <c r="AD174" i="28"/>
  <c r="AH174" i="28" s="1"/>
  <c r="BJ60" i="30"/>
  <c r="AG181" i="31"/>
  <c r="AO169" i="31"/>
  <c r="C77" i="33" s="1"/>
  <c r="AD191" i="31"/>
  <c r="AJ191" i="31" s="1"/>
  <c r="AD94" i="31"/>
  <c r="BY91" i="31" s="1"/>
  <c r="AH101" i="31"/>
  <c r="BZ95" i="31" s="1"/>
  <c r="BG101" i="31"/>
  <c r="BP101" i="31"/>
  <c r="BI101" i="31"/>
  <c r="BG94" i="31"/>
  <c r="AW94" i="31"/>
  <c r="BY110" i="31" s="1"/>
  <c r="AC94" i="31"/>
  <c r="BY90" i="31" s="1"/>
  <c r="AE197" i="28"/>
  <c r="AD181" i="28"/>
  <c r="AH181" i="28" s="1"/>
  <c r="BH80" i="30"/>
  <c r="BH81" i="30" s="1"/>
  <c r="BO61" i="30"/>
  <c r="BF61" i="30"/>
  <c r="BN71" i="30"/>
  <c r="BN82" i="30" s="1"/>
  <c r="BD61" i="30"/>
  <c r="AI181" i="31"/>
  <c r="AI192" i="31"/>
  <c r="J113" i="31"/>
  <c r="AZ94" i="31"/>
  <c r="BY113" i="31" s="1"/>
  <c r="AO94" i="31"/>
  <c r="BY102" i="31" s="1"/>
  <c r="AE209" i="31"/>
  <c r="V209" i="31"/>
  <c r="AF209" i="31"/>
  <c r="AJ191" i="28"/>
  <c r="AD177" i="28"/>
  <c r="AH177" i="28" s="1"/>
  <c r="BG108" i="31"/>
  <c r="AA34" i="28"/>
  <c r="K38" i="28" s="1"/>
  <c r="C94" i="33" s="1"/>
  <c r="BE69" i="30"/>
  <c r="BB60" i="30"/>
  <c r="AI190" i="31"/>
  <c r="AF181" i="31"/>
  <c r="BH101" i="31"/>
  <c r="BA94" i="31"/>
  <c r="AQ94" i="31"/>
  <c r="BY104" i="31" s="1"/>
  <c r="AM94" i="31"/>
  <c r="BY100" i="31" s="1"/>
  <c r="AI188" i="28"/>
  <c r="F69" i="30"/>
  <c r="AJ190" i="31"/>
  <c r="U181" i="31"/>
  <c r="V181" i="31"/>
  <c r="AD168" i="31"/>
  <c r="AH168" i="31" s="1"/>
  <c r="AW108" i="31"/>
  <c r="CA110" i="31" s="1"/>
  <c r="AS94" i="31"/>
  <c r="BY106" i="31" s="1"/>
  <c r="AJ101" i="31"/>
  <c r="BZ97" i="31" s="1"/>
  <c r="AJ94" i="31"/>
  <c r="BY97" i="31" s="1"/>
  <c r="BJ108" i="31"/>
  <c r="AN101" i="31"/>
  <c r="BZ101" i="31" s="1"/>
  <c r="AL101" i="31"/>
  <c r="BZ99" i="31" s="1"/>
  <c r="AE217" i="31"/>
  <c r="AJ218" i="31"/>
  <c r="AI218" i="31"/>
  <c r="AG218" i="31"/>
  <c r="U218" i="31"/>
  <c r="AA228" i="31"/>
  <c r="C72" i="33" s="1"/>
  <c r="AO167" i="31"/>
  <c r="AD164" i="31"/>
  <c r="AI164" i="31" s="1"/>
  <c r="AI108" i="31"/>
  <c r="CA96" i="31" s="1"/>
  <c r="AH224" i="31"/>
  <c r="AG224" i="31"/>
  <c r="AF224" i="31"/>
  <c r="AE224" i="31"/>
  <c r="W224" i="31"/>
  <c r="V224" i="31"/>
  <c r="U224" i="31"/>
  <c r="AJ224" i="31"/>
  <c r="AI224" i="31"/>
  <c r="AH216" i="31"/>
  <c r="AG216" i="31"/>
  <c r="AF216" i="31"/>
  <c r="AE216" i="31"/>
  <c r="W216" i="31"/>
  <c r="V216" i="31"/>
  <c r="U216" i="31"/>
  <c r="AJ216" i="31"/>
  <c r="AI216" i="31"/>
  <c r="AH200" i="31"/>
  <c r="AF200" i="31"/>
  <c r="V200" i="31"/>
  <c r="U200" i="31"/>
  <c r="AJ200" i="31"/>
  <c r="AE200" i="31"/>
  <c r="W200" i="31"/>
  <c r="AI200" i="31"/>
  <c r="AG200" i="31"/>
  <c r="AG164" i="31"/>
  <c r="AF164" i="31"/>
  <c r="AJ164" i="31"/>
  <c r="AE164" i="31"/>
  <c r="U164" i="31"/>
  <c r="W164" i="31"/>
  <c r="V164" i="31"/>
  <c r="AD183" i="31"/>
  <c r="AH183" i="31" s="1"/>
  <c r="AD176" i="31"/>
  <c r="AH176" i="31" s="1"/>
  <c r="AF167" i="31"/>
  <c r="AE167" i="31"/>
  <c r="W167" i="31"/>
  <c r="AJ167" i="31"/>
  <c r="V167" i="31"/>
  <c r="AG167" i="31"/>
  <c r="U167" i="31"/>
  <c r="AV108" i="31"/>
  <c r="CA109" i="31" s="1"/>
  <c r="BT108" i="31"/>
  <c r="AM108" i="31"/>
  <c r="CA100" i="31" s="1"/>
  <c r="BE108" i="31"/>
  <c r="BD101" i="31"/>
  <c r="BU101" i="31"/>
  <c r="AI94" i="31"/>
  <c r="BY96" i="31" s="1"/>
  <c r="AQ108" i="31"/>
  <c r="CA104" i="31" s="1"/>
  <c r="AX94" i="31"/>
  <c r="BY111" i="31" s="1"/>
  <c r="AI147" i="31"/>
  <c r="W126" i="31" s="1"/>
  <c r="AH208" i="31"/>
  <c r="AG208" i="31"/>
  <c r="AF208" i="31"/>
  <c r="AE208" i="31"/>
  <c r="W208" i="31"/>
  <c r="V208" i="31"/>
  <c r="U208" i="31"/>
  <c r="AJ208" i="31"/>
  <c r="AI208" i="31"/>
  <c r="AD198" i="31"/>
  <c r="AH198" i="31" s="1"/>
  <c r="AE198" i="31"/>
  <c r="AE166" i="31"/>
  <c r="W166" i="31"/>
  <c r="V166" i="31"/>
  <c r="AI166" i="31"/>
  <c r="AH166" i="31"/>
  <c r="AF166" i="31"/>
  <c r="AG166" i="31"/>
  <c r="U166" i="31"/>
  <c r="AT94" i="31"/>
  <c r="BY107" i="31" s="1"/>
  <c r="BH108" i="31"/>
  <c r="AB108" i="31"/>
  <c r="CA89" i="31" s="1"/>
  <c r="AU108" i="31"/>
  <c r="CA108" i="31" s="1"/>
  <c r="AT101" i="31"/>
  <c r="BZ107" i="31" s="1"/>
  <c r="AP94" i="31"/>
  <c r="BY103" i="31" s="1"/>
  <c r="U199" i="31"/>
  <c r="AI199" i="31"/>
  <c r="AG199" i="31"/>
  <c r="AF199" i="31"/>
  <c r="AE199" i="31"/>
  <c r="W199" i="31"/>
  <c r="V199" i="31"/>
  <c r="AJ199" i="31"/>
  <c r="AJ168" i="31"/>
  <c r="AI168" i="31"/>
  <c r="AG168" i="31"/>
  <c r="W168" i="31"/>
  <c r="AF168" i="31"/>
  <c r="V168" i="31"/>
  <c r="AE168" i="31"/>
  <c r="U168" i="31"/>
  <c r="M114" i="31"/>
  <c r="BF108" i="31"/>
  <c r="AL94" i="31"/>
  <c r="BY99" i="31" s="1"/>
  <c r="AP108" i="31"/>
  <c r="CA103" i="31" s="1"/>
  <c r="AK108" i="31"/>
  <c r="CA98" i="31" s="1"/>
  <c r="BC108" i="31"/>
  <c r="BU108" i="31"/>
  <c r="AR108" i="31"/>
  <c r="CA105" i="31" s="1"/>
  <c r="AI101" i="31"/>
  <c r="BZ96" i="31" s="1"/>
  <c r="AK101" i="31"/>
  <c r="BZ98" i="31" s="1"/>
  <c r="BS101" i="31"/>
  <c r="AH94" i="31"/>
  <c r="BY95" i="31" s="1"/>
  <c r="AZ101" i="31"/>
  <c r="BZ113" i="31" s="1"/>
  <c r="AE190" i="31"/>
  <c r="AD190" i="31"/>
  <c r="AH190" i="31" s="1"/>
  <c r="AG211" i="31"/>
  <c r="AF211" i="31"/>
  <c r="AE211" i="31"/>
  <c r="W211" i="31"/>
  <c r="V211" i="31"/>
  <c r="U211" i="31"/>
  <c r="AJ211" i="31"/>
  <c r="AI211" i="31"/>
  <c r="AE189" i="31"/>
  <c r="W189" i="31"/>
  <c r="V189" i="31"/>
  <c r="U189" i="31"/>
  <c r="AJ189" i="31"/>
  <c r="AG189" i="31"/>
  <c r="AF189" i="31"/>
  <c r="M111" i="31"/>
  <c r="AL108" i="31"/>
  <c r="CA99" i="31" s="1"/>
  <c r="BB108" i="31"/>
  <c r="AS108" i="31"/>
  <c r="CA106" i="31" s="1"/>
  <c r="BQ94" i="31"/>
  <c r="BP94" i="31"/>
  <c r="AG101" i="31"/>
  <c r="BZ94" i="31" s="1"/>
  <c r="BR108" i="31"/>
  <c r="BP108" i="31"/>
  <c r="AP101" i="31"/>
  <c r="BZ103" i="31" s="1"/>
  <c r="BD94" i="31"/>
  <c r="AB228" i="31"/>
  <c r="R34" i="31" s="1"/>
  <c r="B39" i="31" s="1"/>
  <c r="C95" i="33" s="1"/>
  <c r="AD197" i="31"/>
  <c r="AH197" i="31" s="1"/>
  <c r="AE222" i="31"/>
  <c r="AD195" i="31"/>
  <c r="AG227" i="31"/>
  <c r="AF227" i="31"/>
  <c r="AE227" i="31"/>
  <c r="W227" i="31"/>
  <c r="V227" i="31"/>
  <c r="U227" i="31"/>
  <c r="AJ227" i="31"/>
  <c r="AI227" i="31"/>
  <c r="AD187" i="31"/>
  <c r="AJ187" i="31" s="1"/>
  <c r="U187" i="31"/>
  <c r="AG187" i="31"/>
  <c r="AF187" i="31"/>
  <c r="W187" i="31"/>
  <c r="V187" i="31"/>
  <c r="AE187" i="31"/>
  <c r="M110" i="31"/>
  <c r="AY108" i="31"/>
  <c r="CA112" i="31" s="1"/>
  <c r="BA108" i="31"/>
  <c r="BS108" i="31"/>
  <c r="BI94" i="31"/>
  <c r="BF101" i="31"/>
  <c r="BH94" i="31"/>
  <c r="AO101" i="31"/>
  <c r="BZ102" i="31" s="1"/>
  <c r="BA101" i="31"/>
  <c r="AJ108" i="31"/>
  <c r="CA97" i="31" s="1"/>
  <c r="AF108" i="31"/>
  <c r="CA93" i="31" s="1"/>
  <c r="AE101" i="31"/>
  <c r="BZ92" i="31" s="1"/>
  <c r="AV94" i="31"/>
  <c r="BY109" i="31" s="1"/>
  <c r="AF27" i="31"/>
  <c r="AG27" i="31" s="1"/>
  <c r="AF28" i="31"/>
  <c r="AG28" i="31" s="1"/>
  <c r="AG219" i="31"/>
  <c r="AF219" i="31"/>
  <c r="AE219" i="31"/>
  <c r="W219" i="31"/>
  <c r="V219" i="31"/>
  <c r="U219" i="31"/>
  <c r="AJ219" i="31"/>
  <c r="AI219" i="31"/>
  <c r="AG203" i="31"/>
  <c r="AE203" i="31"/>
  <c r="W203" i="31"/>
  <c r="V203" i="31"/>
  <c r="U203" i="31"/>
  <c r="AJ203" i="31"/>
  <c r="AI203" i="31"/>
  <c r="AH203" i="31"/>
  <c r="AF203" i="31"/>
  <c r="AO166" i="31"/>
  <c r="C76" i="33" s="1"/>
  <c r="AD174" i="31"/>
  <c r="AH174" i="31" s="1"/>
  <c r="L111" i="31"/>
  <c r="AG191" i="31"/>
  <c r="AF191" i="31"/>
  <c r="AE191" i="31"/>
  <c r="W191" i="31"/>
  <c r="V191" i="31"/>
  <c r="AI191" i="31"/>
  <c r="U191" i="31"/>
  <c r="AH108" i="31"/>
  <c r="CA95" i="31" s="1"/>
  <c r="AG108" i="31"/>
  <c r="CA94" i="31" s="1"/>
  <c r="AU101" i="31"/>
  <c r="BZ108" i="31" s="1"/>
  <c r="AW101" i="31"/>
  <c r="BZ110" i="31" s="1"/>
  <c r="BE94" i="31"/>
  <c r="AN94" i="31"/>
  <c r="BY101" i="31" s="1"/>
  <c r="AO170" i="31"/>
  <c r="AE214" i="31"/>
  <c r="AC228" i="31"/>
  <c r="C73" i="33" s="1"/>
  <c r="AF182" i="31"/>
  <c r="AE182" i="31"/>
  <c r="W182" i="31"/>
  <c r="V182" i="31"/>
  <c r="AJ182" i="31"/>
  <c r="AI182" i="31"/>
  <c r="U182" i="31"/>
  <c r="AG182" i="31"/>
  <c r="U174" i="31"/>
  <c r="AJ174" i="31"/>
  <c r="AI174" i="31"/>
  <c r="W174" i="31"/>
  <c r="AG174" i="31"/>
  <c r="V174" i="31"/>
  <c r="AF174" i="31"/>
  <c r="AE174" i="31"/>
  <c r="L110" i="31"/>
  <c r="BD108" i="31"/>
  <c r="AN108" i="31"/>
  <c r="CA101" i="31" s="1"/>
  <c r="AT108" i="31"/>
  <c r="CA107" i="31" s="1"/>
  <c r="BQ108" i="31"/>
  <c r="AO108" i="31"/>
  <c r="CA102" i="31" s="1"/>
  <c r="AR94" i="31"/>
  <c r="BY105" i="31" s="1"/>
  <c r="BE101" i="31"/>
  <c r="BQ101" i="31"/>
  <c r="AY94" i="31"/>
  <c r="BY112" i="31" s="1"/>
  <c r="AF94" i="31"/>
  <c r="BY93" i="31" s="1"/>
  <c r="DC114" i="30"/>
  <c r="DC79" i="30"/>
  <c r="DW82" i="30"/>
  <c r="DW81" i="30"/>
  <c r="DW84" i="30"/>
  <c r="DW83" i="30"/>
  <c r="AZ83" i="30"/>
  <c r="AZ82" i="30"/>
  <c r="AZ84" i="30"/>
  <c r="DF83" i="30"/>
  <c r="DF82" i="30"/>
  <c r="DF81" i="30"/>
  <c r="DF84" i="30"/>
  <c r="BO82" i="30"/>
  <c r="BO84" i="30"/>
  <c r="BO81" i="30"/>
  <c r="BO83" i="30"/>
  <c r="CS117" i="30"/>
  <c r="X6" i="30" s="1"/>
  <c r="BS83" i="30"/>
  <c r="BS82" i="30"/>
  <c r="BS81" i="30"/>
  <c r="BS84" i="30"/>
  <c r="DC111" i="30"/>
  <c r="DC76" i="30"/>
  <c r="CY83" i="30"/>
  <c r="CY82" i="30"/>
  <c r="CY81" i="30"/>
  <c r="CY84" i="30"/>
  <c r="DH117" i="30"/>
  <c r="J7" i="30" s="1"/>
  <c r="DC109" i="30"/>
  <c r="DC74" i="30"/>
  <c r="DC107" i="30"/>
  <c r="DC72" i="30"/>
  <c r="DL117" i="30"/>
  <c r="N7" i="30" s="1"/>
  <c r="DC108" i="30"/>
  <c r="DC73" i="30"/>
  <c r="DZ117" i="30"/>
  <c r="AB7" i="30" s="1"/>
  <c r="DO117" i="30"/>
  <c r="Q7" i="30" s="1"/>
  <c r="CE117" i="30"/>
  <c r="J6" i="30" s="1"/>
  <c r="CT117" i="30"/>
  <c r="Y6" i="30" s="1"/>
  <c r="DU117" i="30"/>
  <c r="W7" i="30" s="1"/>
  <c r="CK83" i="30"/>
  <c r="CK82" i="30"/>
  <c r="CK84" i="30"/>
  <c r="CK81" i="30"/>
  <c r="AX117" i="30"/>
  <c r="I5" i="30" s="1"/>
  <c r="EA84" i="30"/>
  <c r="EA83" i="30"/>
  <c r="EA82" i="30"/>
  <c r="EA81" i="30"/>
  <c r="CQ117" i="30"/>
  <c r="V6" i="30" s="1"/>
  <c r="BK83" i="30"/>
  <c r="BK82" i="30"/>
  <c r="BK81" i="30"/>
  <c r="BK84" i="30"/>
  <c r="DQ83" i="30"/>
  <c r="DQ84" i="30"/>
  <c r="DQ82" i="30"/>
  <c r="DQ81" i="30"/>
  <c r="CG84" i="30"/>
  <c r="CG83" i="30"/>
  <c r="CG82" i="30"/>
  <c r="CG81" i="30"/>
  <c r="DH82" i="30"/>
  <c r="DH81" i="30"/>
  <c r="DH84" i="30"/>
  <c r="DH83" i="30"/>
  <c r="BI84" i="30"/>
  <c r="BZ114" i="30"/>
  <c r="BZ79" i="30"/>
  <c r="BZ113" i="30"/>
  <c r="BZ78" i="30"/>
  <c r="BZ111" i="30"/>
  <c r="BZ76" i="30"/>
  <c r="BZ115" i="30"/>
  <c r="BZ80" i="30"/>
  <c r="DL83" i="30"/>
  <c r="DL82" i="30"/>
  <c r="DL81" i="30"/>
  <c r="DL84" i="30"/>
  <c r="DC112" i="30"/>
  <c r="DC77" i="30"/>
  <c r="BZ108" i="30"/>
  <c r="BZ73" i="30"/>
  <c r="BZ112" i="30"/>
  <c r="BZ77" i="30"/>
  <c r="DZ84" i="30"/>
  <c r="DZ81" i="30"/>
  <c r="DZ83" i="30"/>
  <c r="DZ82" i="30"/>
  <c r="DO82" i="30"/>
  <c r="DO81" i="30"/>
  <c r="DO84" i="30"/>
  <c r="DO83" i="30"/>
  <c r="CE84" i="30"/>
  <c r="CE81" i="30"/>
  <c r="CE83" i="30"/>
  <c r="CE82" i="30"/>
  <c r="BZ109" i="30"/>
  <c r="BZ74" i="30"/>
  <c r="CT82" i="30"/>
  <c r="CT81" i="30"/>
  <c r="CT84" i="30"/>
  <c r="CT83" i="30"/>
  <c r="DU81" i="30"/>
  <c r="DU82" i="30"/>
  <c r="DU83" i="30"/>
  <c r="DU84" i="30"/>
  <c r="CK117" i="30"/>
  <c r="P6" i="30" s="1"/>
  <c r="AX82" i="30"/>
  <c r="AX81" i="30"/>
  <c r="AX84" i="30"/>
  <c r="AX83" i="30"/>
  <c r="DC113" i="30"/>
  <c r="DC78" i="30"/>
  <c r="BZ107" i="30"/>
  <c r="BZ72" i="30"/>
  <c r="EA117" i="30"/>
  <c r="AC7" i="30" s="1"/>
  <c r="CQ83" i="30"/>
  <c r="CQ82" i="30"/>
  <c r="CQ81" i="30"/>
  <c r="CQ84" i="30"/>
  <c r="AV81" i="30"/>
  <c r="AV83" i="30"/>
  <c r="AV84" i="30"/>
  <c r="AV82" i="30"/>
  <c r="DI117" i="30"/>
  <c r="K7" i="30" s="1"/>
  <c r="BR117" i="30"/>
  <c r="AC5" i="30" s="1"/>
  <c r="CV117" i="30"/>
  <c r="AA6" i="30" s="1"/>
  <c r="DC110" i="30"/>
  <c r="DC75" i="30"/>
  <c r="DT83" i="30"/>
  <c r="DT82" i="30"/>
  <c r="DT81" i="30"/>
  <c r="DT84" i="30"/>
  <c r="DC106" i="30"/>
  <c r="DC71" i="30"/>
  <c r="EB117" i="30"/>
  <c r="AD7" i="30" s="1"/>
  <c r="CJ117" i="30"/>
  <c r="O6" i="30" s="1"/>
  <c r="CP117" i="30"/>
  <c r="U6" i="30" s="1"/>
  <c r="DG82" i="30"/>
  <c r="DG81" i="30"/>
  <c r="DG84" i="30"/>
  <c r="DG83" i="30"/>
  <c r="DV117" i="30"/>
  <c r="X7" i="30" s="1"/>
  <c r="CL117" i="30"/>
  <c r="Q6" i="30" s="1"/>
  <c r="AY117" i="30"/>
  <c r="J5" i="30" s="1"/>
  <c r="DR117" i="30"/>
  <c r="T7" i="30" s="1"/>
  <c r="DM83" i="30"/>
  <c r="DM82" i="30"/>
  <c r="DM84" i="30"/>
  <c r="DM81" i="30"/>
  <c r="CC117" i="30"/>
  <c r="H6" i="30" s="1"/>
  <c r="DS117" i="30"/>
  <c r="U7" i="30" s="1"/>
  <c r="CI83" i="30"/>
  <c r="CI82" i="30"/>
  <c r="CI81" i="30"/>
  <c r="CI84" i="30"/>
  <c r="DI83" i="30"/>
  <c r="DI84" i="30"/>
  <c r="DI82" i="30"/>
  <c r="DI81" i="30"/>
  <c r="BR84" i="30"/>
  <c r="BR83" i="30"/>
  <c r="BR82" i="30"/>
  <c r="BR81" i="30"/>
  <c r="CV83" i="30"/>
  <c r="CV82" i="30"/>
  <c r="CV84" i="30"/>
  <c r="CV81" i="30"/>
  <c r="BA84" i="30"/>
  <c r="BA81" i="30"/>
  <c r="BA83" i="30"/>
  <c r="BA82" i="30"/>
  <c r="DC115" i="30"/>
  <c r="DC80" i="30"/>
  <c r="CR117" i="30"/>
  <c r="W6" i="30" s="1"/>
  <c r="BM83" i="30"/>
  <c r="BM82" i="30"/>
  <c r="BM81" i="30"/>
  <c r="BM84" i="30"/>
  <c r="EB83" i="30"/>
  <c r="EB82" i="30"/>
  <c r="EB81" i="30"/>
  <c r="EB84" i="30"/>
  <c r="BZ106" i="30"/>
  <c r="BZ71" i="30"/>
  <c r="CJ84" i="30"/>
  <c r="CJ81" i="30"/>
  <c r="CJ82" i="30"/>
  <c r="CJ83" i="30"/>
  <c r="CP84" i="30"/>
  <c r="CP83" i="30"/>
  <c r="CP82" i="30"/>
  <c r="CP81" i="30"/>
  <c r="DG117" i="30"/>
  <c r="I7" i="30" s="1"/>
  <c r="DV84" i="30"/>
  <c r="DV83" i="30"/>
  <c r="DV82" i="30"/>
  <c r="DV81" i="30"/>
  <c r="CL82" i="30"/>
  <c r="CL81" i="30"/>
  <c r="CL84" i="30"/>
  <c r="CL83" i="30"/>
  <c r="AY84" i="30"/>
  <c r="AY82" i="30"/>
  <c r="AY83" i="30"/>
  <c r="AY81" i="30"/>
  <c r="DR84" i="30"/>
  <c r="DR83" i="30"/>
  <c r="DR82" i="30"/>
  <c r="DR81" i="30"/>
  <c r="DM117" i="30"/>
  <c r="O7" i="30" s="1"/>
  <c r="CC81" i="30"/>
  <c r="CC84" i="30"/>
  <c r="CC82" i="30"/>
  <c r="CC83" i="30"/>
  <c r="DS84" i="30"/>
  <c r="DS82" i="30"/>
  <c r="DS81" i="30"/>
  <c r="DS83" i="30"/>
  <c r="CI117" i="30"/>
  <c r="N6" i="30" s="1"/>
  <c r="CW117" i="30"/>
  <c r="AB6" i="30" s="1"/>
  <c r="DX117" i="30"/>
  <c r="Z7" i="30" s="1"/>
  <c r="CN117" i="30"/>
  <c r="S6" i="30" s="1"/>
  <c r="CB83" i="30"/>
  <c r="CB82" i="30"/>
  <c r="CB84" i="30"/>
  <c r="CB81" i="30"/>
  <c r="CM84" i="30"/>
  <c r="CM82" i="30"/>
  <c r="CM83" i="30"/>
  <c r="CM81" i="30"/>
  <c r="CR84" i="30"/>
  <c r="CR83" i="30"/>
  <c r="CR82" i="30"/>
  <c r="CR81" i="30"/>
  <c r="AW117" i="30"/>
  <c r="H5" i="30" s="1"/>
  <c r="CU117" i="30"/>
  <c r="Z6" i="30" s="1"/>
  <c r="DN117" i="30"/>
  <c r="P7" i="30" s="1"/>
  <c r="CD117" i="30"/>
  <c r="I6" i="30" s="1"/>
  <c r="CH117" i="30"/>
  <c r="M6" i="30" s="1"/>
  <c r="DE84" i="30"/>
  <c r="DE81" i="30"/>
  <c r="DE83" i="30"/>
  <c r="DE82" i="30"/>
  <c r="BN81" i="30"/>
  <c r="BN84" i="30"/>
  <c r="DJ117" i="30"/>
  <c r="L7" i="30" s="1"/>
  <c r="DK84" i="30"/>
  <c r="DK83" i="30"/>
  <c r="DK82" i="30"/>
  <c r="DK81" i="30"/>
  <c r="BL83" i="30"/>
  <c r="CW84" i="30"/>
  <c r="CW83" i="30"/>
  <c r="CW82" i="30"/>
  <c r="CW81" i="30"/>
  <c r="BJ84" i="30"/>
  <c r="BJ81" i="30"/>
  <c r="BJ83" i="30"/>
  <c r="BJ82" i="30"/>
  <c r="DX84" i="30"/>
  <c r="DX82" i="30"/>
  <c r="DX81" i="30"/>
  <c r="DX83" i="30"/>
  <c r="CN83" i="30"/>
  <c r="CN81" i="30"/>
  <c r="CN82" i="30"/>
  <c r="CN84" i="30"/>
  <c r="BZ110" i="30"/>
  <c r="BZ75" i="30"/>
  <c r="AW84" i="30"/>
  <c r="AW83" i="30"/>
  <c r="AW82" i="30"/>
  <c r="AW81" i="30"/>
  <c r="BC83" i="30"/>
  <c r="BC82" i="30"/>
  <c r="BC81" i="30"/>
  <c r="BC84" i="30"/>
  <c r="CU83" i="30"/>
  <c r="CU81" i="30"/>
  <c r="CU84" i="30"/>
  <c r="CU82" i="30"/>
  <c r="BH82" i="30"/>
  <c r="DN81" i="30"/>
  <c r="DN84" i="30"/>
  <c r="DN82" i="30"/>
  <c r="DN83" i="30"/>
  <c r="CD82" i="30"/>
  <c r="CD81" i="30"/>
  <c r="CD84" i="30"/>
  <c r="CD83" i="30"/>
  <c r="CH84" i="30"/>
  <c r="CH81" i="30"/>
  <c r="CH82" i="30"/>
  <c r="CH83" i="30"/>
  <c r="DE117" i="30"/>
  <c r="G7" i="30" s="1"/>
  <c r="DJ84" i="30"/>
  <c r="DJ81" i="30"/>
  <c r="DJ82" i="30"/>
  <c r="DJ83" i="30"/>
  <c r="DK117" i="30"/>
  <c r="M7" i="30" s="1"/>
  <c r="BQ117" i="30"/>
  <c r="AB5" i="30" s="1"/>
  <c r="CX117" i="30"/>
  <c r="AC6" i="30" s="1"/>
  <c r="DY117" i="30"/>
  <c r="AA7" i="30" s="1"/>
  <c r="CO117" i="30"/>
  <c r="T6" i="30" s="1"/>
  <c r="DP117" i="30"/>
  <c r="R7" i="30" s="1"/>
  <c r="CF117" i="30"/>
  <c r="K6" i="30" s="1"/>
  <c r="BE84" i="30"/>
  <c r="BE83" i="30"/>
  <c r="BE82" i="30"/>
  <c r="BE81" i="30"/>
  <c r="CB117" i="30"/>
  <c r="G6" i="30" s="1"/>
  <c r="DW117" i="30"/>
  <c r="Y7" i="30" s="1"/>
  <c r="CM117" i="30"/>
  <c r="R6" i="30" s="1"/>
  <c r="DF117" i="30"/>
  <c r="H7" i="30" s="1"/>
  <c r="CS84" i="30"/>
  <c r="CS83" i="30"/>
  <c r="CS81" i="30"/>
  <c r="CS82" i="30"/>
  <c r="BF82" i="30"/>
  <c r="BF81" i="30"/>
  <c r="BF84" i="30"/>
  <c r="BF83" i="30"/>
  <c r="BS117" i="30"/>
  <c r="AD5" i="30" s="1"/>
  <c r="CY117" i="30"/>
  <c r="AD6" i="30" s="1"/>
  <c r="BD83" i="30"/>
  <c r="BD82" i="30"/>
  <c r="BD84" i="30"/>
  <c r="BD81" i="30"/>
  <c r="BQ84" i="30"/>
  <c r="BQ81" i="30"/>
  <c r="BQ82" i="30"/>
  <c r="BQ83" i="30"/>
  <c r="CX84" i="30"/>
  <c r="CX81" i="30"/>
  <c r="CX83" i="30"/>
  <c r="CX82" i="30"/>
  <c r="DY84" i="30"/>
  <c r="DY83" i="30"/>
  <c r="DY81" i="30"/>
  <c r="DY82" i="30"/>
  <c r="CO84" i="30"/>
  <c r="CO81" i="30"/>
  <c r="CO83" i="30"/>
  <c r="CO82" i="30"/>
  <c r="BB84" i="30"/>
  <c r="BB83" i="30"/>
  <c r="BB82" i="30"/>
  <c r="BB81" i="30"/>
  <c r="DP81" i="30"/>
  <c r="DP84" i="30"/>
  <c r="DP83" i="30"/>
  <c r="DP82" i="30"/>
  <c r="CF83" i="30"/>
  <c r="CF82" i="30"/>
  <c r="CF84" i="30"/>
  <c r="CF81" i="30"/>
  <c r="K62" i="29"/>
  <c r="K59" i="29"/>
  <c r="K58" i="29"/>
  <c r="K57" i="29"/>
  <c r="K61" i="29"/>
  <c r="K48" i="29" s="1"/>
  <c r="K53" i="29" s="1"/>
  <c r="F59" i="29"/>
  <c r="F58" i="29"/>
  <c r="F57" i="29"/>
  <c r="F62" i="29"/>
  <c r="F61" i="29"/>
  <c r="F48" i="29" s="1"/>
  <c r="F53" i="29" s="1"/>
  <c r="L41" i="29"/>
  <c r="L40" i="29"/>
  <c r="L27" i="29" s="1"/>
  <c r="L32" i="29" s="1"/>
  <c r="L38" i="29"/>
  <c r="L36" i="29"/>
  <c r="L37" i="29"/>
  <c r="M62" i="29"/>
  <c r="M61" i="29"/>
  <c r="M48" i="29" s="1"/>
  <c r="M53" i="29" s="1"/>
  <c r="M59" i="29"/>
  <c r="M57" i="29"/>
  <c r="M58" i="29"/>
  <c r="N59" i="29"/>
  <c r="N58" i="29"/>
  <c r="N57" i="29"/>
  <c r="N61" i="29"/>
  <c r="N48" i="29" s="1"/>
  <c r="N53" i="29" s="1"/>
  <c r="N62" i="29"/>
  <c r="J61" i="29"/>
  <c r="J48" i="29" s="1"/>
  <c r="J53" i="29" s="1"/>
  <c r="J59" i="29"/>
  <c r="J58" i="29"/>
  <c r="J57" i="29"/>
  <c r="J62" i="29"/>
  <c r="I37" i="29"/>
  <c r="I41" i="29"/>
  <c r="I36" i="29"/>
  <c r="V41" i="29"/>
  <c r="V40" i="29"/>
  <c r="V27" i="29" s="1"/>
  <c r="V32" i="29" s="1"/>
  <c r="V38" i="29"/>
  <c r="V37" i="29"/>
  <c r="V36" i="29"/>
  <c r="T41" i="29"/>
  <c r="T40" i="29"/>
  <c r="T27" i="29" s="1"/>
  <c r="T32" i="29" s="1"/>
  <c r="T37" i="29"/>
  <c r="T38" i="29"/>
  <c r="T36" i="29"/>
  <c r="P38" i="29"/>
  <c r="Y62" i="29"/>
  <c r="Y57" i="29"/>
  <c r="Y61" i="29"/>
  <c r="Y48" i="29" s="1"/>
  <c r="Y53" i="29" s="1"/>
  <c r="Y58" i="29"/>
  <c r="Y59" i="29"/>
  <c r="Q61" i="29"/>
  <c r="Q48" i="29" s="1"/>
  <c r="Q53" i="29" s="1"/>
  <c r="Q62" i="29"/>
  <c r="Q57" i="29"/>
  <c r="Q58" i="29"/>
  <c r="Q59" i="29"/>
  <c r="V62" i="29"/>
  <c r="V59" i="29"/>
  <c r="V58" i="29"/>
  <c r="V57" i="29"/>
  <c r="V61" i="29"/>
  <c r="V48" i="29" s="1"/>
  <c r="V53" i="29" s="1"/>
  <c r="R61" i="29"/>
  <c r="R48" i="29" s="1"/>
  <c r="R53" i="29" s="1"/>
  <c r="R62" i="29"/>
  <c r="R59" i="29"/>
  <c r="R58" i="29"/>
  <c r="R57" i="29"/>
  <c r="Q38" i="29"/>
  <c r="Q36" i="29"/>
  <c r="Q37" i="29"/>
  <c r="Q40" i="29"/>
  <c r="Q27" i="29" s="1"/>
  <c r="Q32" i="29" s="1"/>
  <c r="Q41" i="29"/>
  <c r="M41" i="29"/>
  <c r="M38" i="29"/>
  <c r="M40" i="29"/>
  <c r="M27" i="29" s="1"/>
  <c r="M32" i="29" s="1"/>
  <c r="M36" i="29"/>
  <c r="M37" i="29"/>
  <c r="G41" i="29"/>
  <c r="G40" i="29"/>
  <c r="G27" i="29" s="1"/>
  <c r="G32" i="29" s="1"/>
  <c r="G37" i="29"/>
  <c r="G36" i="29"/>
  <c r="G38" i="29"/>
  <c r="Z40" i="29"/>
  <c r="Z27" i="29" s="1"/>
  <c r="Z32" i="29" s="1"/>
  <c r="I40" i="29"/>
  <c r="I27" i="29" s="1"/>
  <c r="I32" i="29" s="1"/>
  <c r="P40" i="29"/>
  <c r="P27" i="29" s="1"/>
  <c r="P32" i="29" s="1"/>
  <c r="E61" i="29"/>
  <c r="E48" i="29" s="1"/>
  <c r="E53" i="29" s="1"/>
  <c r="E58" i="29"/>
  <c r="E62" i="29"/>
  <c r="E59" i="29"/>
  <c r="E57" i="29"/>
  <c r="S61" i="29"/>
  <c r="S48" i="29" s="1"/>
  <c r="S53" i="29" s="1"/>
  <c r="S59" i="29"/>
  <c r="S58" i="29"/>
  <c r="S57" i="29"/>
  <c r="S62" i="29"/>
  <c r="G59" i="29"/>
  <c r="G58" i="29"/>
  <c r="G57" i="29"/>
  <c r="G61" i="29"/>
  <c r="G48" i="29" s="1"/>
  <c r="G53" i="29" s="1"/>
  <c r="G62" i="29"/>
  <c r="Z61" i="29"/>
  <c r="Z48" i="29" s="1"/>
  <c r="Z53" i="29" s="1"/>
  <c r="Z62" i="29"/>
  <c r="Z59" i="29"/>
  <c r="Z58" i="29"/>
  <c r="Z57" i="29"/>
  <c r="S41" i="29"/>
  <c r="S40" i="29"/>
  <c r="S27" i="29" s="1"/>
  <c r="S32" i="29" s="1"/>
  <c r="S38" i="29"/>
  <c r="S37" i="29"/>
  <c r="S36" i="29"/>
  <c r="X41" i="29"/>
  <c r="X40" i="29"/>
  <c r="X27" i="29" s="1"/>
  <c r="X32" i="29" s="1"/>
  <c r="X38" i="29"/>
  <c r="X37" i="29"/>
  <c r="X36" i="29"/>
  <c r="O41" i="29"/>
  <c r="O40" i="29"/>
  <c r="O27" i="29" s="1"/>
  <c r="O32" i="29" s="1"/>
  <c r="O38" i="29"/>
  <c r="O36" i="29"/>
  <c r="O37" i="29"/>
  <c r="Z38" i="29"/>
  <c r="P41" i="29"/>
  <c r="U62" i="29"/>
  <c r="U61" i="29"/>
  <c r="U48" i="29" s="1"/>
  <c r="U53" i="29" s="1"/>
  <c r="U57" i="29"/>
  <c r="U58" i="29"/>
  <c r="U59" i="29"/>
  <c r="O59" i="29"/>
  <c r="O58" i="29"/>
  <c r="O57" i="29"/>
  <c r="O62" i="29"/>
  <c r="O61" i="29"/>
  <c r="O48" i="29" s="1"/>
  <c r="O53" i="29" s="1"/>
  <c r="H41" i="29"/>
  <c r="H40" i="29"/>
  <c r="H27" i="29" s="1"/>
  <c r="H32" i="29" s="1"/>
  <c r="H38" i="29"/>
  <c r="H37" i="29"/>
  <c r="H36" i="29"/>
  <c r="C41" i="29"/>
  <c r="C40" i="29"/>
  <c r="C27" i="29" s="1"/>
  <c r="C32" i="29" s="1"/>
  <c r="C38" i="29"/>
  <c r="C37" i="29"/>
  <c r="C36" i="29"/>
  <c r="W41" i="29"/>
  <c r="W40" i="29"/>
  <c r="W27" i="29" s="1"/>
  <c r="W32" i="29" s="1"/>
  <c r="W37" i="29"/>
  <c r="W38" i="29"/>
  <c r="W36" i="29"/>
  <c r="Z37" i="29"/>
  <c r="K41" i="29"/>
  <c r="K40" i="29"/>
  <c r="K27" i="29" s="1"/>
  <c r="K32" i="29" s="1"/>
  <c r="K38" i="29"/>
  <c r="K37" i="29"/>
  <c r="K36" i="29"/>
  <c r="C62" i="29"/>
  <c r="C59" i="29"/>
  <c r="C58" i="29"/>
  <c r="C57" i="29"/>
  <c r="C61" i="29"/>
  <c r="C48" i="29" s="1"/>
  <c r="C53" i="29" s="1"/>
  <c r="E40" i="29"/>
  <c r="E27" i="29" s="1"/>
  <c r="E32" i="29" s="1"/>
  <c r="E36" i="29"/>
  <c r="E37" i="29"/>
  <c r="E41" i="29"/>
  <c r="E38" i="29"/>
  <c r="D62" i="29"/>
  <c r="D59" i="29"/>
  <c r="D58" i="29"/>
  <c r="D57" i="29"/>
  <c r="D61" i="29"/>
  <c r="D48" i="29" s="1"/>
  <c r="D53" i="29" s="1"/>
  <c r="W59" i="29"/>
  <c r="W58" i="29"/>
  <c r="W57" i="29"/>
  <c r="W61" i="29"/>
  <c r="W48" i="29" s="1"/>
  <c r="W53" i="29" s="1"/>
  <c r="W62" i="29"/>
  <c r="R41" i="29"/>
  <c r="R40" i="29"/>
  <c r="R27" i="29" s="1"/>
  <c r="R32" i="29" s="1"/>
  <c r="R38" i="29"/>
  <c r="R37" i="29"/>
  <c r="R36" i="29"/>
  <c r="N41" i="29"/>
  <c r="N40" i="29"/>
  <c r="N27" i="29" s="1"/>
  <c r="N32" i="29" s="1"/>
  <c r="N38" i="29"/>
  <c r="N37" i="29"/>
  <c r="N36" i="29"/>
  <c r="Z36" i="29"/>
  <c r="C16" i="29"/>
  <c r="C17" i="29"/>
  <c r="L62" i="29"/>
  <c r="L59" i="29"/>
  <c r="L58" i="29"/>
  <c r="L57" i="29"/>
  <c r="L61" i="29"/>
  <c r="L48" i="29" s="1"/>
  <c r="L53" i="29" s="1"/>
  <c r="H62" i="29"/>
  <c r="H61" i="29"/>
  <c r="H48" i="29" s="1"/>
  <c r="H53" i="29" s="1"/>
  <c r="H59" i="29"/>
  <c r="H58" i="29"/>
  <c r="H57" i="29"/>
  <c r="F41" i="29"/>
  <c r="F40" i="29"/>
  <c r="F27" i="29" s="1"/>
  <c r="F32" i="29" s="1"/>
  <c r="F38" i="29"/>
  <c r="F37" i="29"/>
  <c r="F36" i="29"/>
  <c r="J41" i="29"/>
  <c r="J40" i="29"/>
  <c r="J27" i="29" s="1"/>
  <c r="J32" i="29" s="1"/>
  <c r="J38" i="29"/>
  <c r="J37" i="29"/>
  <c r="J36" i="29"/>
  <c r="Y37" i="29"/>
  <c r="Y40" i="29"/>
  <c r="Y27" i="29" s="1"/>
  <c r="Y32" i="29" s="1"/>
  <c r="Y38" i="29"/>
  <c r="Y36" i="29"/>
  <c r="Y41" i="29"/>
  <c r="X62" i="29"/>
  <c r="X61" i="29"/>
  <c r="X48" i="29" s="1"/>
  <c r="X53" i="29" s="1"/>
  <c r="X59" i="29"/>
  <c r="X58" i="29"/>
  <c r="X57" i="29"/>
  <c r="I61" i="29"/>
  <c r="I48" i="29" s="1"/>
  <c r="I53" i="29" s="1"/>
  <c r="I62" i="29"/>
  <c r="I59" i="29"/>
  <c r="I57" i="29"/>
  <c r="I58" i="29"/>
  <c r="T62" i="29"/>
  <c r="T59" i="29"/>
  <c r="T58" i="29"/>
  <c r="T57" i="29"/>
  <c r="T61" i="29"/>
  <c r="T48" i="29" s="1"/>
  <c r="T53" i="29" s="1"/>
  <c r="P62" i="29"/>
  <c r="P61" i="29"/>
  <c r="P48" i="29" s="1"/>
  <c r="P53" i="29" s="1"/>
  <c r="P59" i="29"/>
  <c r="P58" i="29"/>
  <c r="P57" i="29"/>
  <c r="U40" i="29"/>
  <c r="U27" i="29" s="1"/>
  <c r="U32" i="29" s="1"/>
  <c r="U41" i="29"/>
  <c r="U38" i="29"/>
  <c r="U36" i="29"/>
  <c r="U37" i="29"/>
  <c r="D41" i="29"/>
  <c r="D40" i="29"/>
  <c r="D27" i="29" s="1"/>
  <c r="D32" i="29" s="1"/>
  <c r="D37" i="29"/>
  <c r="D38" i="29"/>
  <c r="D36" i="29"/>
  <c r="AJ196" i="28"/>
  <c r="AF196" i="28"/>
  <c r="U196" i="28"/>
  <c r="AG196" i="28"/>
  <c r="AE196" i="28"/>
  <c r="W196" i="28"/>
  <c r="V196" i="28"/>
  <c r="AJ204" i="28"/>
  <c r="AF204" i="28"/>
  <c r="AE204" i="28"/>
  <c r="U204" i="28"/>
  <c r="AG204" i="28"/>
  <c r="W204" i="28"/>
  <c r="V204" i="28"/>
  <c r="AI204" i="28"/>
  <c r="AD187" i="28"/>
  <c r="AJ187" i="28" s="1"/>
  <c r="AD195" i="28"/>
  <c r="AH195" i="28" s="1"/>
  <c r="AD193" i="28"/>
  <c r="AI193" i="28" s="1"/>
  <c r="AG180" i="28"/>
  <c r="AF180" i="28"/>
  <c r="AJ180" i="28"/>
  <c r="AI180" i="28"/>
  <c r="W180" i="28"/>
  <c r="AH180" i="28"/>
  <c r="V180" i="28"/>
  <c r="AE180" i="28"/>
  <c r="U180" i="28"/>
  <c r="AB228" i="28"/>
  <c r="AO169" i="28"/>
  <c r="AC228" i="28"/>
  <c r="K40" i="28" s="1"/>
  <c r="B52" i="30" s="1"/>
  <c r="C52" i="30" s="1"/>
  <c r="W34" i="28"/>
  <c r="K34" i="28" s="1"/>
  <c r="C90" i="33" s="1"/>
  <c r="AE203" i="28"/>
  <c r="AD207" i="28"/>
  <c r="AH207" i="28" s="1"/>
  <c r="AG205" i="28"/>
  <c r="U205" i="28"/>
  <c r="AH205" i="28"/>
  <c r="W205" i="28"/>
  <c r="AE205" i="28"/>
  <c r="V205" i="28"/>
  <c r="AJ205" i="28"/>
  <c r="AI205" i="28"/>
  <c r="AF205" i="28"/>
  <c r="AI178" i="28"/>
  <c r="AH178" i="28"/>
  <c r="AG178" i="28"/>
  <c r="AE178" i="28"/>
  <c r="AF178" i="28"/>
  <c r="W178" i="28"/>
  <c r="U178" i="28"/>
  <c r="AJ178" i="28"/>
  <c r="V178" i="28"/>
  <c r="AA228" i="28"/>
  <c r="K42" i="28" s="1"/>
  <c r="AO167" i="28"/>
  <c r="AD173" i="28"/>
  <c r="AH173" i="28" s="1"/>
  <c r="Z34" i="28"/>
  <c r="K37" i="28" s="1"/>
  <c r="C93" i="33" s="1"/>
  <c r="Y34" i="28"/>
  <c r="K36" i="28" s="1"/>
  <c r="C92" i="33" s="1"/>
  <c r="X34" i="28"/>
  <c r="K35" i="28" s="1"/>
  <c r="C91" i="33" s="1"/>
  <c r="AO170" i="28"/>
  <c r="AD186" i="28"/>
  <c r="AI186" i="28" s="1"/>
  <c r="AB34" i="28"/>
  <c r="K32" i="28" s="1"/>
  <c r="C89" i="33" s="1"/>
  <c r="AE174" i="28"/>
  <c r="V174" i="28"/>
  <c r="U174" i="28"/>
  <c r="AI174" i="28"/>
  <c r="AJ174" i="28"/>
  <c r="AG174" i="28"/>
  <c r="AF174" i="28"/>
  <c r="W174" i="28"/>
  <c r="AF200" i="28"/>
  <c r="AJ200" i="28"/>
  <c r="AI200" i="28"/>
  <c r="AG200" i="28"/>
  <c r="V200" i="28"/>
  <c r="AE200" i="28"/>
  <c r="U200" i="28"/>
  <c r="W200" i="28"/>
  <c r="U193" i="28"/>
  <c r="AG193" i="28"/>
  <c r="AF193" i="28"/>
  <c r="V193" i="28"/>
  <c r="AE193" i="28"/>
  <c r="AJ193" i="28"/>
  <c r="W193" i="28"/>
  <c r="AE177" i="28"/>
  <c r="AD164" i="28"/>
  <c r="AI164" i="28" s="1"/>
  <c r="AF192" i="28"/>
  <c r="AJ192" i="28"/>
  <c r="AG192" i="28"/>
  <c r="V192" i="28"/>
  <c r="U192" i="28"/>
  <c r="AI192" i="28"/>
  <c r="AE192" i="28"/>
  <c r="W192" i="28"/>
  <c r="AE195" i="28"/>
  <c r="W195" i="28"/>
  <c r="AI195" i="28"/>
  <c r="AG195" i="28"/>
  <c r="V195" i="28"/>
  <c r="U195" i="28"/>
  <c r="AF195" i="28"/>
  <c r="AD201" i="28"/>
  <c r="AH201" i="28" s="1"/>
  <c r="AD199" i="28"/>
  <c r="AH199" i="28" s="1"/>
  <c r="AE207" i="28"/>
  <c r="AG173" i="28"/>
  <c r="AF173" i="28"/>
  <c r="V173" i="28"/>
  <c r="AE173" i="28"/>
  <c r="W173" i="28"/>
  <c r="AJ173" i="28"/>
  <c r="AI173" i="28"/>
  <c r="U173" i="28"/>
  <c r="AG189" i="28"/>
  <c r="U189" i="28"/>
  <c r="AJ189" i="28"/>
  <c r="W189" i="28"/>
  <c r="V189" i="28"/>
  <c r="AF189" i="28"/>
  <c r="AE189" i="28"/>
  <c r="AC34" i="28"/>
  <c r="K39" i="28" s="1"/>
  <c r="C96" i="33" s="1"/>
  <c r="BR40" i="23"/>
  <c r="I75" i="23"/>
  <c r="BR32" i="23"/>
  <c r="BR24" i="23"/>
  <c r="C66" i="27"/>
  <c r="D66" i="27"/>
  <c r="E66" i="27"/>
  <c r="F66" i="27"/>
  <c r="G66" i="27"/>
  <c r="H66" i="27"/>
  <c r="I66" i="27"/>
  <c r="J66" i="27"/>
  <c r="K66" i="27"/>
  <c r="L66" i="27"/>
  <c r="M66" i="27"/>
  <c r="N66" i="27"/>
  <c r="O66" i="27"/>
  <c r="P66" i="27"/>
  <c r="Q66" i="27"/>
  <c r="R66" i="27"/>
  <c r="S66" i="27"/>
  <c r="T66" i="27"/>
  <c r="U66" i="27"/>
  <c r="V66" i="27"/>
  <c r="W66" i="27"/>
  <c r="X66" i="27"/>
  <c r="Y66" i="27"/>
  <c r="B66" i="27"/>
  <c r="AH170" i="28" l="1"/>
  <c r="AI170" i="28"/>
  <c r="AH189" i="31"/>
  <c r="AC30" i="31"/>
  <c r="J34" i="31" s="1"/>
  <c r="C201" i="33" s="1"/>
  <c r="AC240" i="31"/>
  <c r="AF240" i="31" s="1"/>
  <c r="AH189" i="28"/>
  <c r="X237" i="31"/>
  <c r="C243" i="33" s="1"/>
  <c r="C307" i="33"/>
  <c r="AH191" i="31"/>
  <c r="AH196" i="28"/>
  <c r="AJ166" i="28"/>
  <c r="AI165" i="28"/>
  <c r="AH193" i="28"/>
  <c r="AI167" i="31"/>
  <c r="BN83" i="30"/>
  <c r="BN85" i="30" s="1"/>
  <c r="BG81" i="30"/>
  <c r="AH186" i="31"/>
  <c r="AI165" i="31"/>
  <c r="BP82" i="30"/>
  <c r="BP81" i="30"/>
  <c r="BP84" i="30"/>
  <c r="O18" i="29"/>
  <c r="O22" i="29" s="1"/>
  <c r="F18" i="29"/>
  <c r="F22" i="29" s="1"/>
  <c r="BI83" i="30"/>
  <c r="J18" i="29"/>
  <c r="J22" i="29" s="1"/>
  <c r="BB117" i="30"/>
  <c r="M5" i="30" s="1"/>
  <c r="Z34" i="29"/>
  <c r="R18" i="29"/>
  <c r="R22" i="29" s="1"/>
  <c r="J142" i="31"/>
  <c r="C220" i="33" s="1"/>
  <c r="BC117" i="30"/>
  <c r="N5" i="30" s="1"/>
  <c r="AZ117" i="30"/>
  <c r="K5" i="30" s="1"/>
  <c r="C191" i="33"/>
  <c r="C275" i="33" s="1"/>
  <c r="F6" i="30"/>
  <c r="C246" i="33" s="1"/>
  <c r="C75" i="33"/>
  <c r="B53" i="30"/>
  <c r="C53" i="30" s="1"/>
  <c r="K253" i="33"/>
  <c r="L253" i="33" s="1"/>
  <c r="B115" i="30"/>
  <c r="C192" i="33"/>
  <c r="BG82" i="30"/>
  <c r="BP117" i="30"/>
  <c r="AA5" i="30" s="1"/>
  <c r="B98" i="30"/>
  <c r="BJ31" i="29"/>
  <c r="BL31" i="29"/>
  <c r="M18" i="29"/>
  <c r="M22" i="29" s="1"/>
  <c r="K18" i="29"/>
  <c r="K22" i="29" s="1"/>
  <c r="G18" i="29"/>
  <c r="G22" i="29" s="1"/>
  <c r="Z18" i="29"/>
  <c r="Z22" i="29" s="1"/>
  <c r="W18" i="29"/>
  <c r="W22" i="29" s="1"/>
  <c r="L18" i="29"/>
  <c r="L22" i="29" s="1"/>
  <c r="P39" i="29"/>
  <c r="I18" i="29"/>
  <c r="I22" i="29" s="1"/>
  <c r="BK31" i="29"/>
  <c r="AQ6" i="29" s="1"/>
  <c r="H18" i="29"/>
  <c r="H22" i="29" s="1"/>
  <c r="V18" i="29"/>
  <c r="V22" i="29" s="1"/>
  <c r="Q18" i="29"/>
  <c r="Q22" i="29" s="1"/>
  <c r="E18" i="29"/>
  <c r="E22" i="29" s="1"/>
  <c r="T18" i="29"/>
  <c r="T22" i="29" s="1"/>
  <c r="U18" i="29"/>
  <c r="U22" i="29" s="1"/>
  <c r="C18" i="29"/>
  <c r="X60" i="29"/>
  <c r="Y18" i="29"/>
  <c r="Y22" i="29" s="1"/>
  <c r="X18" i="29"/>
  <c r="X22" i="29" s="1"/>
  <c r="J60" i="29"/>
  <c r="S18" i="29"/>
  <c r="S22" i="29" s="1"/>
  <c r="D18" i="29"/>
  <c r="D22" i="29" s="1"/>
  <c r="P18" i="29"/>
  <c r="P22" i="29" s="1"/>
  <c r="N18" i="29"/>
  <c r="N22" i="29" s="1"/>
  <c r="BI117" i="30"/>
  <c r="T5" i="30" s="1"/>
  <c r="BE117" i="30"/>
  <c r="P5" i="30" s="1"/>
  <c r="BG117" i="30"/>
  <c r="R5" i="30" s="1"/>
  <c r="R60" i="29"/>
  <c r="K60" i="29"/>
  <c r="BK117" i="30"/>
  <c r="V5" i="30" s="1"/>
  <c r="H60" i="29"/>
  <c r="R39" i="29"/>
  <c r="W39" i="29"/>
  <c r="S39" i="29"/>
  <c r="S60" i="29"/>
  <c r="G39" i="29"/>
  <c r="T39" i="29"/>
  <c r="M60" i="29"/>
  <c r="BM117" i="30"/>
  <c r="X5" i="30" s="1"/>
  <c r="BN117" i="30"/>
  <c r="Y5" i="30" s="1"/>
  <c r="B111" i="30"/>
  <c r="Y39" i="29"/>
  <c r="M39" i="29"/>
  <c r="BA117" i="30"/>
  <c r="L5" i="30" s="1"/>
  <c r="BD117" i="30"/>
  <c r="O5" i="30" s="1"/>
  <c r="BO117" i="30"/>
  <c r="Z5" i="30" s="1"/>
  <c r="BH117" i="30"/>
  <c r="S5" i="30" s="1"/>
  <c r="BL117" i="30"/>
  <c r="W5" i="30" s="1"/>
  <c r="J110" i="31"/>
  <c r="J111" i="31"/>
  <c r="BJ117" i="30"/>
  <c r="U5" i="30" s="1"/>
  <c r="BF117" i="30"/>
  <c r="Q5" i="30" s="1"/>
  <c r="BH83" i="30"/>
  <c r="BL82" i="30"/>
  <c r="AW85" i="30"/>
  <c r="BL84" i="30"/>
  <c r="BH84" i="30"/>
  <c r="J39" i="31"/>
  <c r="C204" i="33" s="1"/>
  <c r="J114" i="31"/>
  <c r="B109" i="30"/>
  <c r="AG29" i="31"/>
  <c r="J37" i="31" s="1"/>
  <c r="C203" i="33" s="1"/>
  <c r="AO168" i="31"/>
  <c r="C79" i="33" s="1"/>
  <c r="AE228" i="28"/>
  <c r="B59" i="30"/>
  <c r="F59" i="30" s="1"/>
  <c r="C271" i="33" s="1"/>
  <c r="B51" i="30"/>
  <c r="C51" i="30" s="1"/>
  <c r="B40" i="31"/>
  <c r="J40" i="31" s="1"/>
  <c r="C205" i="33" s="1"/>
  <c r="F42" i="29"/>
  <c r="F28" i="29" s="1"/>
  <c r="F34" i="29" s="1"/>
  <c r="C63" i="29"/>
  <c r="C49" i="29" s="1"/>
  <c r="C55" i="29" s="1"/>
  <c r="U60" i="29"/>
  <c r="I63" i="29"/>
  <c r="I49" i="29" s="1"/>
  <c r="I55" i="29" s="1"/>
  <c r="E63" i="29"/>
  <c r="E49" i="29" s="1"/>
  <c r="E55" i="29" s="1"/>
  <c r="BK89" i="31"/>
  <c r="BK94" i="31" s="1"/>
  <c r="AF228" i="28"/>
  <c r="AJ195" i="28"/>
  <c r="U42" i="29"/>
  <c r="U28" i="29" s="1"/>
  <c r="U34" i="29" s="1"/>
  <c r="Y42" i="29"/>
  <c r="Y43" i="29" s="1"/>
  <c r="L63" i="29"/>
  <c r="L49" i="29" s="1"/>
  <c r="L55" i="29" s="1"/>
  <c r="X42" i="29"/>
  <c r="X28" i="29" s="1"/>
  <c r="X34" i="29" s="1"/>
  <c r="S63" i="29"/>
  <c r="V63" i="29"/>
  <c r="V49" i="29" s="1"/>
  <c r="V55" i="29" s="1"/>
  <c r="L42" i="29"/>
  <c r="L28" i="29" s="1"/>
  <c r="L34" i="29" s="1"/>
  <c r="BP85" i="30"/>
  <c r="DM85" i="30"/>
  <c r="CE85" i="30"/>
  <c r="DZ85" i="30"/>
  <c r="DQ85" i="30"/>
  <c r="BL90" i="31"/>
  <c r="BL94" i="31" s="1"/>
  <c r="AH195" i="31"/>
  <c r="AJ195" i="31"/>
  <c r="AJ228" i="31" s="1"/>
  <c r="C134" i="31" s="1"/>
  <c r="J134" i="31" s="1"/>
  <c r="P63" i="29"/>
  <c r="J63" i="29"/>
  <c r="J49" i="29" s="1"/>
  <c r="J55" i="29" s="1"/>
  <c r="E42" i="29"/>
  <c r="E28" i="29" s="1"/>
  <c r="E34" i="29" s="1"/>
  <c r="H42" i="29"/>
  <c r="H28" i="29" s="1"/>
  <c r="H34" i="29" s="1"/>
  <c r="J42" i="29"/>
  <c r="J28" i="29" s="1"/>
  <c r="J34" i="29" s="1"/>
  <c r="Z39" i="29"/>
  <c r="Z43" i="29" s="1"/>
  <c r="O63" i="29"/>
  <c r="O49" i="29" s="1"/>
  <c r="O55" i="29" s="1"/>
  <c r="U63" i="29"/>
  <c r="U49" i="29" s="1"/>
  <c r="U55" i="29" s="1"/>
  <c r="Z63" i="29"/>
  <c r="Z49" i="29" s="1"/>
  <c r="Z55" i="29" s="1"/>
  <c r="U228" i="28"/>
  <c r="M28" i="28" s="1"/>
  <c r="F52" i="30"/>
  <c r="C264" i="33" s="1"/>
  <c r="P60" i="29"/>
  <c r="F39" i="29"/>
  <c r="N39" i="29"/>
  <c r="D60" i="29"/>
  <c r="C42" i="29"/>
  <c r="C28" i="29" s="1"/>
  <c r="C34" i="29" s="1"/>
  <c r="O60" i="29"/>
  <c r="Q42" i="29"/>
  <c r="Q28" i="29" s="1"/>
  <c r="Q34" i="29" s="1"/>
  <c r="R63" i="29"/>
  <c r="Y63" i="29"/>
  <c r="Y49" i="29" s="1"/>
  <c r="Y55" i="29" s="1"/>
  <c r="V42" i="29"/>
  <c r="V28" i="29" s="1"/>
  <c r="V34" i="29" s="1"/>
  <c r="F63" i="29"/>
  <c r="F49" i="29" s="1"/>
  <c r="F55" i="29" s="1"/>
  <c r="K63" i="29"/>
  <c r="K64" i="29" s="1"/>
  <c r="DP85" i="30"/>
  <c r="CS85" i="30"/>
  <c r="DJ85" i="30"/>
  <c r="M42" i="29"/>
  <c r="M28" i="29" s="1"/>
  <c r="M34" i="29" s="1"/>
  <c r="B50" i="30"/>
  <c r="C50" i="30" s="1"/>
  <c r="T63" i="29"/>
  <c r="T49" i="29" s="1"/>
  <c r="T55" i="29" s="1"/>
  <c r="H63" i="29"/>
  <c r="AD30" i="29"/>
  <c r="AD31" i="29" s="1"/>
  <c r="R42" i="29"/>
  <c r="R28" i="29" s="1"/>
  <c r="R34" i="29" s="1"/>
  <c r="P42" i="29"/>
  <c r="P28" i="29" s="1"/>
  <c r="P34" i="29" s="1"/>
  <c r="O42" i="29"/>
  <c r="O28" i="29" s="1"/>
  <c r="O34" i="29" s="1"/>
  <c r="G63" i="29"/>
  <c r="G49" i="29" s="1"/>
  <c r="G55" i="29" s="1"/>
  <c r="I39" i="29"/>
  <c r="N63" i="29"/>
  <c r="N49" i="29" s="1"/>
  <c r="N55" i="29" s="1"/>
  <c r="F60" i="29"/>
  <c r="V228" i="28"/>
  <c r="M29" i="28" s="1"/>
  <c r="B56" i="30" s="1"/>
  <c r="C56" i="30" s="1"/>
  <c r="BG83" i="30"/>
  <c r="AH187" i="28"/>
  <c r="AI187" i="28"/>
  <c r="E39" i="29"/>
  <c r="E43" i="29" s="1"/>
  <c r="D42" i="29"/>
  <c r="D28" i="29" s="1"/>
  <c r="D34" i="29" s="1"/>
  <c r="W63" i="29"/>
  <c r="W49" i="29" s="1"/>
  <c r="W55" i="29" s="1"/>
  <c r="K42" i="29"/>
  <c r="K28" i="29" s="1"/>
  <c r="K34" i="29" s="1"/>
  <c r="G42" i="29"/>
  <c r="G28" i="29" s="1"/>
  <c r="G34" i="29" s="1"/>
  <c r="Q63" i="29"/>
  <c r="Q49" i="29" s="1"/>
  <c r="Q55" i="29" s="1"/>
  <c r="I42" i="29"/>
  <c r="M63" i="29"/>
  <c r="M49" i="29" s="1"/>
  <c r="M55" i="29" s="1"/>
  <c r="DE85" i="30"/>
  <c r="CP85" i="30"/>
  <c r="BA85" i="30"/>
  <c r="DT85" i="30"/>
  <c r="BG84" i="30"/>
  <c r="DO85" i="30"/>
  <c r="BI81" i="30"/>
  <c r="CG85" i="30"/>
  <c r="N42" i="29"/>
  <c r="N28" i="29" s="1"/>
  <c r="N34" i="29" s="1"/>
  <c r="AG228" i="28"/>
  <c r="W228" i="28"/>
  <c r="M30" i="28" s="1"/>
  <c r="B57" i="30" s="1"/>
  <c r="C57" i="30" s="1"/>
  <c r="X63" i="29"/>
  <c r="D63" i="29"/>
  <c r="D64" i="29" s="1"/>
  <c r="W42" i="29"/>
  <c r="W28" i="29" s="1"/>
  <c r="W34" i="29" s="1"/>
  <c r="S42" i="29"/>
  <c r="S28" i="29" s="1"/>
  <c r="S34" i="29" s="1"/>
  <c r="T42" i="29"/>
  <c r="T43" i="29" s="1"/>
  <c r="BQ85" i="30"/>
  <c r="AI187" i="31"/>
  <c r="AG228" i="31"/>
  <c r="C137" i="31" s="1"/>
  <c r="J137" i="31" s="1"/>
  <c r="W228" i="31"/>
  <c r="C87" i="33" s="1"/>
  <c r="AD228" i="31"/>
  <c r="AO165" i="31"/>
  <c r="C78" i="33" s="1"/>
  <c r="AH164" i="31"/>
  <c r="C138" i="31"/>
  <c r="J138" i="31" s="1"/>
  <c r="T42" i="31"/>
  <c r="V44" i="31" s="1"/>
  <c r="V46" i="31" s="1"/>
  <c r="AJ36" i="31" s="1"/>
  <c r="AJ40" i="31" s="1"/>
  <c r="AH187" i="31"/>
  <c r="U228" i="31"/>
  <c r="C85" i="33" s="1"/>
  <c r="AE228" i="31"/>
  <c r="C135" i="31" s="1"/>
  <c r="J135" i="31" s="1"/>
  <c r="V228" i="31"/>
  <c r="C86" i="33" s="1"/>
  <c r="AF228" i="31"/>
  <c r="C136" i="31" s="1"/>
  <c r="J136" i="31" s="1"/>
  <c r="BD85" i="30"/>
  <c r="BF85" i="30"/>
  <c r="CR85" i="30"/>
  <c r="CB85" i="30"/>
  <c r="CC85" i="30"/>
  <c r="AX85" i="30"/>
  <c r="BK85" i="30"/>
  <c r="CY85" i="30"/>
  <c r="DF85" i="30"/>
  <c r="CH85" i="30"/>
  <c r="CU85" i="30"/>
  <c r="CV85" i="30"/>
  <c r="DI85" i="30"/>
  <c r="DW85" i="30"/>
  <c r="CO85" i="30"/>
  <c r="CX85" i="30"/>
  <c r="DN85" i="30"/>
  <c r="CN85" i="30"/>
  <c r="BJ85" i="30"/>
  <c r="DS85" i="30"/>
  <c r="DR85" i="30"/>
  <c r="EB85" i="30"/>
  <c r="CK85" i="30"/>
  <c r="CF85" i="30"/>
  <c r="BB85" i="30"/>
  <c r="BE85" i="30"/>
  <c r="BC85" i="30"/>
  <c r="CW85" i="30"/>
  <c r="DK85" i="30"/>
  <c r="CM85" i="30"/>
  <c r="CL85" i="30"/>
  <c r="AV85" i="30"/>
  <c r="DL85" i="30"/>
  <c r="BO85" i="30"/>
  <c r="DY85" i="30"/>
  <c r="CD85" i="30"/>
  <c r="DX85" i="30"/>
  <c r="CJ85" i="30"/>
  <c r="BR85" i="30"/>
  <c r="CT85" i="30"/>
  <c r="DH85" i="30"/>
  <c r="EA85" i="30"/>
  <c r="AZ85" i="30"/>
  <c r="F7" i="30"/>
  <c r="C247" i="33" s="1"/>
  <c r="AY85" i="30"/>
  <c r="DV85" i="30"/>
  <c r="BM85" i="30"/>
  <c r="CI85" i="30"/>
  <c r="DG85" i="30"/>
  <c r="CQ85" i="30"/>
  <c r="DU85" i="30"/>
  <c r="BS85" i="30"/>
  <c r="D39" i="29"/>
  <c r="D43" i="29" s="1"/>
  <c r="T60" i="29"/>
  <c r="T64" i="29" s="1"/>
  <c r="K39" i="29"/>
  <c r="O39" i="29"/>
  <c r="Y60" i="29"/>
  <c r="F43" i="29"/>
  <c r="C11" i="29"/>
  <c r="H39" i="29"/>
  <c r="Q60" i="29"/>
  <c r="C60" i="29"/>
  <c r="X39" i="29"/>
  <c r="I60" i="29"/>
  <c r="J39" i="29"/>
  <c r="L60" i="29"/>
  <c r="L64" i="29" s="1"/>
  <c r="G60" i="29"/>
  <c r="E60" i="29"/>
  <c r="Q39" i="29"/>
  <c r="V60" i="29"/>
  <c r="N60" i="29"/>
  <c r="N64" i="29" s="1"/>
  <c r="L39" i="29"/>
  <c r="L43" i="29" s="1"/>
  <c r="U39" i="29"/>
  <c r="W60" i="29"/>
  <c r="W64" i="29" s="1"/>
  <c r="C39" i="29"/>
  <c r="Z60" i="29"/>
  <c r="Z64" i="29" s="1"/>
  <c r="V39" i="29"/>
  <c r="AO168" i="28"/>
  <c r="AH186" i="28"/>
  <c r="K33" i="28"/>
  <c r="AD228" i="28"/>
  <c r="K41" i="28" s="1"/>
  <c r="B54" i="30" s="1"/>
  <c r="C54" i="30" s="1"/>
  <c r="AO165" i="28"/>
  <c r="AH164" i="28"/>
  <c r="Y68" i="27"/>
  <c r="X68" i="27"/>
  <c r="W68" i="27"/>
  <c r="V68" i="27"/>
  <c r="V69" i="27" s="1"/>
  <c r="U68" i="27"/>
  <c r="T68" i="27"/>
  <c r="S68" i="27"/>
  <c r="S69" i="27" s="1"/>
  <c r="R68" i="27"/>
  <c r="Q68" i="27"/>
  <c r="P68" i="27"/>
  <c r="P69" i="27" s="1"/>
  <c r="O68" i="27"/>
  <c r="O69" i="27" s="1"/>
  <c r="N68" i="27"/>
  <c r="N69" i="27" s="1"/>
  <c r="M68" i="27"/>
  <c r="L68" i="27"/>
  <c r="L69" i="27" s="1"/>
  <c r="K68" i="27"/>
  <c r="K69" i="27" s="1"/>
  <c r="J68" i="27"/>
  <c r="J69" i="27" s="1"/>
  <c r="I68" i="27"/>
  <c r="H68" i="27"/>
  <c r="H69" i="27" s="1"/>
  <c r="G68" i="27"/>
  <c r="G69" i="27" s="1"/>
  <c r="F68" i="27"/>
  <c r="F69" i="27" s="1"/>
  <c r="E68" i="27"/>
  <c r="D68" i="27"/>
  <c r="D69" i="27" s="1"/>
  <c r="C68" i="27"/>
  <c r="C69" i="27" s="1"/>
  <c r="B68" i="27"/>
  <c r="B74" i="27" s="1"/>
  <c r="Y63" i="27"/>
  <c r="X63" i="27"/>
  <c r="W63" i="27"/>
  <c r="V63" i="27"/>
  <c r="U63" i="27"/>
  <c r="T63" i="27"/>
  <c r="S63" i="27"/>
  <c r="R63" i="27"/>
  <c r="Q63" i="27"/>
  <c r="P63" i="27"/>
  <c r="O63" i="27"/>
  <c r="N63" i="27"/>
  <c r="M63" i="27"/>
  <c r="L63" i="27"/>
  <c r="K63" i="27"/>
  <c r="J63" i="27"/>
  <c r="I63" i="27"/>
  <c r="H63" i="27"/>
  <c r="G63" i="27"/>
  <c r="F63" i="27"/>
  <c r="E63" i="27"/>
  <c r="D63" i="27"/>
  <c r="C63" i="27"/>
  <c r="B63" i="27"/>
  <c r="BI85" i="30" l="1"/>
  <c r="BC87" i="30"/>
  <c r="BC86" i="30"/>
  <c r="BB86" i="30"/>
  <c r="BB87" i="30"/>
  <c r="BD87" i="30"/>
  <c r="BD86" i="30"/>
  <c r="BQ86" i="30"/>
  <c r="BQ87" i="30"/>
  <c r="BR87" i="30"/>
  <c r="BR86" i="30"/>
  <c r="BS87" i="30"/>
  <c r="BS86" i="30"/>
  <c r="AZ87" i="30"/>
  <c r="AZ86" i="30"/>
  <c r="AX87" i="30"/>
  <c r="AX86" i="30"/>
  <c r="AY87" i="30"/>
  <c r="AY86" i="30"/>
  <c r="BA86" i="30"/>
  <c r="BA87" i="30"/>
  <c r="AW86" i="30"/>
  <c r="AW87" i="30"/>
  <c r="AV86" i="30"/>
  <c r="AV87" i="30"/>
  <c r="BJ86" i="30"/>
  <c r="BJ87" i="30"/>
  <c r="BO87" i="30"/>
  <c r="BO86" i="30"/>
  <c r="BE86" i="30"/>
  <c r="BE87" i="30"/>
  <c r="BF87" i="30"/>
  <c r="BF86" i="30"/>
  <c r="BP87" i="30"/>
  <c r="BP86" i="30"/>
  <c r="BN86" i="30"/>
  <c r="BN87" i="30"/>
  <c r="BI87" i="30"/>
  <c r="BI86" i="30"/>
  <c r="BM86" i="30"/>
  <c r="BM87" i="30"/>
  <c r="BK86" i="30"/>
  <c r="BK87" i="30"/>
  <c r="D243" i="33"/>
  <c r="C276" i="33"/>
  <c r="AI228" i="28"/>
  <c r="C71" i="33"/>
  <c r="C74" i="33" s="1"/>
  <c r="K48" i="28"/>
  <c r="B154" i="31" s="1"/>
  <c r="B149" i="31" s="1"/>
  <c r="J149" i="31" s="1"/>
  <c r="C222" i="33" s="1"/>
  <c r="AJ228" i="28"/>
  <c r="AA237" i="31"/>
  <c r="AB237" i="31" s="1"/>
  <c r="AC237" i="31" s="1"/>
  <c r="AF237" i="31" s="1"/>
  <c r="B178" i="31" s="1"/>
  <c r="C240" i="33" s="1"/>
  <c r="C304" i="33"/>
  <c r="AQ3" i="29"/>
  <c r="C305" i="33"/>
  <c r="AI228" i="31"/>
  <c r="C133" i="31" s="1"/>
  <c r="J133" i="31" s="1"/>
  <c r="F51" i="30"/>
  <c r="C263" i="33" s="1"/>
  <c r="F50" i="30"/>
  <c r="C262" i="33" s="1"/>
  <c r="F53" i="30"/>
  <c r="C265" i="33" s="1"/>
  <c r="C244" i="33"/>
  <c r="D191" i="33"/>
  <c r="O253" i="33"/>
  <c r="D246" i="33"/>
  <c r="D275" i="33"/>
  <c r="C97" i="33"/>
  <c r="D247" i="33"/>
  <c r="Q64" i="29"/>
  <c r="CG102" i="30"/>
  <c r="L10" i="30" s="1"/>
  <c r="BH85" i="30"/>
  <c r="Y64" i="29"/>
  <c r="S64" i="29"/>
  <c r="X43" i="29"/>
  <c r="V64" i="29"/>
  <c r="AQ4" i="29"/>
  <c r="E64" i="29"/>
  <c r="O43" i="29"/>
  <c r="C13" i="29"/>
  <c r="X64" i="29"/>
  <c r="O64" i="29"/>
  <c r="V43" i="29"/>
  <c r="K49" i="29"/>
  <c r="K55" i="29" s="1"/>
  <c r="U43" i="29"/>
  <c r="R64" i="29"/>
  <c r="B112" i="30"/>
  <c r="DZ102" i="30"/>
  <c r="AB11" i="30" s="1"/>
  <c r="CP102" i="30"/>
  <c r="U10" i="30" s="1"/>
  <c r="I43" i="29"/>
  <c r="P43" i="29"/>
  <c r="H64" i="29"/>
  <c r="F5" i="30"/>
  <c r="C245" i="33" s="1"/>
  <c r="Q43" i="29"/>
  <c r="C64" i="29"/>
  <c r="N43" i="29"/>
  <c r="BG85" i="30"/>
  <c r="G43" i="29"/>
  <c r="M64" i="29"/>
  <c r="P64" i="29"/>
  <c r="BL85" i="30"/>
  <c r="DO102" i="30"/>
  <c r="Q11" i="30" s="1"/>
  <c r="J43" i="29"/>
  <c r="D49" i="29"/>
  <c r="D55" i="29" s="1"/>
  <c r="S49" i="29"/>
  <c r="S55" i="29" s="1"/>
  <c r="J64" i="29"/>
  <c r="H49" i="29"/>
  <c r="H55" i="29" s="1"/>
  <c r="T28" i="29"/>
  <c r="T34" i="29" s="1"/>
  <c r="M43" i="29"/>
  <c r="F64" i="29"/>
  <c r="W153" i="31"/>
  <c r="Y153" i="31" s="1"/>
  <c r="Y156" i="31" s="1"/>
  <c r="Z156" i="31" s="1"/>
  <c r="B161" i="31" s="1"/>
  <c r="J161" i="31" s="1"/>
  <c r="C233" i="33" s="1"/>
  <c r="W154" i="31"/>
  <c r="Y154" i="31" s="1"/>
  <c r="Z154" i="31" s="1"/>
  <c r="B159" i="31" s="1"/>
  <c r="J159" i="31" s="1"/>
  <c r="C231" i="33" s="1"/>
  <c r="W155" i="31"/>
  <c r="Y155" i="31" s="1"/>
  <c r="Z155" i="31" s="1"/>
  <c r="B160" i="31" s="1"/>
  <c r="J160" i="31" s="1"/>
  <c r="C232" i="33" s="1"/>
  <c r="X49" i="29"/>
  <c r="X55" i="29" s="1"/>
  <c r="I28" i="29"/>
  <c r="I34" i="29" s="1"/>
  <c r="P49" i="29"/>
  <c r="P55" i="29" s="1"/>
  <c r="R49" i="29"/>
  <c r="R55" i="29" s="1"/>
  <c r="Y28" i="29"/>
  <c r="Y34" i="29" s="1"/>
  <c r="U64" i="29"/>
  <c r="CE102" i="30"/>
  <c r="J10" i="30" s="1"/>
  <c r="K43" i="28"/>
  <c r="C88" i="33" s="1"/>
  <c r="B55" i="30"/>
  <c r="C55" i="30" s="1"/>
  <c r="W43" i="29"/>
  <c r="H43" i="29"/>
  <c r="K43" i="29"/>
  <c r="R43" i="29"/>
  <c r="G64" i="29"/>
  <c r="C22" i="29"/>
  <c r="DM102" i="30"/>
  <c r="O11" i="30" s="1"/>
  <c r="F54" i="30"/>
  <c r="C266" i="33" s="1"/>
  <c r="I64" i="29"/>
  <c r="F57" i="30"/>
  <c r="C269" i="33" s="1"/>
  <c r="F56" i="30"/>
  <c r="C268" i="33" s="1"/>
  <c r="S43" i="29"/>
  <c r="C43" i="29"/>
  <c r="DQ102" i="30"/>
  <c r="S11" i="30" s="1"/>
  <c r="DE102" i="30"/>
  <c r="G11" i="30" s="1"/>
  <c r="B42" i="31"/>
  <c r="Z38" i="31"/>
  <c r="Z39" i="31" s="1"/>
  <c r="AH228" i="31"/>
  <c r="C132" i="31" s="1"/>
  <c r="J132" i="31" s="1"/>
  <c r="DJ102" i="30"/>
  <c r="L11" i="30" s="1"/>
  <c r="DT102" i="30"/>
  <c r="V11" i="30" s="1"/>
  <c r="DP102" i="30"/>
  <c r="R11" i="30" s="1"/>
  <c r="CS102" i="30"/>
  <c r="X10" i="30" s="1"/>
  <c r="AH228" i="28"/>
  <c r="F74" i="27"/>
  <c r="V74" i="27"/>
  <c r="E69" i="27"/>
  <c r="I69" i="27"/>
  <c r="M69" i="27"/>
  <c r="Y69" i="27"/>
  <c r="X69" i="27"/>
  <c r="W69" i="27"/>
  <c r="U69" i="27"/>
  <c r="T69" i="27"/>
  <c r="R69" i="27"/>
  <c r="Q69" i="27"/>
  <c r="R74" i="27"/>
  <c r="N74" i="27"/>
  <c r="J74" i="27"/>
  <c r="C74" i="27"/>
  <c r="G74" i="27"/>
  <c r="K74" i="27"/>
  <c r="O74" i="27"/>
  <c r="S74" i="27"/>
  <c r="W74" i="27"/>
  <c r="D74" i="27"/>
  <c r="H74" i="27"/>
  <c r="L74" i="27"/>
  <c r="P74" i="27"/>
  <c r="T74" i="27"/>
  <c r="X74" i="27"/>
  <c r="E74" i="27"/>
  <c r="I74" i="27"/>
  <c r="M74" i="27"/>
  <c r="Q74" i="27"/>
  <c r="U74" i="27"/>
  <c r="Y74" i="27"/>
  <c r="B69" i="27"/>
  <c r="C30" i="27"/>
  <c r="C36" i="27" s="1"/>
  <c r="D30" i="27"/>
  <c r="D36" i="27" s="1"/>
  <c r="E30" i="27"/>
  <c r="E31" i="27" s="1"/>
  <c r="F30" i="27"/>
  <c r="F31" i="27" s="1"/>
  <c r="G30" i="27"/>
  <c r="G36" i="27" s="1"/>
  <c r="H30" i="27"/>
  <c r="H36" i="27" s="1"/>
  <c r="I30" i="27"/>
  <c r="I36" i="27" s="1"/>
  <c r="J30" i="27"/>
  <c r="J36" i="27" s="1"/>
  <c r="K30" i="27"/>
  <c r="K36" i="27" s="1"/>
  <c r="L30" i="27"/>
  <c r="L36" i="27" s="1"/>
  <c r="M30" i="27"/>
  <c r="M36" i="27" s="1"/>
  <c r="N30" i="27"/>
  <c r="N36" i="27" s="1"/>
  <c r="O30" i="27"/>
  <c r="O36" i="27" s="1"/>
  <c r="P30" i="27"/>
  <c r="P36" i="27" s="1"/>
  <c r="Q30" i="27"/>
  <c r="Q36" i="27" s="1"/>
  <c r="R30" i="27"/>
  <c r="R31" i="27" s="1"/>
  <c r="S30" i="27"/>
  <c r="S36" i="27" s="1"/>
  <c r="T30" i="27"/>
  <c r="T36" i="27" s="1"/>
  <c r="U30" i="27"/>
  <c r="U36" i="27" s="1"/>
  <c r="V30" i="27"/>
  <c r="V36" i="27" s="1"/>
  <c r="W30" i="27"/>
  <c r="W36" i="27" s="1"/>
  <c r="X30" i="27"/>
  <c r="X36" i="27" s="1"/>
  <c r="Y30" i="27"/>
  <c r="Y36" i="27" s="1"/>
  <c r="B30" i="27"/>
  <c r="B31" i="27" s="1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B25" i="27"/>
  <c r="AA4" i="27"/>
  <c r="BQ102" i="30" l="1"/>
  <c r="AB9" i="30" s="1"/>
  <c r="J154" i="31"/>
  <c r="C227" i="33" s="1"/>
  <c r="BN102" i="30"/>
  <c r="Y9" i="30" s="1"/>
  <c r="B155" i="31"/>
  <c r="I155" i="31" s="1"/>
  <c r="BG87" i="30"/>
  <c r="BG86" i="30"/>
  <c r="BH86" i="30"/>
  <c r="BH87" i="30"/>
  <c r="BL86" i="30"/>
  <c r="BL87" i="30"/>
  <c r="D244" i="33"/>
  <c r="BI102" i="30"/>
  <c r="T9" i="30" s="1"/>
  <c r="BA102" i="30"/>
  <c r="L9" i="30" s="1"/>
  <c r="L13" i="30" s="1"/>
  <c r="BP102" i="30"/>
  <c r="AA9" i="30" s="1"/>
  <c r="AW102" i="30"/>
  <c r="H9" i="30" s="1"/>
  <c r="F55" i="30"/>
  <c r="C267" i="33" s="1"/>
  <c r="D262" i="33"/>
  <c r="D245" i="33"/>
  <c r="C81" i="33"/>
  <c r="CL102" i="30"/>
  <c r="Q10" i="30" s="1"/>
  <c r="DY102" i="30"/>
  <c r="AA11" i="30" s="1"/>
  <c r="B58" i="30"/>
  <c r="C58" i="30" s="1"/>
  <c r="CJ102" i="30"/>
  <c r="O10" i="30" s="1"/>
  <c r="DG102" i="30"/>
  <c r="I11" i="30" s="1"/>
  <c r="CV102" i="30"/>
  <c r="AA10" i="30" s="1"/>
  <c r="CD102" i="30"/>
  <c r="I10" i="30" s="1"/>
  <c r="DN102" i="30"/>
  <c r="P11" i="30" s="1"/>
  <c r="AV102" i="30"/>
  <c r="G9" i="30" s="1"/>
  <c r="DL102" i="30"/>
  <c r="N11" i="30" s="1"/>
  <c r="BC102" i="30"/>
  <c r="N9" i="30" s="1"/>
  <c r="DU102" i="30"/>
  <c r="W11" i="30" s="1"/>
  <c r="CB102" i="30"/>
  <c r="G10" i="30" s="1"/>
  <c r="EA102" i="30"/>
  <c r="AC11" i="30" s="1"/>
  <c r="DS102" i="30"/>
  <c r="U11" i="30" s="1"/>
  <c r="DR102" i="30"/>
  <c r="T11" i="30" s="1"/>
  <c r="CK102" i="30"/>
  <c r="P10" i="30" s="1"/>
  <c r="BM102" i="30"/>
  <c r="X9" i="30" s="1"/>
  <c r="DV102" i="30"/>
  <c r="X11" i="30" s="1"/>
  <c r="EB102" i="30"/>
  <c r="AD11" i="30" s="1"/>
  <c r="CI102" i="30"/>
  <c r="N10" i="30" s="1"/>
  <c r="CX102" i="30"/>
  <c r="AC10" i="30" s="1"/>
  <c r="CF102" i="30"/>
  <c r="K10" i="30" s="1"/>
  <c r="CT102" i="30"/>
  <c r="Y10" i="30" s="1"/>
  <c r="AX102" i="30"/>
  <c r="I9" i="30" s="1"/>
  <c r="DX102" i="30"/>
  <c r="Z11" i="30" s="1"/>
  <c r="BF102" i="30"/>
  <c r="Q9" i="30" s="1"/>
  <c r="DF102" i="30"/>
  <c r="H11" i="30" s="1"/>
  <c r="AB40" i="31"/>
  <c r="AD40" i="31" s="1"/>
  <c r="AE40" i="31" s="1"/>
  <c r="AB39" i="31"/>
  <c r="AB38" i="31"/>
  <c r="B43" i="31"/>
  <c r="J43" i="31" s="1"/>
  <c r="C207" i="33" s="1"/>
  <c r="B44" i="31"/>
  <c r="J44" i="31" s="1"/>
  <c r="C208" i="33" s="1"/>
  <c r="J42" i="31"/>
  <c r="C206" i="33" s="1"/>
  <c r="Z153" i="31"/>
  <c r="B158" i="31" s="1"/>
  <c r="J158" i="31" s="1"/>
  <c r="C230" i="33" s="1"/>
  <c r="C236" i="33" s="1"/>
  <c r="CR102" i="30"/>
  <c r="W10" i="30" s="1"/>
  <c r="CO102" i="30"/>
  <c r="T10" i="30" s="1"/>
  <c r="CH102" i="30"/>
  <c r="M10" i="30" s="1"/>
  <c r="BE102" i="30"/>
  <c r="P9" i="30" s="1"/>
  <c r="CQ102" i="30"/>
  <c r="V10" i="30" s="1"/>
  <c r="DI102" i="30"/>
  <c r="K11" i="30" s="1"/>
  <c r="BS102" i="30"/>
  <c r="AD9" i="30" s="1"/>
  <c r="BJ102" i="30"/>
  <c r="U9" i="30" s="1"/>
  <c r="CY102" i="30"/>
  <c r="AD10" i="30" s="1"/>
  <c r="DW102" i="30"/>
  <c r="Y11" i="30" s="1"/>
  <c r="CM102" i="30"/>
  <c r="R10" i="30" s="1"/>
  <c r="CC102" i="30"/>
  <c r="H10" i="30" s="1"/>
  <c r="CN102" i="30"/>
  <c r="S10" i="30" s="1"/>
  <c r="BD102" i="30"/>
  <c r="O9" i="30" s="1"/>
  <c r="BO102" i="30"/>
  <c r="Z9" i="30" s="1"/>
  <c r="AZ102" i="30"/>
  <c r="K9" i="30" s="1"/>
  <c r="BB102" i="30"/>
  <c r="M9" i="30" s="1"/>
  <c r="CU102" i="30"/>
  <c r="Z10" i="30" s="1"/>
  <c r="DH102" i="30"/>
  <c r="J11" i="30" s="1"/>
  <c r="CW102" i="30"/>
  <c r="AB10" i="30" s="1"/>
  <c r="AB13" i="30" s="1"/>
  <c r="BK102" i="30"/>
  <c r="V9" i="30" s="1"/>
  <c r="DK102" i="30"/>
  <c r="M11" i="30" s="1"/>
  <c r="AY102" i="30"/>
  <c r="J9" i="30" s="1"/>
  <c r="BR102" i="30"/>
  <c r="AC9" i="30" s="1"/>
  <c r="V31" i="27"/>
  <c r="N31" i="27"/>
  <c r="B36" i="27"/>
  <c r="R36" i="27"/>
  <c r="F36" i="27"/>
  <c r="Y31" i="27"/>
  <c r="Q31" i="27"/>
  <c r="I31" i="27"/>
  <c r="E36" i="27"/>
  <c r="X31" i="27"/>
  <c r="T31" i="27"/>
  <c r="P31" i="27"/>
  <c r="L31" i="27"/>
  <c r="H31" i="27"/>
  <c r="D31" i="27"/>
  <c r="J31" i="27"/>
  <c r="U31" i="27"/>
  <c r="M31" i="27"/>
  <c r="W31" i="27"/>
  <c r="S31" i="27"/>
  <c r="O31" i="27"/>
  <c r="K31" i="27"/>
  <c r="G31" i="27"/>
  <c r="C31" i="27"/>
  <c r="BG102" i="30" l="1"/>
  <c r="R9" i="30" s="1"/>
  <c r="R13" i="30" s="1"/>
  <c r="BL102" i="30"/>
  <c r="W9" i="30" s="1"/>
  <c r="W13" i="30" s="1"/>
  <c r="BH102" i="30"/>
  <c r="S9" i="30" s="1"/>
  <c r="F58" i="30"/>
  <c r="AA13" i="30"/>
  <c r="T13" i="30"/>
  <c r="C82" i="33"/>
  <c r="D230" i="33" s="1"/>
  <c r="AC13" i="30"/>
  <c r="J13" i="30"/>
  <c r="X13" i="30"/>
  <c r="O13" i="30"/>
  <c r="M13" i="30"/>
  <c r="K13" i="30"/>
  <c r="H13" i="30"/>
  <c r="U13" i="30"/>
  <c r="Q13" i="30"/>
  <c r="Y13" i="30"/>
  <c r="I13" i="30"/>
  <c r="N13" i="30"/>
  <c r="G13" i="30"/>
  <c r="Z13" i="30"/>
  <c r="P13" i="30"/>
  <c r="J170" i="31"/>
  <c r="F11" i="30"/>
  <c r="C250" i="33" s="1"/>
  <c r="V13" i="30"/>
  <c r="F10" i="30"/>
  <c r="C249" i="33" s="1"/>
  <c r="AD13" i="30"/>
  <c r="A83" i="31"/>
  <c r="A84" i="31"/>
  <c r="A85" i="31"/>
  <c r="A86" i="31"/>
  <c r="A87" i="31"/>
  <c r="A88" i="31"/>
  <c r="A89" i="31"/>
  <c r="A90" i="31"/>
  <c r="A91" i="31"/>
  <c r="A92" i="31"/>
  <c r="A93" i="31"/>
  <c r="A94" i="31"/>
  <c r="A95" i="31"/>
  <c r="A96" i="31"/>
  <c r="A97" i="31"/>
  <c r="A98" i="31"/>
  <c r="A99" i="31"/>
  <c r="A100" i="31"/>
  <c r="A101" i="31"/>
  <c r="A102" i="31"/>
  <c r="A103" i="31"/>
  <c r="A104" i="31"/>
  <c r="A105" i="31"/>
  <c r="A106" i="31"/>
  <c r="F9" i="30" l="1"/>
  <c r="C248" i="33" s="1"/>
  <c r="S13" i="30"/>
  <c r="C270" i="33"/>
  <c r="C289" i="33" s="1"/>
  <c r="B108" i="30"/>
  <c r="B123" i="30" s="1"/>
  <c r="D206" i="33"/>
  <c r="D81" i="33"/>
  <c r="J205" i="33" s="1"/>
  <c r="L205" i="33" s="1"/>
  <c r="L223" i="33"/>
  <c r="D167" i="33"/>
  <c r="D64" i="33"/>
  <c r="Q193" i="33" s="1"/>
  <c r="Q194" i="33" s="1"/>
  <c r="J217" i="33"/>
  <c r="D195" i="33"/>
  <c r="D148" i="33"/>
  <c r="G63" i="33"/>
  <c r="D198" i="33"/>
  <c r="D196" i="33"/>
  <c r="D141" i="33"/>
  <c r="D140" i="33"/>
  <c r="J218" i="33"/>
  <c r="L225" i="33"/>
  <c r="D200" i="33"/>
  <c r="J216" i="33"/>
  <c r="D66" i="33"/>
  <c r="D161" i="33"/>
  <c r="D212" i="33"/>
  <c r="L224" i="33"/>
  <c r="D138" i="33"/>
  <c r="D228" i="33"/>
  <c r="D63" i="33"/>
  <c r="W193" i="33" s="1"/>
  <c r="W194" i="33" s="1"/>
  <c r="D80" i="33"/>
  <c r="J206" i="33" s="1"/>
  <c r="L206" i="33" s="1"/>
  <c r="D137" i="33"/>
  <c r="D146" i="33"/>
  <c r="D197" i="33"/>
  <c r="D164" i="33"/>
  <c r="D65" i="33"/>
  <c r="J193" i="33" s="1"/>
  <c r="J194" i="33" s="1"/>
  <c r="D147" i="33"/>
  <c r="D139" i="33"/>
  <c r="D163" i="33"/>
  <c r="D229" i="33"/>
  <c r="D162" i="33"/>
  <c r="D213" i="33"/>
  <c r="D150" i="33"/>
  <c r="D149" i="33"/>
  <c r="D168" i="33"/>
  <c r="D215" i="33"/>
  <c r="D226" i="33"/>
  <c r="D96" i="33"/>
  <c r="D89" i="33"/>
  <c r="K262" i="33" s="1"/>
  <c r="D91" i="33"/>
  <c r="D93" i="33"/>
  <c r="D73" i="33"/>
  <c r="K255" i="33" s="1"/>
  <c r="L255" i="33" s="1"/>
  <c r="D95" i="33"/>
  <c r="D90" i="33"/>
  <c r="K254" i="33" s="1"/>
  <c r="L254" i="33" s="1"/>
  <c r="D92" i="33"/>
  <c r="D77" i="33"/>
  <c r="D76" i="33"/>
  <c r="D94" i="33"/>
  <c r="D72" i="33"/>
  <c r="D79" i="33"/>
  <c r="D78" i="33"/>
  <c r="D71" i="33"/>
  <c r="D205" i="33"/>
  <c r="D86" i="33"/>
  <c r="K259" i="33" s="1"/>
  <c r="L259" i="33" s="1"/>
  <c r="D204" i="33"/>
  <c r="D85" i="33"/>
  <c r="K258" i="33" s="1"/>
  <c r="L258" i="33" s="1"/>
  <c r="D75" i="33"/>
  <c r="D87" i="33"/>
  <c r="K260" i="33" s="1"/>
  <c r="L260" i="33" s="1"/>
  <c r="D74" i="33"/>
  <c r="D231" i="33"/>
  <c r="D222" i="33"/>
  <c r="D232" i="33"/>
  <c r="D233" i="33"/>
  <c r="D227" i="33"/>
  <c r="D97" i="33"/>
  <c r="D88" i="33"/>
  <c r="K261" i="33" s="1"/>
  <c r="L261" i="33" s="1"/>
  <c r="D208" i="33"/>
  <c r="C189" i="33"/>
  <c r="D189" i="33" s="1"/>
  <c r="AK189" i="33" s="1"/>
  <c r="AO189" i="33" s="1"/>
  <c r="F13" i="30"/>
  <c r="B93" i="30"/>
  <c r="D93" i="30" s="1"/>
  <c r="B92" i="30"/>
  <c r="D92" i="30" s="1"/>
  <c r="B91" i="30"/>
  <c r="D91" i="30" s="1"/>
  <c r="AO192" i="33" l="1"/>
  <c r="L209" i="33"/>
  <c r="J220" i="33"/>
  <c r="J221" i="33" s="1"/>
  <c r="P198" i="33"/>
  <c r="Q198" i="33" s="1"/>
  <c r="Q200" i="33" s="1"/>
  <c r="D202" i="33" s="1"/>
  <c r="P199" i="33"/>
  <c r="Q199" i="33" s="1"/>
  <c r="D263" i="33"/>
  <c r="V199" i="33"/>
  <c r="W199" i="33" s="1"/>
  <c r="V198" i="33"/>
  <c r="W198" i="33" s="1"/>
  <c r="O262" i="33"/>
  <c r="D271" i="33"/>
  <c r="D270" i="33"/>
  <c r="O260" i="33"/>
  <c r="D264" i="33"/>
  <c r="K256" i="33"/>
  <c r="L256" i="33" s="1"/>
  <c r="K257" i="33"/>
  <c r="L257" i="33" s="1"/>
  <c r="O258" i="33"/>
  <c r="DE72" i="33"/>
  <c r="DE84" i="33" s="1"/>
  <c r="DP69" i="33"/>
  <c r="DP80" i="33" s="1"/>
  <c r="EA66" i="33"/>
  <c r="EA77" i="33" s="1"/>
  <c r="DK73" i="33"/>
  <c r="DK85" i="33" s="1"/>
  <c r="DN70" i="33"/>
  <c r="DN81" i="33" s="1"/>
  <c r="DY67" i="33"/>
  <c r="DY78" i="33" s="1"/>
  <c r="DZ73" i="33"/>
  <c r="DZ85" i="33" s="1"/>
  <c r="DL71" i="33"/>
  <c r="DL82" i="33" s="1"/>
  <c r="DO68" i="33"/>
  <c r="DO79" i="33" s="1"/>
  <c r="DZ65" i="33"/>
  <c r="DZ76" i="33" s="1"/>
  <c r="EA71" i="33"/>
  <c r="EA82" i="33" s="1"/>
  <c r="DE69" i="33"/>
  <c r="DE80" i="33" s="1"/>
  <c r="DP66" i="33"/>
  <c r="DP77" i="33" s="1"/>
  <c r="DQ72" i="33"/>
  <c r="DQ84" i="33" s="1"/>
  <c r="EB69" i="33"/>
  <c r="EB80" i="33" s="1"/>
  <c r="DF67" i="33"/>
  <c r="DF78" i="33" s="1"/>
  <c r="DG73" i="33"/>
  <c r="DG85" i="33" s="1"/>
  <c r="DR70" i="33"/>
  <c r="DR81" i="33" s="1"/>
  <c r="DU67" i="33"/>
  <c r="DU78" i="33" s="1"/>
  <c r="DV73" i="33"/>
  <c r="DV85" i="33" s="1"/>
  <c r="DH71" i="33"/>
  <c r="DH82" i="33" s="1"/>
  <c r="DS68" i="33"/>
  <c r="DS79" i="33" s="1"/>
  <c r="DV65" i="33"/>
  <c r="DV76" i="33" s="1"/>
  <c r="DV64" i="33"/>
  <c r="DV75" i="33" s="1"/>
  <c r="CH72" i="33"/>
  <c r="CH84" i="33" s="1"/>
  <c r="CK69" i="33"/>
  <c r="CK80" i="33" s="1"/>
  <c r="CV66" i="33"/>
  <c r="CV77" i="33" s="1"/>
  <c r="CH64" i="33"/>
  <c r="CH75" i="33" s="1"/>
  <c r="BI71" i="33"/>
  <c r="BI82" i="33" s="1"/>
  <c r="BQ68" i="33"/>
  <c r="BA66" i="33"/>
  <c r="DO71" i="33"/>
  <c r="DO82" i="33" s="1"/>
  <c r="CN73" i="33"/>
  <c r="CN85" i="33" s="1"/>
  <c r="CY70" i="33"/>
  <c r="CY81" i="33" s="1"/>
  <c r="CC68" i="33"/>
  <c r="CC79" i="33" s="1"/>
  <c r="CN65" i="33"/>
  <c r="CN76" i="33" s="1"/>
  <c r="BP72" i="33"/>
  <c r="BP84" i="33" s="1"/>
  <c r="AZ70" i="33"/>
  <c r="AZ81" i="33" s="1"/>
  <c r="BH67" i="33"/>
  <c r="BP64" i="33"/>
  <c r="EB64" i="33"/>
  <c r="EB75" i="33" s="1"/>
  <c r="CF72" i="33"/>
  <c r="CF84" i="33" s="1"/>
  <c r="CQ69" i="33"/>
  <c r="CQ80" i="33" s="1"/>
  <c r="CT66" i="33"/>
  <c r="CT77" i="33" s="1"/>
  <c r="CF64" i="33"/>
  <c r="CF75" i="33" s="1"/>
  <c r="BG71" i="33"/>
  <c r="BG82" i="33" s="1"/>
  <c r="BO68" i="33"/>
  <c r="AY66" i="33"/>
  <c r="EA64" i="33"/>
  <c r="EA75" i="33" s="1"/>
  <c r="CE72" i="33"/>
  <c r="CE84" i="33" s="1"/>
  <c r="CP69" i="33"/>
  <c r="CP80" i="33" s="1"/>
  <c r="CS66" i="33"/>
  <c r="CS77" i="33" s="1"/>
  <c r="CE64" i="33"/>
  <c r="CE75" i="33" s="1"/>
  <c r="BF71" i="33"/>
  <c r="BF82" i="33" s="1"/>
  <c r="BN68" i="33"/>
  <c r="AX66" i="33"/>
  <c r="DX70" i="33"/>
  <c r="DX81" i="33" s="1"/>
  <c r="CK73" i="33"/>
  <c r="CK85" i="33" s="1"/>
  <c r="CV70" i="33"/>
  <c r="CV81" i="33" s="1"/>
  <c r="CH68" i="33"/>
  <c r="CH79" i="33" s="1"/>
  <c r="CK65" i="33"/>
  <c r="CK76" i="33" s="1"/>
  <c r="BM72" i="33"/>
  <c r="BM84" i="33" s="1"/>
  <c r="AW70" i="33"/>
  <c r="AW81" i="33" s="1"/>
  <c r="BE67" i="33"/>
  <c r="BM64" i="33"/>
  <c r="BM75" i="33" s="1"/>
  <c r="DY64" i="33"/>
  <c r="DY75" i="33" s="1"/>
  <c r="CC72" i="33"/>
  <c r="CC84" i="33" s="1"/>
  <c r="CN69" i="33"/>
  <c r="CN80" i="33" s="1"/>
  <c r="CY66" i="33"/>
  <c r="CY77" i="33" s="1"/>
  <c r="CC64" i="33"/>
  <c r="CC75" i="33" s="1"/>
  <c r="BD71" i="33"/>
  <c r="BD82" i="33" s="1"/>
  <c r="BL68" i="33"/>
  <c r="AV66" i="33"/>
  <c r="DG65" i="33"/>
  <c r="DG76" i="33" s="1"/>
  <c r="CP65" i="33"/>
  <c r="CP76" i="33" s="1"/>
  <c r="BR64" i="33"/>
  <c r="CO66" i="33"/>
  <c r="CO77" i="33" s="1"/>
  <c r="BC67" i="33"/>
  <c r="CN68" i="33"/>
  <c r="CN79" i="33" s="1"/>
  <c r="BJ68" i="33"/>
  <c r="DX64" i="33"/>
  <c r="DX75" i="33" s="1"/>
  <c r="BC72" i="33"/>
  <c r="BC84" i="33" s="1"/>
  <c r="CD70" i="33"/>
  <c r="CD81" i="33" s="1"/>
  <c r="CF67" i="33"/>
  <c r="CF78" i="33" s="1"/>
  <c r="DV71" i="33"/>
  <c r="DV82" i="33" s="1"/>
  <c r="DH69" i="33"/>
  <c r="DH80" i="33" s="1"/>
  <c r="DS66" i="33"/>
  <c r="DS77" i="33" s="1"/>
  <c r="EB72" i="33"/>
  <c r="EB84" i="33" s="1"/>
  <c r="DF70" i="33"/>
  <c r="DF81" i="33" s="1"/>
  <c r="DQ67" i="33"/>
  <c r="DQ78" i="33" s="1"/>
  <c r="DR73" i="33"/>
  <c r="DR85" i="33" s="1"/>
  <c r="DU70" i="33"/>
  <c r="DU81" i="33" s="1"/>
  <c r="DG68" i="33"/>
  <c r="DG79" i="33" s="1"/>
  <c r="DR65" i="33"/>
  <c r="DR76" i="33" s="1"/>
  <c r="DS71" i="33"/>
  <c r="DS82" i="33" s="1"/>
  <c r="DV68" i="33"/>
  <c r="DV79" i="33" s="1"/>
  <c r="DH66" i="33"/>
  <c r="DH77" i="33" s="1"/>
  <c r="DI72" i="33"/>
  <c r="DI84" i="33" s="1"/>
  <c r="DT69" i="33"/>
  <c r="DT80" i="33" s="1"/>
  <c r="DW66" i="33"/>
  <c r="DW77" i="33" s="1"/>
  <c r="DX72" i="33"/>
  <c r="DX84" i="33" s="1"/>
  <c r="DJ70" i="33"/>
  <c r="DJ81" i="33" s="1"/>
  <c r="DM67" i="33"/>
  <c r="DM78" i="33" s="1"/>
  <c r="DN73" i="33"/>
  <c r="DN85" i="33" s="1"/>
  <c r="DY70" i="33"/>
  <c r="DY81" i="33" s="1"/>
  <c r="DK68" i="33"/>
  <c r="DK79" i="33" s="1"/>
  <c r="DN65" i="33"/>
  <c r="DN76" i="33" s="1"/>
  <c r="DN64" i="33"/>
  <c r="DN75" i="33" s="1"/>
  <c r="CY71" i="33"/>
  <c r="CY82" i="33" s="1"/>
  <c r="CC69" i="33"/>
  <c r="CC80" i="33" s="1"/>
  <c r="CN66" i="33"/>
  <c r="CN77" i="33" s="1"/>
  <c r="BQ73" i="33"/>
  <c r="BQ85" i="33" s="1"/>
  <c r="BA71" i="33"/>
  <c r="BA82" i="33" s="1"/>
  <c r="BI68" i="33"/>
  <c r="BQ65" i="33"/>
  <c r="DQ69" i="33"/>
  <c r="DQ80" i="33" s="1"/>
  <c r="CF73" i="33"/>
  <c r="CF85" i="33" s="1"/>
  <c r="CQ70" i="33"/>
  <c r="CQ81" i="33" s="1"/>
  <c r="CT67" i="33"/>
  <c r="CT78" i="33" s="1"/>
  <c r="CF65" i="33"/>
  <c r="CF76" i="33" s="1"/>
  <c r="BH72" i="33"/>
  <c r="BH84" i="33" s="1"/>
  <c r="BP69" i="33"/>
  <c r="BP80" i="33" s="1"/>
  <c r="AZ67" i="33"/>
  <c r="BH64" i="33"/>
  <c r="BH75" i="33" s="1"/>
  <c r="DT64" i="33"/>
  <c r="DT75" i="33" s="1"/>
  <c r="CW71" i="33"/>
  <c r="CW82" i="33" s="1"/>
  <c r="CI69" i="33"/>
  <c r="CI80" i="33" s="1"/>
  <c r="CL66" i="33"/>
  <c r="CL77" i="33" s="1"/>
  <c r="BO73" i="33"/>
  <c r="BO85" i="33" s="1"/>
  <c r="AY71" i="33"/>
  <c r="AY82" i="33" s="1"/>
  <c r="BG68" i="33"/>
  <c r="BO65" i="33"/>
  <c r="BO76" i="33" s="1"/>
  <c r="DS64" i="33"/>
  <c r="DS75" i="33" s="1"/>
  <c r="CV71" i="33"/>
  <c r="CV82" i="33" s="1"/>
  <c r="CH69" i="33"/>
  <c r="CH80" i="33" s="1"/>
  <c r="CK66" i="33"/>
  <c r="CK77" i="33" s="1"/>
  <c r="BN73" i="33"/>
  <c r="BN85" i="33" s="1"/>
  <c r="AX71" i="33"/>
  <c r="AX82" i="33" s="1"/>
  <c r="BF68" i="33"/>
  <c r="BN65" i="33"/>
  <c r="BN76" i="33" s="1"/>
  <c r="DZ68" i="33"/>
  <c r="DZ79" i="33" s="1"/>
  <c r="CC73" i="33"/>
  <c r="CC85" i="33" s="1"/>
  <c r="CN70" i="33"/>
  <c r="CN81" i="33" s="1"/>
  <c r="CY67" i="33"/>
  <c r="CY78" i="33" s="1"/>
  <c r="CC65" i="33"/>
  <c r="CC76" i="33" s="1"/>
  <c r="BE72" i="33"/>
  <c r="BE84" i="33" s="1"/>
  <c r="BM69" i="33"/>
  <c r="BM80" i="33" s="1"/>
  <c r="AW67" i="33"/>
  <c r="BE64" i="33"/>
  <c r="BE75" i="33" s="1"/>
  <c r="DQ64" i="33"/>
  <c r="DQ75" i="33" s="1"/>
  <c r="CT71" i="33"/>
  <c r="CT82" i="33" s="1"/>
  <c r="CF69" i="33"/>
  <c r="CF80" i="33" s="1"/>
  <c r="CQ66" i="33"/>
  <c r="CQ77" i="33" s="1"/>
  <c r="BL73" i="33"/>
  <c r="BL85" i="33" s="1"/>
  <c r="AV71" i="33"/>
  <c r="AV82" i="33" s="1"/>
  <c r="BD68" i="33"/>
  <c r="BL65" i="33"/>
  <c r="BL76" i="33" s="1"/>
  <c r="DG64" i="33"/>
  <c r="DG75" i="33" s="1"/>
  <c r="CI64" i="33"/>
  <c r="CI75" i="33" s="1"/>
  <c r="BB73" i="33"/>
  <c r="BB85" i="33" s="1"/>
  <c r="CI65" i="33"/>
  <c r="CI76" i="33" s="1"/>
  <c r="BS65" i="33"/>
  <c r="CN67" i="33"/>
  <c r="CN78" i="33" s="1"/>
  <c r="BB67" i="33"/>
  <c r="CS71" i="33"/>
  <c r="CS82" i="33" s="1"/>
  <c r="BS70" i="33"/>
  <c r="BS81" i="33" s="1"/>
  <c r="BB65" i="33"/>
  <c r="BB76" i="33" s="1"/>
  <c r="CY64" i="33"/>
  <c r="CY75" i="33" s="1"/>
  <c r="DN71" i="33"/>
  <c r="DN82" i="33" s="1"/>
  <c r="DY68" i="33"/>
  <c r="DY79" i="33" s="1"/>
  <c r="DK66" i="33"/>
  <c r="DK77" i="33" s="1"/>
  <c r="DT72" i="33"/>
  <c r="DT84" i="33" s="1"/>
  <c r="DW69" i="33"/>
  <c r="DW80" i="33" s="1"/>
  <c r="DI67" i="33"/>
  <c r="DI78" i="33" s="1"/>
  <c r="DJ73" i="33"/>
  <c r="DJ85" i="33" s="1"/>
  <c r="DM70" i="33"/>
  <c r="DM81" i="33" s="1"/>
  <c r="DX67" i="33"/>
  <c r="DX78" i="33" s="1"/>
  <c r="DY73" i="33"/>
  <c r="DY85" i="33" s="1"/>
  <c r="DK71" i="33"/>
  <c r="DK82" i="33" s="1"/>
  <c r="DN68" i="33"/>
  <c r="DN79" i="33" s="1"/>
  <c r="DY65" i="33"/>
  <c r="DY76" i="33" s="1"/>
  <c r="DZ71" i="33"/>
  <c r="DZ82" i="33" s="1"/>
  <c r="DL69" i="33"/>
  <c r="DL80" i="33" s="1"/>
  <c r="DO66" i="33"/>
  <c r="DO77" i="33" s="1"/>
  <c r="DP72" i="33"/>
  <c r="DP84" i="33" s="1"/>
  <c r="EA69" i="33"/>
  <c r="EA80" i="33" s="1"/>
  <c r="DE67" i="33"/>
  <c r="DE78" i="33" s="1"/>
  <c r="DF73" i="33"/>
  <c r="DF85" i="33" s="1"/>
  <c r="DQ70" i="33"/>
  <c r="DQ81" i="33" s="1"/>
  <c r="EB67" i="33"/>
  <c r="EB78" i="33" s="1"/>
  <c r="DU73" i="33"/>
  <c r="DU85" i="33" s="1"/>
  <c r="DF64" i="33"/>
  <c r="DF75" i="33" s="1"/>
  <c r="CQ71" i="33"/>
  <c r="CQ82" i="33" s="1"/>
  <c r="CT68" i="33"/>
  <c r="CT79" i="33" s="1"/>
  <c r="CF66" i="33"/>
  <c r="CF77" i="33" s="1"/>
  <c r="BI73" i="33"/>
  <c r="BI85" i="33" s="1"/>
  <c r="BQ70" i="33"/>
  <c r="BQ81" i="33" s="1"/>
  <c r="BA68" i="33"/>
  <c r="BI65" i="33"/>
  <c r="BI76" i="33" s="1"/>
  <c r="DS67" i="33"/>
  <c r="DS78" i="33" s="1"/>
  <c r="CW72" i="33"/>
  <c r="CW84" i="33" s="1"/>
  <c r="CI70" i="33"/>
  <c r="CI81" i="33" s="1"/>
  <c r="CL67" i="33"/>
  <c r="CL78" i="33" s="1"/>
  <c r="CW64" i="33"/>
  <c r="CW75" i="33" s="1"/>
  <c r="AZ72" i="33"/>
  <c r="AZ84" i="33" s="1"/>
  <c r="BH69" i="33"/>
  <c r="BH80" i="33" s="1"/>
  <c r="BP66" i="33"/>
  <c r="AZ64" i="33"/>
  <c r="AZ75" i="33" s="1"/>
  <c r="DL64" i="33"/>
  <c r="DL75" i="33" s="1"/>
  <c r="CO71" i="33"/>
  <c r="CO82" i="33" s="1"/>
  <c r="CR68" i="33"/>
  <c r="CR79" i="33" s="1"/>
  <c r="CD66" i="33"/>
  <c r="CD77" i="33" s="1"/>
  <c r="BG73" i="33"/>
  <c r="BG85" i="33" s="1"/>
  <c r="BO70" i="33"/>
  <c r="BO81" i="33" s="1"/>
  <c r="AY68" i="33"/>
  <c r="BG65" i="33"/>
  <c r="BG76" i="33" s="1"/>
  <c r="DK64" i="33"/>
  <c r="DK75" i="33" s="1"/>
  <c r="CN71" i="33"/>
  <c r="CN82" i="33" s="1"/>
  <c r="CY68" i="33"/>
  <c r="CY79" i="33" s="1"/>
  <c r="CC66" i="33"/>
  <c r="CC77" i="33" s="1"/>
  <c r="BF73" i="33"/>
  <c r="BF85" i="33" s="1"/>
  <c r="BN70" i="33"/>
  <c r="BN81" i="33" s="1"/>
  <c r="AX68" i="33"/>
  <c r="BF65" i="33"/>
  <c r="BF76" i="33" s="1"/>
  <c r="EB66" i="33"/>
  <c r="EB77" i="33" s="1"/>
  <c r="CT72" i="33"/>
  <c r="CT84" i="33" s="1"/>
  <c r="CF70" i="33"/>
  <c r="CF81" i="33" s="1"/>
  <c r="CQ67" i="33"/>
  <c r="CQ78" i="33" s="1"/>
  <c r="CT64" i="33"/>
  <c r="CT75" i="33" s="1"/>
  <c r="AW72" i="33"/>
  <c r="AW84" i="33" s="1"/>
  <c r="BE69" i="33"/>
  <c r="BE80" i="33" s="1"/>
  <c r="BM66" i="33"/>
  <c r="AW64" i="33"/>
  <c r="DI64" i="33"/>
  <c r="DI75" i="33" s="1"/>
  <c r="CL71" i="33"/>
  <c r="CL82" i="33" s="1"/>
  <c r="CW68" i="33"/>
  <c r="CW79" i="33" s="1"/>
  <c r="CI66" i="33"/>
  <c r="CI77" i="33" s="1"/>
  <c r="BD73" i="33"/>
  <c r="BD85" i="33" s="1"/>
  <c r="BL70" i="33"/>
  <c r="BL81" i="33" s="1"/>
  <c r="AV68" i="33"/>
  <c r="BD65" i="33"/>
  <c r="BD76" i="33" s="1"/>
  <c r="CP73" i="33"/>
  <c r="CP85" i="33" s="1"/>
  <c r="BR72" i="33"/>
  <c r="BR84" i="33" s="1"/>
  <c r="DF65" i="33"/>
  <c r="DF76" i="33" s="1"/>
  <c r="CB64" i="33"/>
  <c r="CB75" i="33" s="1"/>
  <c r="BK64" i="33"/>
  <c r="BK75" i="33" s="1"/>
  <c r="CH66" i="33"/>
  <c r="CH77" i="33" s="1"/>
  <c r="BR65" i="33"/>
  <c r="CS70" i="33"/>
  <c r="CS81" i="33" s="1"/>
  <c r="BK69" i="33"/>
  <c r="BK80" i="33" s="1"/>
  <c r="DW64" i="33"/>
  <c r="DW75" i="33" s="1"/>
  <c r="BJ73" i="33"/>
  <c r="BJ85" i="33" s="1"/>
  <c r="DL73" i="33"/>
  <c r="DL85" i="33" s="1"/>
  <c r="DO70" i="33"/>
  <c r="DO81" i="33" s="1"/>
  <c r="DZ67" i="33"/>
  <c r="DZ78" i="33" s="1"/>
  <c r="DL65" i="33"/>
  <c r="DL76" i="33" s="1"/>
  <c r="DM71" i="33"/>
  <c r="DM82" i="33" s="1"/>
  <c r="DX68" i="33"/>
  <c r="DX79" i="33" s="1"/>
  <c r="DJ66" i="33"/>
  <c r="DJ77" i="33" s="1"/>
  <c r="DK72" i="33"/>
  <c r="DK84" i="33" s="1"/>
  <c r="DN69" i="33"/>
  <c r="DN80" i="33" s="1"/>
  <c r="DY66" i="33"/>
  <c r="DY77" i="33" s="1"/>
  <c r="DZ72" i="33"/>
  <c r="DZ84" i="33" s="1"/>
  <c r="DL70" i="33"/>
  <c r="DL81" i="33" s="1"/>
  <c r="DO67" i="33"/>
  <c r="DO78" i="33" s="1"/>
  <c r="DP73" i="33"/>
  <c r="DP85" i="33" s="1"/>
  <c r="EA70" i="33"/>
  <c r="EA81" i="33" s="1"/>
  <c r="DE68" i="33"/>
  <c r="DE79" i="33" s="1"/>
  <c r="DP65" i="33"/>
  <c r="DP76" i="33" s="1"/>
  <c r="DQ71" i="33"/>
  <c r="DQ82" i="33" s="1"/>
  <c r="EB68" i="33"/>
  <c r="EB79" i="33" s="1"/>
  <c r="DF66" i="33"/>
  <c r="DF77" i="33" s="1"/>
  <c r="DG72" i="33"/>
  <c r="DG84" i="33" s="1"/>
  <c r="DR69" i="33"/>
  <c r="DR80" i="33" s="1"/>
  <c r="DU66" i="33"/>
  <c r="DU77" i="33" s="1"/>
  <c r="EA67" i="33"/>
  <c r="EA78" i="33" s="1"/>
  <c r="CG73" i="33"/>
  <c r="CG85" i="33" s="1"/>
  <c r="CJ70" i="33"/>
  <c r="CJ81" i="33" s="1"/>
  <c r="CU67" i="33"/>
  <c r="CU78" i="33" s="1"/>
  <c r="CG65" i="33"/>
  <c r="CG76" i="33" s="1"/>
  <c r="BI72" i="33"/>
  <c r="BI84" i="33" s="1"/>
  <c r="BQ69" i="33"/>
  <c r="BQ80" i="33" s="1"/>
  <c r="BA67" i="33"/>
  <c r="BI64" i="33"/>
  <c r="BI75" i="33" s="1"/>
  <c r="DM64" i="33"/>
  <c r="DM75" i="33" s="1"/>
  <c r="CX71" i="33"/>
  <c r="CX82" i="33" s="1"/>
  <c r="CB69" i="33"/>
  <c r="CB80" i="33" s="1"/>
  <c r="CM66" i="33"/>
  <c r="CM77" i="33" s="1"/>
  <c r="BP73" i="33"/>
  <c r="BP85" i="33" s="1"/>
  <c r="AZ71" i="33"/>
  <c r="AZ82" i="33" s="1"/>
  <c r="BH68" i="33"/>
  <c r="BP65" i="33"/>
  <c r="DI69" i="33"/>
  <c r="DI80" i="33" s="1"/>
  <c r="CE73" i="33"/>
  <c r="CE85" i="33" s="1"/>
  <c r="CP70" i="33"/>
  <c r="CP81" i="33" s="1"/>
  <c r="CS67" i="33"/>
  <c r="CS78" i="33" s="1"/>
  <c r="CE65" i="33"/>
  <c r="CE76" i="33" s="1"/>
  <c r="BG72" i="33"/>
  <c r="BG84" i="33" s="1"/>
  <c r="BO69" i="33"/>
  <c r="BO80" i="33" s="1"/>
  <c r="AY67" i="33"/>
  <c r="BG64" i="33"/>
  <c r="BG75" i="33" s="1"/>
  <c r="CD73" i="33"/>
  <c r="CD85" i="33" s="1"/>
  <c r="CO70" i="33"/>
  <c r="CO81" i="33" s="1"/>
  <c r="CR67" i="33"/>
  <c r="CR78" i="33" s="1"/>
  <c r="CD65" i="33"/>
  <c r="CD76" i="33" s="1"/>
  <c r="BF72" i="33"/>
  <c r="BF84" i="33" s="1"/>
  <c r="BN69" i="33"/>
  <c r="BN80" i="33" s="1"/>
  <c r="AX67" i="33"/>
  <c r="BF64" i="33"/>
  <c r="BF75" i="33" s="1"/>
  <c r="DR64" i="33"/>
  <c r="DR75" i="33" s="1"/>
  <c r="CU71" i="33"/>
  <c r="CU82" i="33" s="1"/>
  <c r="CG69" i="33"/>
  <c r="CG80" i="33" s="1"/>
  <c r="CJ66" i="33"/>
  <c r="CJ77" i="33" s="1"/>
  <c r="BM73" i="33"/>
  <c r="BM85" i="33" s="1"/>
  <c r="AW71" i="33"/>
  <c r="AW82" i="33" s="1"/>
  <c r="BE68" i="33"/>
  <c r="BM65" i="33"/>
  <c r="BM76" i="33" s="1"/>
  <c r="DR68" i="33"/>
  <c r="DR79" i="33" s="1"/>
  <c r="CB73" i="33"/>
  <c r="CB85" i="33" s="1"/>
  <c r="CM70" i="33"/>
  <c r="CM81" i="33" s="1"/>
  <c r="CX67" i="33"/>
  <c r="CX78" i="33" s="1"/>
  <c r="CB65" i="33"/>
  <c r="CB76" i="33" s="1"/>
  <c r="BD72" i="33"/>
  <c r="BD84" i="33" s="1"/>
  <c r="BL69" i="33"/>
  <c r="BL80" i="33" s="1"/>
  <c r="AV67" i="33"/>
  <c r="BD64" i="33"/>
  <c r="BD75" i="33" s="1"/>
  <c r="CV68" i="33"/>
  <c r="CV79" i="33" s="1"/>
  <c r="BR68" i="33"/>
  <c r="CU69" i="33"/>
  <c r="CU80" i="33" s="1"/>
  <c r="BC71" i="33"/>
  <c r="BC82" i="33" s="1"/>
  <c r="CH73" i="33"/>
  <c r="CH85" i="33" s="1"/>
  <c r="BJ72" i="33"/>
  <c r="BJ84" i="33" s="1"/>
  <c r="CX65" i="33"/>
  <c r="CX76" i="33" s="1"/>
  <c r="CG67" i="33"/>
  <c r="CG78" i="33" s="1"/>
  <c r="BK65" i="33"/>
  <c r="BK76" i="33" s="1"/>
  <c r="CL70" i="33"/>
  <c r="CL81" i="33" s="1"/>
  <c r="BJ69" i="33"/>
  <c r="BJ80" i="33" s="1"/>
  <c r="DU72" i="33"/>
  <c r="DU84" i="33" s="1"/>
  <c r="DG70" i="33"/>
  <c r="DG81" i="33" s="1"/>
  <c r="DR67" i="33"/>
  <c r="DR78" i="33" s="1"/>
  <c r="EA73" i="33"/>
  <c r="EA85" i="33" s="1"/>
  <c r="DE71" i="33"/>
  <c r="DE82" i="33" s="1"/>
  <c r="DP68" i="33"/>
  <c r="DP79" i="33" s="1"/>
  <c r="EA65" i="33"/>
  <c r="EA76" i="33" s="1"/>
  <c r="EB71" i="33"/>
  <c r="EB82" i="33" s="1"/>
  <c r="DF69" i="33"/>
  <c r="DF80" i="33" s="1"/>
  <c r="DQ66" i="33"/>
  <c r="DQ77" i="33" s="1"/>
  <c r="DR72" i="33"/>
  <c r="DR84" i="33" s="1"/>
  <c r="DU69" i="33"/>
  <c r="DU80" i="33" s="1"/>
  <c r="DG67" i="33"/>
  <c r="DG78" i="33" s="1"/>
  <c r="DH73" i="33"/>
  <c r="DH85" i="33" s="1"/>
  <c r="DS70" i="33"/>
  <c r="DS81" i="33" s="1"/>
  <c r="DV67" i="33"/>
  <c r="DV78" i="33" s="1"/>
  <c r="DW73" i="33"/>
  <c r="DW85" i="33" s="1"/>
  <c r="DI71" i="33"/>
  <c r="DI82" i="33" s="1"/>
  <c r="DT68" i="33"/>
  <c r="DT79" i="33" s="1"/>
  <c r="DW65" i="33"/>
  <c r="DW76" i="33" s="1"/>
  <c r="DX71" i="33"/>
  <c r="DX82" i="33" s="1"/>
  <c r="DJ69" i="33"/>
  <c r="DJ80" i="33" s="1"/>
  <c r="DM66" i="33"/>
  <c r="DM77" i="33" s="1"/>
  <c r="DU65" i="33"/>
  <c r="DU76" i="33" s="1"/>
  <c r="CX72" i="33"/>
  <c r="CX84" i="33" s="1"/>
  <c r="CB70" i="33"/>
  <c r="CB81" i="33" s="1"/>
  <c r="CM67" i="33"/>
  <c r="CM78" i="33" s="1"/>
  <c r="CX64" i="33"/>
  <c r="CX75" i="33" s="1"/>
  <c r="BA72" i="33"/>
  <c r="BA84" i="33" s="1"/>
  <c r="BI69" i="33"/>
  <c r="BI80" i="33" s="1"/>
  <c r="BQ66" i="33"/>
  <c r="BA64" i="33"/>
  <c r="BA75" i="33" s="1"/>
  <c r="DE64" i="33"/>
  <c r="DE75" i="33" s="1"/>
  <c r="CP71" i="33"/>
  <c r="CP82" i="33" s="1"/>
  <c r="CS68" i="33"/>
  <c r="CS79" i="33" s="1"/>
  <c r="CE66" i="33"/>
  <c r="CE77" i="33" s="1"/>
  <c r="BH73" i="33"/>
  <c r="BH85" i="33" s="1"/>
  <c r="BP70" i="33"/>
  <c r="BP81" i="33" s="1"/>
  <c r="AZ68" i="33"/>
  <c r="BH65" i="33"/>
  <c r="BH76" i="33" s="1"/>
  <c r="DK67" i="33"/>
  <c r="DK78" i="33" s="1"/>
  <c r="CV72" i="33"/>
  <c r="CV84" i="33" s="1"/>
  <c r="CH70" i="33"/>
  <c r="CH81" i="33" s="1"/>
  <c r="CK67" i="33"/>
  <c r="CK78" i="33" s="1"/>
  <c r="CV64" i="33"/>
  <c r="CV75" i="33" s="1"/>
  <c r="AY72" i="33"/>
  <c r="AY84" i="33" s="1"/>
  <c r="BG69" i="33"/>
  <c r="BG80" i="33" s="1"/>
  <c r="BO66" i="33"/>
  <c r="AY64" i="33"/>
  <c r="CU72" i="33"/>
  <c r="CU84" i="33" s="1"/>
  <c r="CG70" i="33"/>
  <c r="CG81" i="33" s="1"/>
  <c r="CJ67" i="33"/>
  <c r="CJ78" i="33" s="1"/>
  <c r="CU64" i="33"/>
  <c r="CU75" i="33" s="1"/>
  <c r="AX72" i="33"/>
  <c r="AX84" i="33" s="1"/>
  <c r="BF69" i="33"/>
  <c r="BF80" i="33" s="1"/>
  <c r="BN66" i="33"/>
  <c r="AX64" i="33"/>
  <c r="DJ64" i="33"/>
  <c r="DJ75" i="33" s="1"/>
  <c r="CM71" i="33"/>
  <c r="CM82" i="33" s="1"/>
  <c r="CX68" i="33"/>
  <c r="CX79" i="33" s="1"/>
  <c r="CB66" i="33"/>
  <c r="CB77" i="33" s="1"/>
  <c r="BE73" i="33"/>
  <c r="BE85" i="33" s="1"/>
  <c r="BM70" i="33"/>
  <c r="BM81" i="33" s="1"/>
  <c r="AW68" i="33"/>
  <c r="BE65" i="33"/>
  <c r="BE76" i="33" s="1"/>
  <c r="DT66" i="33"/>
  <c r="DT77" i="33" s="1"/>
  <c r="CS72" i="33"/>
  <c r="CS84" i="33" s="1"/>
  <c r="CE70" i="33"/>
  <c r="CE81" i="33" s="1"/>
  <c r="CP67" i="33"/>
  <c r="CP78" i="33" s="1"/>
  <c r="CS64" i="33"/>
  <c r="CS75" i="33" s="1"/>
  <c r="AV72" i="33"/>
  <c r="AV84" i="33" s="1"/>
  <c r="BD69" i="33"/>
  <c r="BD80" i="33" s="1"/>
  <c r="BL66" i="33"/>
  <c r="AV64" i="33"/>
  <c r="CV67" i="33"/>
  <c r="CV78" i="33" s="1"/>
  <c r="BJ67" i="33"/>
  <c r="CU68" i="33"/>
  <c r="CU79" i="33" s="1"/>
  <c r="BS69" i="33"/>
  <c r="BS80" i="33" s="1"/>
  <c r="CT70" i="33"/>
  <c r="CT81" i="33" s="1"/>
  <c r="BB71" i="33"/>
  <c r="BB82" i="33" s="1"/>
  <c r="BJ70" i="33"/>
  <c r="BJ81" i="33" s="1"/>
  <c r="CG66" i="33"/>
  <c r="CG77" i="33" s="1"/>
  <c r="BC64" i="33"/>
  <c r="BC75" i="33" s="1"/>
  <c r="EB73" i="33"/>
  <c r="EB85" i="33" s="1"/>
  <c r="DJ67" i="33"/>
  <c r="DJ78" i="33" s="1"/>
  <c r="DG69" i="33"/>
  <c r="DG80" i="33" s="1"/>
  <c r="DE70" i="33"/>
  <c r="DE81" i="33" s="1"/>
  <c r="DJ72" i="33"/>
  <c r="DJ84" i="33" s="1"/>
  <c r="DX73" i="33"/>
  <c r="DX85" i="33" s="1"/>
  <c r="DG66" i="33"/>
  <c r="DG77" i="33" s="1"/>
  <c r="DL68" i="33"/>
  <c r="DL79" i="33" s="1"/>
  <c r="DZ69" i="33"/>
  <c r="DZ80" i="33" s="1"/>
  <c r="CW73" i="33"/>
  <c r="CW85" i="33" s="1"/>
  <c r="CE67" i="33"/>
  <c r="CE78" i="33" s="1"/>
  <c r="BA70" i="33"/>
  <c r="BA81" i="33" s="1"/>
  <c r="DM65" i="33"/>
  <c r="DM76" i="33" s="1"/>
  <c r="CK68" i="33"/>
  <c r="CK79" i="33" s="1"/>
  <c r="BH71" i="33"/>
  <c r="BH82" i="33" s="1"/>
  <c r="DE73" i="33"/>
  <c r="DE85" i="33" s="1"/>
  <c r="CY69" i="33"/>
  <c r="CY80" i="33" s="1"/>
  <c r="BO72" i="33"/>
  <c r="BO84" i="33" s="1"/>
  <c r="AY65" i="33"/>
  <c r="CX69" i="33"/>
  <c r="CX80" i="33" s="1"/>
  <c r="BN72" i="33"/>
  <c r="BN84" i="33" s="1"/>
  <c r="AX65" i="33"/>
  <c r="CE71" i="33"/>
  <c r="CE82" i="33" s="1"/>
  <c r="CD64" i="33"/>
  <c r="CD75" i="33" s="1"/>
  <c r="BE66" i="33"/>
  <c r="CK72" i="33"/>
  <c r="CK84" i="33" s="1"/>
  <c r="CJ65" i="33"/>
  <c r="CJ76" i="33" s="1"/>
  <c r="BL67" i="33"/>
  <c r="CP66" i="33"/>
  <c r="CP77" i="33" s="1"/>
  <c r="BK72" i="33"/>
  <c r="BK84" i="33" s="1"/>
  <c r="BJ64" i="33"/>
  <c r="BJ75" i="33" s="1"/>
  <c r="CX73" i="33"/>
  <c r="CX85" i="33" s="1"/>
  <c r="BR66" i="33"/>
  <c r="CK71" i="33"/>
  <c r="CK82" i="33" s="1"/>
  <c r="BK70" i="33"/>
  <c r="BK81" i="33" s="1"/>
  <c r="BR67" i="33"/>
  <c r="CQ65" i="33"/>
  <c r="CQ76" i="33" s="1"/>
  <c r="BS64" i="33"/>
  <c r="DL72" i="33"/>
  <c r="DL84" i="33" s="1"/>
  <c r="DF68" i="33"/>
  <c r="DF79" i="33" s="1"/>
  <c r="DY71" i="33"/>
  <c r="DY82" i="33" s="1"/>
  <c r="DE66" i="33"/>
  <c r="DE77" i="33" s="1"/>
  <c r="BA73" i="33"/>
  <c r="BA85" i="33" s="1"/>
  <c r="CO64" i="33"/>
  <c r="CO75" i="33" s="1"/>
  <c r="CM73" i="33"/>
  <c r="CM85" i="33" s="1"/>
  <c r="CI67" i="33"/>
  <c r="CI78" i="33" s="1"/>
  <c r="BL71" i="33"/>
  <c r="BL82" i="33" s="1"/>
  <c r="CM68" i="33"/>
  <c r="CM79" i="33" s="1"/>
  <c r="BC65" i="33"/>
  <c r="BC76" i="33" s="1"/>
  <c r="DU71" i="33"/>
  <c r="DU82" i="33" s="1"/>
  <c r="DZ70" i="33"/>
  <c r="DZ81" i="33" s="1"/>
  <c r="DT73" i="33"/>
  <c r="DT85" i="33" s="1"/>
  <c r="EB65" i="33"/>
  <c r="EB76" i="33" s="1"/>
  <c r="DH68" i="33"/>
  <c r="DH79" i="33" s="1"/>
  <c r="DV69" i="33"/>
  <c r="DV80" i="33" s="1"/>
  <c r="EB70" i="33"/>
  <c r="EB81" i="33" s="1"/>
  <c r="DY72" i="33"/>
  <c r="DY84" i="33" s="1"/>
  <c r="DX65" i="33"/>
  <c r="DX76" i="33" s="1"/>
  <c r="DV66" i="33"/>
  <c r="DV77" i="33" s="1"/>
  <c r="EA68" i="33"/>
  <c r="EA79" i="33" s="1"/>
  <c r="CO73" i="33"/>
  <c r="CO85" i="33" s="1"/>
  <c r="CW65" i="33"/>
  <c r="CW76" i="33" s="1"/>
  <c r="BA69" i="33"/>
  <c r="BA80" i="33" s="1"/>
  <c r="DU64" i="33"/>
  <c r="DU75" i="33" s="1"/>
  <c r="CD67" i="33"/>
  <c r="CD78" i="33" s="1"/>
  <c r="BH70" i="33"/>
  <c r="BH81" i="33" s="1"/>
  <c r="DG71" i="33"/>
  <c r="DG82" i="33" s="1"/>
  <c r="CJ68" i="33"/>
  <c r="CJ79" i="33" s="1"/>
  <c r="BO71" i="33"/>
  <c r="BO82" i="33" s="1"/>
  <c r="BO64" i="33"/>
  <c r="BO75" i="33" s="1"/>
  <c r="CQ68" i="33"/>
  <c r="CQ79" i="33" s="1"/>
  <c r="BN71" i="33"/>
  <c r="BN82" i="33" s="1"/>
  <c r="BN64" i="33"/>
  <c r="BN75" i="33" s="1"/>
  <c r="CW69" i="33"/>
  <c r="CW80" i="33" s="1"/>
  <c r="AW73" i="33"/>
  <c r="AW85" i="33" s="1"/>
  <c r="AW66" i="33"/>
  <c r="CD71" i="33"/>
  <c r="CD82" i="33" s="1"/>
  <c r="CK64" i="33"/>
  <c r="CK75" i="33" s="1"/>
  <c r="BD67" i="33"/>
  <c r="BJ71" i="33"/>
  <c r="BJ82" i="33" s="1"/>
  <c r="BK68" i="33"/>
  <c r="DO64" i="33"/>
  <c r="DO75" i="33" s="1"/>
  <c r="CY72" i="33"/>
  <c r="CY84" i="33" s="1"/>
  <c r="BJ65" i="33"/>
  <c r="BJ76" i="33" s="1"/>
  <c r="CK70" i="33"/>
  <c r="CK81" i="33" s="1"/>
  <c r="BC69" i="33"/>
  <c r="BC80" i="33" s="1"/>
  <c r="DH64" i="33"/>
  <c r="DH75" i="33" s="1"/>
  <c r="CJ64" i="33"/>
  <c r="CJ75" i="33" s="1"/>
  <c r="CJ71" i="33"/>
  <c r="CJ82" i="33" s="1"/>
  <c r="DH67" i="33"/>
  <c r="DH78" i="33" s="1"/>
  <c r="CL73" i="33"/>
  <c r="CL85" i="33" s="1"/>
  <c r="CO68" i="33"/>
  <c r="CO79" i="33" s="1"/>
  <c r="CT69" i="33"/>
  <c r="CT80" i="33" s="1"/>
  <c r="DF72" i="33"/>
  <c r="DF84" i="33" s="1"/>
  <c r="BC70" i="33"/>
  <c r="BC81" i="33" s="1"/>
  <c r="DX69" i="33"/>
  <c r="DX80" i="33" s="1"/>
  <c r="DW67" i="33"/>
  <c r="DW78" i="33" s="1"/>
  <c r="DO72" i="33"/>
  <c r="DO84" i="33" s="1"/>
  <c r="DM72" i="33"/>
  <c r="DM84" i="33" s="1"/>
  <c r="DT65" i="33"/>
  <c r="DT76" i="33" s="1"/>
  <c r="DZ66" i="33"/>
  <c r="DZ77" i="33" s="1"/>
  <c r="DW68" i="33"/>
  <c r="DW79" i="33" s="1"/>
  <c r="DT70" i="33"/>
  <c r="DT81" i="33" s="1"/>
  <c r="DR71" i="33"/>
  <c r="DR82" i="33" s="1"/>
  <c r="DO73" i="33"/>
  <c r="DO85" i="33" s="1"/>
  <c r="DN66" i="33"/>
  <c r="DN77" i="33" s="1"/>
  <c r="DT67" i="33"/>
  <c r="DT78" i="33" s="1"/>
  <c r="CP72" i="33"/>
  <c r="CP84" i="33" s="1"/>
  <c r="CO65" i="33"/>
  <c r="CO76" i="33" s="1"/>
  <c r="BQ67" i="33"/>
  <c r="CV73" i="33"/>
  <c r="CV85" i="33" s="1"/>
  <c r="CU66" i="33"/>
  <c r="CU77" i="33" s="1"/>
  <c r="AZ69" i="33"/>
  <c r="AZ80" i="33" s="1"/>
  <c r="DK65" i="33"/>
  <c r="DK76" i="33" s="1"/>
  <c r="CB68" i="33"/>
  <c r="CB79" i="33" s="1"/>
  <c r="BG70" i="33"/>
  <c r="BG81" i="33" s="1"/>
  <c r="DJ65" i="33"/>
  <c r="DJ76" i="33" s="1"/>
  <c r="CI68" i="33"/>
  <c r="CI79" i="33" s="1"/>
  <c r="BF70" i="33"/>
  <c r="BF81" i="33" s="1"/>
  <c r="DV72" i="33"/>
  <c r="DV84" i="33" s="1"/>
  <c r="CO69" i="33"/>
  <c r="CO80" i="33" s="1"/>
  <c r="BM71" i="33"/>
  <c r="BM82" i="33" s="1"/>
  <c r="AW65" i="33"/>
  <c r="CU70" i="33"/>
  <c r="CU81" i="33" s="1"/>
  <c r="AV73" i="33"/>
  <c r="AV85" i="33" s="1"/>
  <c r="BD66" i="33"/>
  <c r="BB70" i="33"/>
  <c r="BB81" i="33" s="1"/>
  <c r="CQ64" i="33"/>
  <c r="CQ75" i="33" s="1"/>
  <c r="DJ68" i="33"/>
  <c r="DJ79" i="33" s="1"/>
  <c r="CR71" i="33"/>
  <c r="CR82" i="33" s="1"/>
  <c r="BB64" i="33"/>
  <c r="BB75" i="33" s="1"/>
  <c r="CE69" i="33"/>
  <c r="CE80" i="33" s="1"/>
  <c r="BS67" i="33"/>
  <c r="CQ73" i="33"/>
  <c r="CQ85" i="33" s="1"/>
  <c r="BS72" i="33"/>
  <c r="BS84" i="33" s="1"/>
  <c r="CX66" i="33"/>
  <c r="CX77" i="33" s="1"/>
  <c r="DS65" i="33"/>
  <c r="DS76" i="33" s="1"/>
  <c r="CG72" i="33"/>
  <c r="CG84" i="33" s="1"/>
  <c r="AY69" i="33"/>
  <c r="AY80" i="33" s="1"/>
  <c r="AX69" i="33"/>
  <c r="AX80" i="33" s="1"/>
  <c r="BE70" i="33"/>
  <c r="BE81" i="33" s="1"/>
  <c r="BL64" i="33"/>
  <c r="BL75" i="33" s="1"/>
  <c r="CF68" i="33"/>
  <c r="CF79" i="33" s="1"/>
  <c r="CC71" i="33"/>
  <c r="CC82" i="33" s="1"/>
  <c r="DI66" i="33"/>
  <c r="DI77" i="33" s="1"/>
  <c r="DF71" i="33"/>
  <c r="DF82" i="33" s="1"/>
  <c r="DS73" i="33"/>
  <c r="DS85" i="33" s="1"/>
  <c r="DR66" i="33"/>
  <c r="DR77" i="33" s="1"/>
  <c r="DP67" i="33"/>
  <c r="DP78" i="33" s="1"/>
  <c r="DM69" i="33"/>
  <c r="DM80" i="33" s="1"/>
  <c r="DJ71" i="33"/>
  <c r="DJ82" i="33" s="1"/>
  <c r="DH72" i="33"/>
  <c r="DH84" i="33" s="1"/>
  <c r="DO65" i="33"/>
  <c r="DO76" i="33" s="1"/>
  <c r="DL67" i="33"/>
  <c r="DL78" i="33" s="1"/>
  <c r="CI71" i="33"/>
  <c r="CI82" i="33" s="1"/>
  <c r="CP64" i="33"/>
  <c r="CP75" i="33" s="1"/>
  <c r="BI67" i="33"/>
  <c r="CO72" i="33"/>
  <c r="CO84" i="33" s="1"/>
  <c r="CV65" i="33"/>
  <c r="CV76" i="33" s="1"/>
  <c r="BP68" i="33"/>
  <c r="CU73" i="33"/>
  <c r="CU85" i="33" s="1"/>
  <c r="CC67" i="33"/>
  <c r="CC78" i="33" s="1"/>
  <c r="AY70" i="33"/>
  <c r="AY81" i="33" s="1"/>
  <c r="CT73" i="33"/>
  <c r="CT85" i="33" s="1"/>
  <c r="CB67" i="33"/>
  <c r="CB78" i="33" s="1"/>
  <c r="AX70" i="33"/>
  <c r="AX81" i="33" s="1"/>
  <c r="DI65" i="33"/>
  <c r="DI76" i="33" s="1"/>
  <c r="CP68" i="33"/>
  <c r="CP79" i="33" s="1"/>
  <c r="BE71" i="33"/>
  <c r="BE82" i="33" s="1"/>
  <c r="DN72" i="33"/>
  <c r="DN84" i="33" s="1"/>
  <c r="CV69" i="33"/>
  <c r="CV80" i="33" s="1"/>
  <c r="BL72" i="33"/>
  <c r="BL84" i="33" s="1"/>
  <c r="AV65" i="33"/>
  <c r="BB66" i="33"/>
  <c r="BR71" i="33"/>
  <c r="BR82" i="33" s="1"/>
  <c r="CM69" i="33"/>
  <c r="CM80" i="33" s="1"/>
  <c r="CL69" i="33"/>
  <c r="CL80" i="33" s="1"/>
  <c r="BJ66" i="33"/>
  <c r="CE68" i="33"/>
  <c r="CE79" i="33" s="1"/>
  <c r="BK66" i="33"/>
  <c r="CJ72" i="33"/>
  <c r="CJ84" i="33" s="1"/>
  <c r="BK71" i="33"/>
  <c r="BK82" i="33" s="1"/>
  <c r="BB69" i="33"/>
  <c r="BB80" i="33" s="1"/>
  <c r="DW70" i="33"/>
  <c r="DW81" i="33" s="1"/>
  <c r="DK70" i="33"/>
  <c r="DK81" i="33" s="1"/>
  <c r="DW72" i="33"/>
  <c r="DW84" i="33" s="1"/>
  <c r="CR70" i="33"/>
  <c r="CR81" i="33" s="1"/>
  <c r="BI66" i="33"/>
  <c r="BP67" i="33"/>
  <c r="CU65" i="33"/>
  <c r="CU76" i="33" s="1"/>
  <c r="CT65" i="33"/>
  <c r="CT76" i="33" s="1"/>
  <c r="DZ64" i="33"/>
  <c r="DZ75" i="33" s="1"/>
  <c r="DP70" i="33"/>
  <c r="DP81" i="33" s="1"/>
  <c r="CI73" i="33"/>
  <c r="CI85" i="33" s="1"/>
  <c r="CY65" i="33"/>
  <c r="CY76" i="33" s="1"/>
  <c r="EA72" i="33"/>
  <c r="EA84" i="33" s="1"/>
  <c r="DU68" i="33"/>
  <c r="DU79" i="33" s="1"/>
  <c r="DQ68" i="33"/>
  <c r="DQ79" i="33" s="1"/>
  <c r="DX66" i="33"/>
  <c r="DX77" i="33" s="1"/>
  <c r="DW71" i="33"/>
  <c r="DW82" i="33" s="1"/>
  <c r="BI70" i="33"/>
  <c r="BI81" i="33" s="1"/>
  <c r="AZ73" i="33"/>
  <c r="AZ85" i="33" s="1"/>
  <c r="CM65" i="33"/>
  <c r="CM76" i="33" s="1"/>
  <c r="CW70" i="33"/>
  <c r="CW81" i="33" s="1"/>
  <c r="CL72" i="33"/>
  <c r="CL84" i="33" s="1"/>
  <c r="DH65" i="33"/>
  <c r="DH76" i="33" s="1"/>
  <c r="AV69" i="33"/>
  <c r="AV80" i="33" s="1"/>
  <c r="BR73" i="33"/>
  <c r="BR85" i="33" s="1"/>
  <c r="DP64" i="33"/>
  <c r="DP75" i="33" s="1"/>
  <c r="CD69" i="33"/>
  <c r="CD80" i="33" s="1"/>
  <c r="DS72" i="33"/>
  <c r="DS84" i="33" s="1"/>
  <c r="BN67" i="33"/>
  <c r="BS66" i="33"/>
  <c r="DP71" i="33"/>
  <c r="DP82" i="33" s="1"/>
  <c r="BM68" i="33"/>
  <c r="BC66" i="33"/>
  <c r="BQ71" i="33"/>
  <c r="BQ82" i="33" s="1"/>
  <c r="BM67" i="33"/>
  <c r="DI68" i="33"/>
  <c r="DI79" i="33" s="1"/>
  <c r="DQ65" i="33"/>
  <c r="DQ76" i="33" s="1"/>
  <c r="DY69" i="33"/>
  <c r="DY80" i="33" s="1"/>
  <c r="BA65" i="33"/>
  <c r="BP71" i="33"/>
  <c r="BP82" i="33" s="1"/>
  <c r="CN64" i="33"/>
  <c r="CN75" i="33" s="1"/>
  <c r="CL65" i="33"/>
  <c r="CL76" i="33" s="1"/>
  <c r="CD72" i="33"/>
  <c r="CD84" i="33" s="1"/>
  <c r="CR73" i="33"/>
  <c r="CR85" i="33" s="1"/>
  <c r="DH70" i="33"/>
  <c r="DH81" i="33" s="1"/>
  <c r="BR69" i="33"/>
  <c r="BR80" i="33" s="1"/>
  <c r="CY73" i="33"/>
  <c r="CY85" i="33" s="1"/>
  <c r="CC70" i="33"/>
  <c r="CC81" i="33" s="1"/>
  <c r="DS69" i="33"/>
  <c r="DS80" i="33" s="1"/>
  <c r="AZ65" i="33"/>
  <c r="CB72" i="33"/>
  <c r="CB84" i="33" s="1"/>
  <c r="BQ72" i="33"/>
  <c r="BQ84" i="33" s="1"/>
  <c r="BD70" i="33"/>
  <c r="BD81" i="33" s="1"/>
  <c r="CX70" i="33"/>
  <c r="CX81" i="33" s="1"/>
  <c r="AV70" i="33"/>
  <c r="AV81" i="33" s="1"/>
  <c r="DV70" i="33"/>
  <c r="DV81" i="33" s="1"/>
  <c r="DM68" i="33"/>
  <c r="DM79" i="33" s="1"/>
  <c r="DE65" i="33"/>
  <c r="DE76" i="33" s="1"/>
  <c r="BQ64" i="33"/>
  <c r="BH66" i="33"/>
  <c r="AY73" i="33"/>
  <c r="AY85" i="33" s="1"/>
  <c r="CM64" i="33"/>
  <c r="CM75" i="33" s="1"/>
  <c r="CR66" i="33"/>
  <c r="CR77" i="33" s="1"/>
  <c r="CJ73" i="33"/>
  <c r="CJ85" i="33" s="1"/>
  <c r="CI72" i="33"/>
  <c r="CI84" i="33" s="1"/>
  <c r="BK73" i="33"/>
  <c r="BK85" i="33" s="1"/>
  <c r="CR72" i="33"/>
  <c r="CR84" i="33" s="1"/>
  <c r="CW67" i="33"/>
  <c r="CW78" i="33" s="1"/>
  <c r="CH71" i="33"/>
  <c r="CH82" i="33" s="1"/>
  <c r="BG67" i="33"/>
  <c r="CH67" i="33"/>
  <c r="CH78" i="33" s="1"/>
  <c r="BS68" i="33"/>
  <c r="CM72" i="33"/>
  <c r="CM84" i="33" s="1"/>
  <c r="BR70" i="33"/>
  <c r="BR81" i="33" s="1"/>
  <c r="DI70" i="33"/>
  <c r="DI81" i="33" s="1"/>
  <c r="CF71" i="33"/>
  <c r="CF82" i="33" s="1"/>
  <c r="BB68" i="33"/>
  <c r="DO69" i="33"/>
  <c r="DO80" i="33" s="1"/>
  <c r="DN67" i="33"/>
  <c r="DN78" i="33" s="1"/>
  <c r="CS69" i="33"/>
  <c r="CS80" i="33" s="1"/>
  <c r="DM73" i="33"/>
  <c r="DM85" i="33" s="1"/>
  <c r="AZ66" i="33"/>
  <c r="BO67" i="33"/>
  <c r="AX73" i="33"/>
  <c r="AX85" i="33" s="1"/>
  <c r="CS65" i="33"/>
  <c r="CS76" i="33" s="1"/>
  <c r="CG68" i="33"/>
  <c r="CG79" i="33" s="1"/>
  <c r="CB71" i="33"/>
  <c r="CB82" i="33" s="1"/>
  <c r="BC68" i="33"/>
  <c r="CR64" i="33"/>
  <c r="CR75" i="33" s="1"/>
  <c r="CW66" i="33"/>
  <c r="CW77" i="33" s="1"/>
  <c r="CL68" i="33"/>
  <c r="CL79" i="33" s="1"/>
  <c r="CL64" i="33"/>
  <c r="CL75" i="33" s="1"/>
  <c r="BC73" i="33"/>
  <c r="BC85" i="33" s="1"/>
  <c r="CJ69" i="33"/>
  <c r="CJ80" i="33" s="1"/>
  <c r="BS73" i="33"/>
  <c r="BS85" i="33" s="1"/>
  <c r="DI73" i="33"/>
  <c r="DI85" i="33" s="1"/>
  <c r="CS73" i="33"/>
  <c r="CS85" i="33" s="1"/>
  <c r="CQ72" i="33"/>
  <c r="CQ84" i="33" s="1"/>
  <c r="DT71" i="33"/>
  <c r="DT82" i="33" s="1"/>
  <c r="DK69" i="33"/>
  <c r="DK80" i="33" s="1"/>
  <c r="CD68" i="33"/>
  <c r="CD79" i="33" s="1"/>
  <c r="CR69" i="33"/>
  <c r="CR80" i="33" s="1"/>
  <c r="CN72" i="33"/>
  <c r="CN84" i="33" s="1"/>
  <c r="BG66" i="33"/>
  <c r="BF67" i="33"/>
  <c r="AW69" i="33"/>
  <c r="AW80" i="33" s="1"/>
  <c r="CR65" i="33"/>
  <c r="CR76" i="33" s="1"/>
  <c r="CO67" i="33"/>
  <c r="CO78" i="33" s="1"/>
  <c r="BB72" i="33"/>
  <c r="BB84" i="33" s="1"/>
  <c r="BS71" i="33"/>
  <c r="BS82" i="33" s="1"/>
  <c r="BK67" i="33"/>
  <c r="DQ73" i="33"/>
  <c r="DQ85" i="33" s="1"/>
  <c r="CG71" i="33"/>
  <c r="CG82" i="33" s="1"/>
  <c r="BF66" i="33"/>
  <c r="DL66" i="33"/>
  <c r="DL77" i="33" s="1"/>
  <c r="CG64" i="33"/>
  <c r="CG75" i="33" s="1"/>
  <c r="CH65" i="33"/>
  <c r="CH76" i="33" s="1"/>
  <c r="I199" i="33"/>
  <c r="J199" i="33" s="1"/>
  <c r="I198" i="33"/>
  <c r="J198" i="33" s="1"/>
  <c r="I200" i="33"/>
  <c r="J200" i="33" s="1"/>
  <c r="D268" i="33"/>
  <c r="F81" i="30"/>
  <c r="B94" i="30"/>
  <c r="AH19" i="18"/>
  <c r="AH20" i="18"/>
  <c r="AH21" i="18"/>
  <c r="AH22" i="18"/>
  <c r="AH23" i="18"/>
  <c r="AH24" i="18"/>
  <c r="AH25" i="18"/>
  <c r="AH26" i="18"/>
  <c r="AK26" i="18" s="1"/>
  <c r="AH27" i="18"/>
  <c r="AK27" i="18" s="1"/>
  <c r="AH28" i="18"/>
  <c r="AK28" i="18" s="1"/>
  <c r="AH29" i="18"/>
  <c r="AK29" i="18" s="1"/>
  <c r="AH30" i="18"/>
  <c r="AK30" i="18" s="1"/>
  <c r="AH31" i="18"/>
  <c r="AK31" i="18" s="1"/>
  <c r="AH32" i="18"/>
  <c r="AH33" i="18"/>
  <c r="AH34" i="18"/>
  <c r="AH35" i="18"/>
  <c r="AH36" i="18"/>
  <c r="AH37" i="18"/>
  <c r="AH38" i="18"/>
  <c r="AH39" i="18"/>
  <c r="AH40" i="18"/>
  <c r="AK40" i="18" s="1"/>
  <c r="AH41" i="18"/>
  <c r="AH42" i="18"/>
  <c r="AH43" i="18"/>
  <c r="AH44" i="18"/>
  <c r="AK44" i="18" s="1"/>
  <c r="AH45" i="18"/>
  <c r="AK45" i="18" s="1"/>
  <c r="AH46" i="18"/>
  <c r="AK46" i="18" s="1"/>
  <c r="AH47" i="18"/>
  <c r="AH48" i="18"/>
  <c r="AH49" i="18"/>
  <c r="AH50" i="18"/>
  <c r="AH51" i="18"/>
  <c r="AH52" i="18"/>
  <c r="AH32" i="26"/>
  <c r="AK32" i="26" s="1"/>
  <c r="AH33" i="26"/>
  <c r="AK33" i="26" s="1"/>
  <c r="AH34" i="26"/>
  <c r="AK34" i="26" s="1"/>
  <c r="AH35" i="26"/>
  <c r="AH36" i="26"/>
  <c r="AH37" i="26"/>
  <c r="AH38" i="26"/>
  <c r="AH39" i="26"/>
  <c r="AH40" i="26"/>
  <c r="AH41" i="26"/>
  <c r="AH42" i="26"/>
  <c r="AK42" i="26" s="1"/>
  <c r="AH43" i="26"/>
  <c r="AH44" i="26"/>
  <c r="AH45" i="26"/>
  <c r="AH46" i="26"/>
  <c r="AH47" i="26"/>
  <c r="AK47" i="26" s="1"/>
  <c r="AH48" i="26"/>
  <c r="AH49" i="26"/>
  <c r="AH50" i="26"/>
  <c r="AH51" i="26"/>
  <c r="AH52" i="26"/>
  <c r="AH19" i="24"/>
  <c r="AK19" i="24" s="1"/>
  <c r="AH20" i="24"/>
  <c r="AK20" i="24" s="1"/>
  <c r="AH21" i="24"/>
  <c r="AK21" i="24" s="1"/>
  <c r="AH22" i="24"/>
  <c r="AK22" i="24" s="1"/>
  <c r="AH23" i="24"/>
  <c r="AK23" i="24" s="1"/>
  <c r="AH24" i="24"/>
  <c r="AK24" i="24" s="1"/>
  <c r="AH25" i="24"/>
  <c r="AK25" i="24" s="1"/>
  <c r="AH26" i="24"/>
  <c r="AK26" i="24" s="1"/>
  <c r="AH27" i="24"/>
  <c r="AK27" i="24" s="1"/>
  <c r="AH28" i="24"/>
  <c r="AK28" i="24" s="1"/>
  <c r="AH29" i="24"/>
  <c r="AK29" i="24" s="1"/>
  <c r="AH30" i="24"/>
  <c r="AK30" i="24" s="1"/>
  <c r="AH31" i="24"/>
  <c r="AK31" i="24" s="1"/>
  <c r="AH32" i="24"/>
  <c r="AH33" i="24"/>
  <c r="AK33" i="24" s="1"/>
  <c r="AH34" i="24"/>
  <c r="AK34" i="24" s="1"/>
  <c r="AH35" i="24"/>
  <c r="AK35" i="24" s="1"/>
  <c r="AH36" i="24"/>
  <c r="AK36" i="24" s="1"/>
  <c r="AH37" i="24"/>
  <c r="AH38" i="24"/>
  <c r="AH39" i="24"/>
  <c r="AK39" i="24" s="1"/>
  <c r="AH40" i="24"/>
  <c r="AH41" i="24"/>
  <c r="AK41" i="24" s="1"/>
  <c r="AH42" i="24"/>
  <c r="AH43" i="24"/>
  <c r="AH44" i="24"/>
  <c r="AK44" i="24" s="1"/>
  <c r="AH45" i="24"/>
  <c r="AK45" i="24" s="1"/>
  <c r="AH46" i="24"/>
  <c r="AH47" i="24"/>
  <c r="AH48" i="24"/>
  <c r="AH49" i="24"/>
  <c r="AK49" i="24" s="1"/>
  <c r="AH50" i="24"/>
  <c r="AK50" i="24" s="1"/>
  <c r="AH51" i="24"/>
  <c r="AH52" i="24"/>
  <c r="AH32" i="25"/>
  <c r="AK32" i="25" s="1"/>
  <c r="AH33" i="25"/>
  <c r="AK33" i="25" s="1"/>
  <c r="AH34" i="25"/>
  <c r="AK34" i="25" s="1"/>
  <c r="AH35" i="25"/>
  <c r="AK35" i="25" s="1"/>
  <c r="AH36" i="25"/>
  <c r="AK36" i="25" s="1"/>
  <c r="AH37" i="25"/>
  <c r="AH38" i="25"/>
  <c r="AK38" i="25" s="1"/>
  <c r="AH39" i="25"/>
  <c r="AH40" i="25"/>
  <c r="AH41" i="25"/>
  <c r="AK41" i="25" s="1"/>
  <c r="AH42" i="25"/>
  <c r="AK42" i="25" s="1"/>
  <c r="AH43" i="25"/>
  <c r="AK43" i="25" s="1"/>
  <c r="AH44" i="25"/>
  <c r="AK44" i="25" s="1"/>
  <c r="AH45" i="25"/>
  <c r="AH46" i="25"/>
  <c r="AK46" i="25" s="1"/>
  <c r="AH47" i="25"/>
  <c r="AK47" i="25" s="1"/>
  <c r="AH48" i="25"/>
  <c r="AH49" i="25"/>
  <c r="AK49" i="25" s="1"/>
  <c r="AH50" i="25"/>
  <c r="AH51" i="25"/>
  <c r="AK51" i="25" s="1"/>
  <c r="AH52" i="25"/>
  <c r="AK52" i="25" s="1"/>
  <c r="AD57" i="26"/>
  <c r="BB79" i="33" l="1"/>
  <c r="BB136" i="33" s="1"/>
  <c r="BB155" i="33"/>
  <c r="BN78" i="33"/>
  <c r="BN154" i="33"/>
  <c r="BR78" i="33"/>
  <c r="BR135" i="33" s="1"/>
  <c r="BR154" i="33"/>
  <c r="BL78" i="33"/>
  <c r="BL124" i="33" s="1"/>
  <c r="BL170" i="33" s="1"/>
  <c r="BL154" i="33"/>
  <c r="AZ79" i="33"/>
  <c r="AZ155" i="33"/>
  <c r="BR79" i="33"/>
  <c r="BR155" i="33"/>
  <c r="AV79" i="33"/>
  <c r="AV155" i="33"/>
  <c r="BJ79" i="33"/>
  <c r="BJ136" i="33" s="1"/>
  <c r="BJ155" i="33"/>
  <c r="BL79" i="33"/>
  <c r="BL155" i="33"/>
  <c r="BE78" i="33"/>
  <c r="BE154" i="33"/>
  <c r="AX79" i="33"/>
  <c r="AX155" i="33"/>
  <c r="AY79" i="33"/>
  <c r="AY125" i="33" s="1"/>
  <c r="AY171" i="33" s="1"/>
  <c r="AY155" i="33"/>
  <c r="BN79" i="33"/>
  <c r="BN155" i="33"/>
  <c r="BO79" i="33"/>
  <c r="BO155" i="33"/>
  <c r="BH78" i="33"/>
  <c r="BH154" i="33"/>
  <c r="BO78" i="33"/>
  <c r="BO124" i="33" s="1"/>
  <c r="BO170" i="33" s="1"/>
  <c r="BO154" i="33"/>
  <c r="BM78" i="33"/>
  <c r="BM154" i="33"/>
  <c r="BA79" i="33"/>
  <c r="BA155" i="33"/>
  <c r="BC78" i="33"/>
  <c r="BC154" i="33"/>
  <c r="BQ79" i="33"/>
  <c r="BQ125" i="33" s="1"/>
  <c r="BQ171" i="33" s="1"/>
  <c r="BQ155" i="33"/>
  <c r="BK79" i="33"/>
  <c r="BK155" i="33"/>
  <c r="BJ78" i="33"/>
  <c r="BJ154" i="33"/>
  <c r="AV78" i="33"/>
  <c r="AV154" i="33"/>
  <c r="BF78" i="33"/>
  <c r="BF124" i="33" s="1"/>
  <c r="BF170" i="33" s="1"/>
  <c r="BF154" i="33"/>
  <c r="BP79" i="33"/>
  <c r="BP136" i="33" s="1"/>
  <c r="BP155" i="33"/>
  <c r="BE79" i="33"/>
  <c r="BE155" i="33"/>
  <c r="AX78" i="33"/>
  <c r="AX154" i="33"/>
  <c r="AY78" i="33"/>
  <c r="AY124" i="33" s="1"/>
  <c r="AY170" i="33" s="1"/>
  <c r="AY154" i="33"/>
  <c r="BB78" i="33"/>
  <c r="BB154" i="33"/>
  <c r="BD79" i="33"/>
  <c r="BD155" i="33"/>
  <c r="AW78" i="33"/>
  <c r="AW135" i="33" s="1"/>
  <c r="AW154" i="33"/>
  <c r="BC79" i="33"/>
  <c r="BC136" i="33" s="1"/>
  <c r="BC155" i="33"/>
  <c r="BS79" i="33"/>
  <c r="BS155" i="33"/>
  <c r="BM79" i="33"/>
  <c r="BM155" i="33"/>
  <c r="BD78" i="33"/>
  <c r="BD154" i="33"/>
  <c r="BH79" i="33"/>
  <c r="BH125" i="33" s="1"/>
  <c r="BH171" i="33" s="1"/>
  <c r="BH155" i="33"/>
  <c r="BA78" i="33"/>
  <c r="BA154" i="33"/>
  <c r="BF79" i="33"/>
  <c r="BF155" i="33"/>
  <c r="BG79" i="33"/>
  <c r="BG155" i="33"/>
  <c r="AZ78" i="33"/>
  <c r="AZ124" i="33" s="1"/>
  <c r="AZ170" i="33" s="1"/>
  <c r="AZ154" i="33"/>
  <c r="BK78" i="33"/>
  <c r="BK124" i="33" s="1"/>
  <c r="BK170" i="33" s="1"/>
  <c r="BK154" i="33"/>
  <c r="BQ78" i="33"/>
  <c r="BQ135" i="33" s="1"/>
  <c r="BQ154" i="33"/>
  <c r="BI79" i="33"/>
  <c r="BI136" i="33" s="1"/>
  <c r="BI155" i="33"/>
  <c r="BG78" i="33"/>
  <c r="BG135" i="33" s="1"/>
  <c r="BG154" i="33"/>
  <c r="BP78" i="33"/>
  <c r="BP154" i="33"/>
  <c r="BI78" i="33"/>
  <c r="BI154" i="33"/>
  <c r="BS78" i="33"/>
  <c r="BS124" i="33" s="1"/>
  <c r="BS170" i="33" s="1"/>
  <c r="BS154" i="33"/>
  <c r="AW79" i="33"/>
  <c r="AW125" i="33" s="1"/>
  <c r="AW171" i="33" s="1"/>
  <c r="AW155" i="33"/>
  <c r="AK20" i="18"/>
  <c r="AN20" i="18"/>
  <c r="AL20" i="18"/>
  <c r="AM20" i="18"/>
  <c r="AK19" i="18"/>
  <c r="AL19" i="18"/>
  <c r="AN19" i="18"/>
  <c r="AK25" i="18"/>
  <c r="AL25" i="18"/>
  <c r="AM25" i="18"/>
  <c r="AN25" i="18"/>
  <c r="AK24" i="18"/>
  <c r="AL24" i="18"/>
  <c r="AN24" i="18"/>
  <c r="AN23" i="18"/>
  <c r="AM23" i="18"/>
  <c r="AK22" i="18"/>
  <c r="AL22" i="18"/>
  <c r="AM22" i="18"/>
  <c r="AN22" i="18"/>
  <c r="AK21" i="18"/>
  <c r="AM21" i="18"/>
  <c r="AN21" i="18"/>
  <c r="AL21" i="18"/>
  <c r="AL209" i="33"/>
  <c r="AL208" i="33"/>
  <c r="L210" i="33"/>
  <c r="L211" i="33" s="1"/>
  <c r="L212" i="33" s="1"/>
  <c r="C193" i="33"/>
  <c r="C277" i="33"/>
  <c r="D267" i="33"/>
  <c r="DM130" i="33"/>
  <c r="DM176" i="33" s="1"/>
  <c r="DM141" i="33"/>
  <c r="BC153" i="33"/>
  <c r="BC77" i="33"/>
  <c r="DH129" i="33"/>
  <c r="DH175" i="33" s="1"/>
  <c r="DH140" i="33"/>
  <c r="CJ121" i="33"/>
  <c r="CJ167" i="33" s="1"/>
  <c r="CJ132" i="33"/>
  <c r="CD121" i="33"/>
  <c r="CD167" i="33" s="1"/>
  <c r="CD132" i="33"/>
  <c r="CS125" i="33"/>
  <c r="CS171" i="33" s="1"/>
  <c r="CS136" i="33"/>
  <c r="CQ124" i="33"/>
  <c r="CQ170" i="33" s="1"/>
  <c r="CQ135" i="33"/>
  <c r="CN122" i="33"/>
  <c r="CN168" i="33" s="1"/>
  <c r="CN133" i="33"/>
  <c r="J201" i="33"/>
  <c r="D201" i="33" s="1"/>
  <c r="BK135" i="33"/>
  <c r="CN129" i="33"/>
  <c r="CN175" i="33" s="1"/>
  <c r="CN140" i="33"/>
  <c r="BS130" i="33"/>
  <c r="BS176" i="33" s="1"/>
  <c r="BS141" i="33"/>
  <c r="CB128" i="33"/>
  <c r="CB174" i="33" s="1"/>
  <c r="CB139" i="33"/>
  <c r="DN124" i="33"/>
  <c r="DN170" i="33" s="1"/>
  <c r="DN135" i="33"/>
  <c r="CH124" i="33"/>
  <c r="CH170" i="33" s="1"/>
  <c r="CH135" i="33"/>
  <c r="CR123" i="33"/>
  <c r="CR169" i="33" s="1"/>
  <c r="CR134" i="33"/>
  <c r="AV127" i="33"/>
  <c r="AV173" i="33" s="1"/>
  <c r="AV138" i="33"/>
  <c r="CY130" i="33"/>
  <c r="CY176" i="33" s="1"/>
  <c r="CY141" i="33"/>
  <c r="BA152" i="33"/>
  <c r="BA76" i="33"/>
  <c r="DP128" i="33"/>
  <c r="DP174" i="33" s="1"/>
  <c r="DP139" i="33"/>
  <c r="DH122" i="33"/>
  <c r="DH168" i="33" s="1"/>
  <c r="DH133" i="33"/>
  <c r="DQ125" i="33"/>
  <c r="DQ171" i="33" s="1"/>
  <c r="DQ136" i="33"/>
  <c r="CU122" i="33"/>
  <c r="CU168" i="33" s="1"/>
  <c r="CU133" i="33"/>
  <c r="BK128" i="33"/>
  <c r="BK174" i="33" s="1"/>
  <c r="BK139" i="33"/>
  <c r="BB153" i="33"/>
  <c r="BB160" i="33" s="1"/>
  <c r="BB161" i="33" s="1"/>
  <c r="BB162" i="33" s="1"/>
  <c r="BB77" i="33"/>
  <c r="AX127" i="33"/>
  <c r="AX173" i="33" s="1"/>
  <c r="AX138" i="33"/>
  <c r="CO129" i="33"/>
  <c r="CO175" i="33" s="1"/>
  <c r="CO140" i="33"/>
  <c r="DM126" i="33"/>
  <c r="DM172" i="33" s="1"/>
  <c r="DM137" i="33"/>
  <c r="BL121" i="33"/>
  <c r="BL167" i="33" s="1"/>
  <c r="BL132" i="33"/>
  <c r="CQ130" i="33"/>
  <c r="CQ176" i="33" s="1"/>
  <c r="CQ141" i="33"/>
  <c r="BD153" i="33"/>
  <c r="BD77" i="33"/>
  <c r="CI125" i="33"/>
  <c r="CI171" i="33" s="1"/>
  <c r="CI136" i="33"/>
  <c r="BQ124" i="33"/>
  <c r="BQ170" i="33" s="1"/>
  <c r="DW125" i="33"/>
  <c r="DW171" i="33" s="1"/>
  <c r="DW136" i="33"/>
  <c r="DF129" i="33"/>
  <c r="DF175" i="33" s="1"/>
  <c r="DF140" i="33"/>
  <c r="BC126" i="33"/>
  <c r="BC172" i="33" s="1"/>
  <c r="BC137" i="33"/>
  <c r="CK121" i="33"/>
  <c r="CK167" i="33" s="1"/>
  <c r="CK132" i="33"/>
  <c r="BO121" i="33"/>
  <c r="BO167" i="33" s="1"/>
  <c r="BO132" i="33"/>
  <c r="CW122" i="33"/>
  <c r="CW168" i="33" s="1"/>
  <c r="CW133" i="33"/>
  <c r="DH125" i="33"/>
  <c r="DH171" i="33" s="1"/>
  <c r="DH136" i="33"/>
  <c r="CI124" i="33"/>
  <c r="CI170" i="33" s="1"/>
  <c r="CI135" i="33"/>
  <c r="BS151" i="33"/>
  <c r="BS75" i="33"/>
  <c r="BK129" i="33"/>
  <c r="BK175" i="33" s="1"/>
  <c r="BK140" i="33"/>
  <c r="AX152" i="33"/>
  <c r="AX76" i="33"/>
  <c r="CK125" i="33"/>
  <c r="CK171" i="33" s="1"/>
  <c r="CK136" i="33"/>
  <c r="DX130" i="33"/>
  <c r="DX176" i="33" s="1"/>
  <c r="DX141" i="33"/>
  <c r="BJ127" i="33"/>
  <c r="BJ173" i="33" s="1"/>
  <c r="BJ138" i="33"/>
  <c r="BL153" i="33"/>
  <c r="BL77" i="33"/>
  <c r="BE122" i="33"/>
  <c r="BE168" i="33" s="1"/>
  <c r="BE133" i="33"/>
  <c r="AX151" i="33"/>
  <c r="AX75" i="33"/>
  <c r="AY151" i="33"/>
  <c r="AY75" i="33"/>
  <c r="DK124" i="33"/>
  <c r="DK170" i="33" s="1"/>
  <c r="DK135" i="33"/>
  <c r="DE121" i="33"/>
  <c r="DE167" i="33" s="1"/>
  <c r="DE132" i="33"/>
  <c r="CX129" i="33"/>
  <c r="CX175" i="33" s="1"/>
  <c r="CX140" i="33"/>
  <c r="DW130" i="33"/>
  <c r="DW176" i="33" s="1"/>
  <c r="DW141" i="33"/>
  <c r="DF126" i="33"/>
  <c r="DF172" i="33" s="1"/>
  <c r="DF137" i="33"/>
  <c r="DU129" i="33"/>
  <c r="DU175" i="33" s="1"/>
  <c r="DU140" i="33"/>
  <c r="BC128" i="33"/>
  <c r="BC174" i="33" s="1"/>
  <c r="BC139" i="33"/>
  <c r="CB122" i="33"/>
  <c r="CB168" i="33" s="1"/>
  <c r="CB133" i="33"/>
  <c r="BM130" i="33"/>
  <c r="BM176" i="33" s="1"/>
  <c r="BM141" i="33"/>
  <c r="BF129" i="33"/>
  <c r="BF175" i="33" s="1"/>
  <c r="BF140" i="33"/>
  <c r="BG129" i="33"/>
  <c r="BG175" i="33" s="1"/>
  <c r="BG140" i="33"/>
  <c r="AZ128" i="33"/>
  <c r="AZ174" i="33" s="1"/>
  <c r="AZ139" i="33"/>
  <c r="BQ126" i="33"/>
  <c r="BQ172" i="33" s="1"/>
  <c r="BQ137" i="33"/>
  <c r="DR126" i="33"/>
  <c r="DR172" i="33" s="1"/>
  <c r="DR137" i="33"/>
  <c r="DP130" i="33"/>
  <c r="DP176" i="33" s="1"/>
  <c r="DP141" i="33"/>
  <c r="DX125" i="33"/>
  <c r="DX171" i="33" s="1"/>
  <c r="DX136" i="33"/>
  <c r="BK126" i="33"/>
  <c r="BK172" i="33" s="1"/>
  <c r="BK137" i="33"/>
  <c r="CP130" i="33"/>
  <c r="CP176" i="33" s="1"/>
  <c r="CP141" i="33"/>
  <c r="DI121" i="33"/>
  <c r="DI167" i="33" s="1"/>
  <c r="DI132" i="33"/>
  <c r="CT129" i="33"/>
  <c r="CT175" i="33" s="1"/>
  <c r="CT140" i="33"/>
  <c r="CN128" i="33"/>
  <c r="CN174" i="33" s="1"/>
  <c r="CN139" i="33"/>
  <c r="CO128" i="33"/>
  <c r="CO174" i="33" s="1"/>
  <c r="CO139" i="33"/>
  <c r="CI127" i="33"/>
  <c r="CI173" i="33" s="1"/>
  <c r="CI138" i="33"/>
  <c r="CT125" i="33"/>
  <c r="CT171" i="33" s="1"/>
  <c r="CT136" i="33"/>
  <c r="EA126" i="33"/>
  <c r="EA172" i="33" s="1"/>
  <c r="EA137" i="33"/>
  <c r="DY130" i="33"/>
  <c r="DY176" i="33" s="1"/>
  <c r="DY141" i="33"/>
  <c r="DY125" i="33"/>
  <c r="DY171" i="33" s="1"/>
  <c r="DY136" i="33"/>
  <c r="BS152" i="33"/>
  <c r="BS76" i="33"/>
  <c r="BL130" i="33"/>
  <c r="BL176" i="33" s="1"/>
  <c r="BL141" i="33"/>
  <c r="BE129" i="33"/>
  <c r="BE175" i="33" s="1"/>
  <c r="BE140" i="33"/>
  <c r="AX128" i="33"/>
  <c r="AX174" i="33" s="1"/>
  <c r="AX139" i="33"/>
  <c r="AY128" i="33"/>
  <c r="AY174" i="33" s="1"/>
  <c r="AY139" i="33"/>
  <c r="BP126" i="33"/>
  <c r="BP172" i="33" s="1"/>
  <c r="BP137" i="33"/>
  <c r="BI125" i="33"/>
  <c r="BI171" i="33" s="1"/>
  <c r="DK125" i="33"/>
  <c r="DK171" i="33" s="1"/>
  <c r="DK136" i="33"/>
  <c r="DI129" i="33"/>
  <c r="DI175" i="33" s="1"/>
  <c r="DI140" i="33"/>
  <c r="DQ124" i="33"/>
  <c r="DQ170" i="33" s="1"/>
  <c r="DQ135" i="33"/>
  <c r="BC129" i="33"/>
  <c r="BC175" i="33" s="1"/>
  <c r="BC140" i="33"/>
  <c r="DG122" i="33"/>
  <c r="DG168" i="33" s="1"/>
  <c r="DG133" i="33"/>
  <c r="DY121" i="33"/>
  <c r="DY167" i="33" s="1"/>
  <c r="DY132" i="33"/>
  <c r="CK130" i="33"/>
  <c r="CK176" i="33" s="1"/>
  <c r="CK141" i="33"/>
  <c r="CE129" i="33"/>
  <c r="CE175" i="33" s="1"/>
  <c r="CE140" i="33"/>
  <c r="CF129" i="33"/>
  <c r="CF175" i="33" s="1"/>
  <c r="CF140" i="33"/>
  <c r="CY127" i="33"/>
  <c r="CY173" i="33" s="1"/>
  <c r="CY138" i="33"/>
  <c r="CK126" i="33"/>
  <c r="CK172" i="33" s="1"/>
  <c r="CK137" i="33"/>
  <c r="DR127" i="33"/>
  <c r="DR173" i="33" s="1"/>
  <c r="DR138" i="33"/>
  <c r="DZ122" i="33"/>
  <c r="DZ168" i="33" s="1"/>
  <c r="DZ133" i="33"/>
  <c r="DP126" i="33"/>
  <c r="DP172" i="33" s="1"/>
  <c r="DP137" i="33"/>
  <c r="CN121" i="33"/>
  <c r="CN167" i="33" s="1"/>
  <c r="CN132" i="33"/>
  <c r="BP125" i="33"/>
  <c r="BP171" i="33" s="1"/>
  <c r="DR128" i="33"/>
  <c r="DR174" i="33" s="1"/>
  <c r="DR139" i="33"/>
  <c r="CX130" i="33"/>
  <c r="CX176" i="33" s="1"/>
  <c r="CX141" i="33"/>
  <c r="CG127" i="33"/>
  <c r="CG173" i="33" s="1"/>
  <c r="CG138" i="33"/>
  <c r="BL126" i="33"/>
  <c r="BL172" i="33" s="1"/>
  <c r="BL137" i="33"/>
  <c r="DK129" i="33"/>
  <c r="DK175" i="33" s="1"/>
  <c r="DK140" i="33"/>
  <c r="CW125" i="33"/>
  <c r="CW171" i="33" s="1"/>
  <c r="CW136" i="33"/>
  <c r="DN125" i="33"/>
  <c r="DN171" i="33" s="1"/>
  <c r="DN136" i="33"/>
  <c r="AW124" i="33"/>
  <c r="AW170" i="33" s="1"/>
  <c r="BH121" i="33"/>
  <c r="BH167" i="33" s="1"/>
  <c r="BH132" i="33"/>
  <c r="DE126" i="33"/>
  <c r="DE172" i="33" s="1"/>
  <c r="DE137" i="33"/>
  <c r="BS128" i="33"/>
  <c r="BS174" i="33" s="1"/>
  <c r="BS139" i="33"/>
  <c r="CR126" i="33"/>
  <c r="CR172" i="33" s="1"/>
  <c r="CR137" i="33"/>
  <c r="CJ126" i="33"/>
  <c r="CJ172" i="33" s="1"/>
  <c r="CJ137" i="33"/>
  <c r="CG125" i="33"/>
  <c r="CG171" i="33" s="1"/>
  <c r="CG136" i="33"/>
  <c r="DO126" i="33"/>
  <c r="DO172" i="33" s="1"/>
  <c r="DO137" i="33"/>
  <c r="CM121" i="33"/>
  <c r="CM167" i="33" s="1"/>
  <c r="CM132" i="33"/>
  <c r="CX127" i="33"/>
  <c r="CX173" i="33" s="1"/>
  <c r="CX138" i="33"/>
  <c r="BR126" i="33"/>
  <c r="BR172" i="33" s="1"/>
  <c r="BR137" i="33"/>
  <c r="DY126" i="33"/>
  <c r="DY172" i="33" s="1"/>
  <c r="DY137" i="33"/>
  <c r="BS153" i="33"/>
  <c r="BS77" i="33"/>
  <c r="CL129" i="33"/>
  <c r="CL175" i="33" s="1"/>
  <c r="CL140" i="33"/>
  <c r="DU125" i="33"/>
  <c r="DU171" i="33" s="1"/>
  <c r="DU136" i="33"/>
  <c r="BP124" i="33"/>
  <c r="BP170" i="33" s="1"/>
  <c r="BP135" i="33"/>
  <c r="CJ129" i="33"/>
  <c r="CJ175" i="33" s="1"/>
  <c r="CJ140" i="33"/>
  <c r="AV152" i="33"/>
  <c r="AV76" i="33"/>
  <c r="CB124" i="33"/>
  <c r="CB170" i="33" s="1"/>
  <c r="CB135" i="33"/>
  <c r="BI124" i="33"/>
  <c r="BI170" i="33" s="1"/>
  <c r="BI135" i="33"/>
  <c r="DP124" i="33"/>
  <c r="DP170" i="33" s="1"/>
  <c r="DP135" i="33"/>
  <c r="BE127" i="33"/>
  <c r="BE173" i="33" s="1"/>
  <c r="BE138" i="33"/>
  <c r="AV130" i="33"/>
  <c r="AV176" i="33" s="1"/>
  <c r="AV141" i="33"/>
  <c r="DJ122" i="33"/>
  <c r="DJ168" i="33" s="1"/>
  <c r="DJ133" i="33"/>
  <c r="CO122" i="33"/>
  <c r="CO168" i="33" s="1"/>
  <c r="CO133" i="33"/>
  <c r="DZ123" i="33"/>
  <c r="DZ169" i="33" s="1"/>
  <c r="DZ134" i="33"/>
  <c r="CT126" i="33"/>
  <c r="CT172" i="33" s="1"/>
  <c r="CT137" i="33"/>
  <c r="CK127" i="33"/>
  <c r="CK173" i="33" s="1"/>
  <c r="CK138" i="33"/>
  <c r="CD128" i="33"/>
  <c r="CD174" i="33" s="1"/>
  <c r="CD139" i="33"/>
  <c r="BO128" i="33"/>
  <c r="BO174" i="33" s="1"/>
  <c r="BO139" i="33"/>
  <c r="CO130" i="33"/>
  <c r="CO176" i="33" s="1"/>
  <c r="CO141" i="33"/>
  <c r="EB122" i="33"/>
  <c r="EB168" i="33" s="1"/>
  <c r="EB133" i="33"/>
  <c r="CM130" i="33"/>
  <c r="CM176" i="33" s="1"/>
  <c r="CM141" i="33"/>
  <c r="CQ122" i="33"/>
  <c r="CQ168" i="33" s="1"/>
  <c r="CQ133" i="33"/>
  <c r="CP123" i="33"/>
  <c r="CP169" i="33" s="1"/>
  <c r="CP134" i="33"/>
  <c r="BN129" i="33"/>
  <c r="BN175" i="33" s="1"/>
  <c r="BN140" i="33"/>
  <c r="DM122" i="33"/>
  <c r="DM168" i="33" s="1"/>
  <c r="DM133" i="33"/>
  <c r="DJ129" i="33"/>
  <c r="DJ175" i="33" s="1"/>
  <c r="DJ140" i="33"/>
  <c r="BB128" i="33"/>
  <c r="BB174" i="33" s="1"/>
  <c r="BB139" i="33"/>
  <c r="BD126" i="33"/>
  <c r="BD172" i="33" s="1"/>
  <c r="BD137" i="33"/>
  <c r="BN153" i="33"/>
  <c r="BN160" i="33" s="1"/>
  <c r="BN161" i="33" s="1"/>
  <c r="BN162" i="33" s="1"/>
  <c r="BN77" i="33"/>
  <c r="BO153" i="33"/>
  <c r="BO77" i="33"/>
  <c r="BH122" i="33"/>
  <c r="BH168" i="33" s="1"/>
  <c r="BH133" i="33"/>
  <c r="BA121" i="33"/>
  <c r="BA167" i="33" s="1"/>
  <c r="BA132" i="33"/>
  <c r="DU122" i="33"/>
  <c r="DU168" i="33" s="1"/>
  <c r="DU133" i="33"/>
  <c r="DV124" i="33"/>
  <c r="DV170" i="33" s="1"/>
  <c r="DV135" i="33"/>
  <c r="EB128" i="33"/>
  <c r="EB174" i="33" s="1"/>
  <c r="EB139" i="33"/>
  <c r="BJ126" i="33"/>
  <c r="BJ172" i="33" s="1"/>
  <c r="BJ137" i="33"/>
  <c r="CU126" i="33"/>
  <c r="CU172" i="33" s="1"/>
  <c r="CU137" i="33"/>
  <c r="CX124" i="33"/>
  <c r="CX170" i="33" s="1"/>
  <c r="CX135" i="33"/>
  <c r="CJ123" i="33"/>
  <c r="CJ169" i="33" s="1"/>
  <c r="CJ134" i="33"/>
  <c r="CD122" i="33"/>
  <c r="CD168" i="33" s="1"/>
  <c r="CD133" i="33"/>
  <c r="CE122" i="33"/>
  <c r="CE168" i="33" s="1"/>
  <c r="CE133" i="33"/>
  <c r="BP130" i="33"/>
  <c r="BP176" i="33" s="1"/>
  <c r="BP141" i="33"/>
  <c r="BI129" i="33"/>
  <c r="BI175" i="33" s="1"/>
  <c r="BI140" i="33"/>
  <c r="DG129" i="33"/>
  <c r="DG175" i="33" s="1"/>
  <c r="DG140" i="33"/>
  <c r="DO124" i="33"/>
  <c r="DO170" i="33" s="1"/>
  <c r="DO135" i="33"/>
  <c r="DM128" i="33"/>
  <c r="DM174" i="33" s="1"/>
  <c r="DM139" i="33"/>
  <c r="CS127" i="33"/>
  <c r="CS173" i="33" s="1"/>
  <c r="CS138" i="33"/>
  <c r="BD122" i="33"/>
  <c r="BD168" i="33" s="1"/>
  <c r="BD133" i="33"/>
  <c r="AW151" i="33"/>
  <c r="AW75" i="33"/>
  <c r="EB123" i="33"/>
  <c r="EB169" i="33" s="1"/>
  <c r="EB134" i="33"/>
  <c r="DK121" i="33"/>
  <c r="DK167" i="33" s="1"/>
  <c r="DK132" i="33"/>
  <c r="DL121" i="33"/>
  <c r="DL167" i="33" s="1"/>
  <c r="DL132" i="33"/>
  <c r="CW129" i="33"/>
  <c r="CW175" i="33" s="1"/>
  <c r="CW140" i="33"/>
  <c r="CQ128" i="33"/>
  <c r="CQ174" i="33" s="1"/>
  <c r="CQ139" i="33"/>
  <c r="DP129" i="33"/>
  <c r="DP175" i="33" s="1"/>
  <c r="DP140" i="33"/>
  <c r="DX124" i="33"/>
  <c r="DX170" i="33" s="1"/>
  <c r="DX135" i="33"/>
  <c r="DN128" i="33"/>
  <c r="DN174" i="33" s="1"/>
  <c r="DN139" i="33"/>
  <c r="CI122" i="33"/>
  <c r="CI168" i="33" s="1"/>
  <c r="CI133" i="33"/>
  <c r="CQ123" i="33"/>
  <c r="CQ169" i="33" s="1"/>
  <c r="CQ134" i="33"/>
  <c r="CC122" i="33"/>
  <c r="CC168" i="33" s="1"/>
  <c r="CC133" i="33"/>
  <c r="BN130" i="33"/>
  <c r="BN176" i="33" s="1"/>
  <c r="BN141" i="33"/>
  <c r="BO130" i="33"/>
  <c r="BO176" i="33" s="1"/>
  <c r="BO141" i="33"/>
  <c r="BH129" i="33"/>
  <c r="BH175" i="33" s="1"/>
  <c r="BH140" i="33"/>
  <c r="BA128" i="33"/>
  <c r="BA174" i="33" s="1"/>
  <c r="BA139" i="33"/>
  <c r="DY127" i="33"/>
  <c r="DY173" i="33" s="1"/>
  <c r="DY138" i="33"/>
  <c r="DH123" i="33"/>
  <c r="DH169" i="33" s="1"/>
  <c r="DH134" i="33"/>
  <c r="DF127" i="33"/>
  <c r="DF173" i="33" s="1"/>
  <c r="DF138" i="33"/>
  <c r="DX121" i="33"/>
  <c r="DX167" i="33" s="1"/>
  <c r="DX132" i="33"/>
  <c r="AV153" i="33"/>
  <c r="AV77" i="33"/>
  <c r="BM121" i="33"/>
  <c r="BM167" i="33" s="1"/>
  <c r="BM132" i="33"/>
  <c r="DX127" i="33"/>
  <c r="DX173" i="33" s="1"/>
  <c r="DX138" i="33"/>
  <c r="EA121" i="33"/>
  <c r="EA167" i="33" s="1"/>
  <c r="EA132" i="33"/>
  <c r="EB121" i="33"/>
  <c r="EB167" i="33" s="1"/>
  <c r="EB132" i="33"/>
  <c r="CN130" i="33"/>
  <c r="CN176" i="33" s="1"/>
  <c r="CN141" i="33"/>
  <c r="CH129" i="33"/>
  <c r="CH175" i="33" s="1"/>
  <c r="CH140" i="33"/>
  <c r="DG130" i="33"/>
  <c r="DG176" i="33" s="1"/>
  <c r="DG141" i="33"/>
  <c r="DO125" i="33"/>
  <c r="DO171" i="33" s="1"/>
  <c r="DO136" i="33"/>
  <c r="DE129" i="33"/>
  <c r="DE175" i="33" s="1"/>
  <c r="DE140" i="33"/>
  <c r="D269" i="33"/>
  <c r="O254" i="33"/>
  <c r="CR121" i="33"/>
  <c r="CR167" i="33" s="1"/>
  <c r="CR132" i="33"/>
  <c r="BR130" i="33"/>
  <c r="BR176" i="33" s="1"/>
  <c r="BR141" i="33"/>
  <c r="CC128" i="33"/>
  <c r="CC174" i="33" s="1"/>
  <c r="CC139" i="33"/>
  <c r="DX126" i="33"/>
  <c r="DX172" i="33" s="1"/>
  <c r="DX137" i="33"/>
  <c r="DF125" i="33"/>
  <c r="DF171" i="33" s="1"/>
  <c r="DF136" i="33"/>
  <c r="CM128" i="33"/>
  <c r="CM174" i="33" s="1"/>
  <c r="CM139" i="33"/>
  <c r="BJ129" i="33"/>
  <c r="BJ175" i="33" s="1"/>
  <c r="BJ140" i="33"/>
  <c r="DE125" i="33"/>
  <c r="DE171" i="33" s="1"/>
  <c r="DE136" i="33"/>
  <c r="DF122" i="33"/>
  <c r="DF168" i="33" s="1"/>
  <c r="DF133" i="33"/>
  <c r="DT129" i="33"/>
  <c r="DT175" i="33" s="1"/>
  <c r="DT140" i="33"/>
  <c r="BD125" i="33"/>
  <c r="BD171" i="33" s="1"/>
  <c r="BD136" i="33"/>
  <c r="BO122" i="33"/>
  <c r="BO168" i="33" s="1"/>
  <c r="BO133" i="33"/>
  <c r="CH125" i="33"/>
  <c r="CH171" i="33" s="1"/>
  <c r="CH136" i="33"/>
  <c r="CH122" i="33"/>
  <c r="CH168" i="33" s="1"/>
  <c r="CH133" i="33"/>
  <c r="BB129" i="33"/>
  <c r="BB175" i="33" s="1"/>
  <c r="BB140" i="33"/>
  <c r="CD125" i="33"/>
  <c r="CD171" i="33" s="1"/>
  <c r="CD136" i="33"/>
  <c r="BC130" i="33"/>
  <c r="BC176" i="33" s="1"/>
  <c r="BC141" i="33"/>
  <c r="CS122" i="33"/>
  <c r="CS168" i="33" s="1"/>
  <c r="CS133" i="33"/>
  <c r="BB125" i="33"/>
  <c r="BB171" i="33" s="1"/>
  <c r="CH128" i="33"/>
  <c r="CH174" i="33" s="1"/>
  <c r="CH139" i="33"/>
  <c r="AY130" i="33"/>
  <c r="AY176" i="33" s="1"/>
  <c r="AY141" i="33"/>
  <c r="BD127" i="33"/>
  <c r="BD173" i="33" s="1"/>
  <c r="BD138" i="33"/>
  <c r="DH127" i="33"/>
  <c r="DH173" i="33" s="1"/>
  <c r="DH138" i="33"/>
  <c r="DQ122" i="33"/>
  <c r="DQ168" i="33" s="1"/>
  <c r="DQ133" i="33"/>
  <c r="BN124" i="33"/>
  <c r="BN170" i="33" s="1"/>
  <c r="BN135" i="33"/>
  <c r="CW127" i="33"/>
  <c r="CW173" i="33" s="1"/>
  <c r="CW138" i="33"/>
  <c r="EA129" i="33"/>
  <c r="EA175" i="33" s="1"/>
  <c r="EA140" i="33"/>
  <c r="BI153" i="33"/>
  <c r="BI77" i="33"/>
  <c r="BK153" i="33"/>
  <c r="BK77" i="33"/>
  <c r="BL129" i="33"/>
  <c r="BL175" i="33" s="1"/>
  <c r="BL140" i="33"/>
  <c r="CT130" i="33"/>
  <c r="CT176" i="33" s="1"/>
  <c r="CT141" i="33"/>
  <c r="CP121" i="33"/>
  <c r="CP167" i="33" s="1"/>
  <c r="CP132" i="33"/>
  <c r="DR123" i="33"/>
  <c r="DR169" i="33" s="1"/>
  <c r="DR134" i="33"/>
  <c r="AX126" i="33"/>
  <c r="AX172" i="33" s="1"/>
  <c r="AX137" i="33"/>
  <c r="CE126" i="33"/>
  <c r="CE172" i="33" s="1"/>
  <c r="CE137" i="33"/>
  <c r="CU127" i="33"/>
  <c r="CU173" i="33" s="1"/>
  <c r="CU138" i="33"/>
  <c r="BG127" i="33"/>
  <c r="BG173" i="33" s="1"/>
  <c r="BG138" i="33"/>
  <c r="CP129" i="33"/>
  <c r="CP175" i="33" s="1"/>
  <c r="CP140" i="33"/>
  <c r="DT122" i="33"/>
  <c r="DT168" i="33" s="1"/>
  <c r="DT133" i="33"/>
  <c r="CO125" i="33"/>
  <c r="CO171" i="33" s="1"/>
  <c r="CO136" i="33"/>
  <c r="BJ122" i="33"/>
  <c r="BJ168" i="33" s="1"/>
  <c r="BJ133" i="33"/>
  <c r="AW153" i="33"/>
  <c r="AW77" i="33"/>
  <c r="CJ125" i="33"/>
  <c r="CJ171" i="33" s="1"/>
  <c r="CJ136" i="33"/>
  <c r="EA125" i="33"/>
  <c r="EA171" i="33" s="1"/>
  <c r="EA136" i="33"/>
  <c r="DT130" i="33"/>
  <c r="DT176" i="33" s="1"/>
  <c r="DT141" i="33"/>
  <c r="CO121" i="33"/>
  <c r="CO167" i="33" s="1"/>
  <c r="CO132" i="33"/>
  <c r="BR124" i="33"/>
  <c r="BR170" i="33" s="1"/>
  <c r="CX126" i="33"/>
  <c r="CX172" i="33" s="1"/>
  <c r="CX137" i="33"/>
  <c r="BA127" i="33"/>
  <c r="BA173" i="33" s="1"/>
  <c r="BA138" i="33"/>
  <c r="DE127" i="33"/>
  <c r="DE173" i="33" s="1"/>
  <c r="DE138" i="33"/>
  <c r="CT127" i="33"/>
  <c r="CT173" i="33" s="1"/>
  <c r="CT138" i="33"/>
  <c r="AV129" i="33"/>
  <c r="AV175" i="33" s="1"/>
  <c r="AV140" i="33"/>
  <c r="BM127" i="33"/>
  <c r="BM173" i="33" s="1"/>
  <c r="BM138" i="33"/>
  <c r="BF126" i="33"/>
  <c r="BF172" i="33" s="1"/>
  <c r="BF137" i="33"/>
  <c r="BG126" i="33"/>
  <c r="BG172" i="33" s="1"/>
  <c r="BG137" i="33"/>
  <c r="AZ125" i="33"/>
  <c r="AZ171" i="33" s="1"/>
  <c r="AZ136" i="33"/>
  <c r="BQ153" i="33"/>
  <c r="BQ77" i="33"/>
  <c r="DM123" i="33"/>
  <c r="DM169" i="33" s="1"/>
  <c r="DM134" i="33"/>
  <c r="DS127" i="33"/>
  <c r="DS173" i="33" s="1"/>
  <c r="DS138" i="33"/>
  <c r="EA122" i="33"/>
  <c r="EA168" i="33" s="1"/>
  <c r="EA133" i="33"/>
  <c r="CL127" i="33"/>
  <c r="CL173" i="33" s="1"/>
  <c r="CL138" i="33"/>
  <c r="BR125" i="33"/>
  <c r="BR171" i="33" s="1"/>
  <c r="BR136" i="33"/>
  <c r="CM127" i="33"/>
  <c r="CM173" i="33" s="1"/>
  <c r="CM138" i="33"/>
  <c r="CG126" i="33"/>
  <c r="CG172" i="33" s="1"/>
  <c r="CG137" i="33"/>
  <c r="CR124" i="33"/>
  <c r="CR170" i="33" s="1"/>
  <c r="CR135" i="33"/>
  <c r="CS124" i="33"/>
  <c r="CS170" i="33" s="1"/>
  <c r="CS135" i="33"/>
  <c r="CM123" i="33"/>
  <c r="CM169" i="33" s="1"/>
  <c r="CM134" i="33"/>
  <c r="CG122" i="33"/>
  <c r="CG168" i="33" s="1"/>
  <c r="CG133" i="33"/>
  <c r="DF123" i="33"/>
  <c r="DF169" i="33" s="1"/>
  <c r="DF134" i="33"/>
  <c r="DL127" i="33"/>
  <c r="DL173" i="33" s="1"/>
  <c r="DL138" i="33"/>
  <c r="DL122" i="33"/>
  <c r="DL168" i="33" s="1"/>
  <c r="DL133" i="33"/>
  <c r="BR152" i="33"/>
  <c r="BR76" i="33"/>
  <c r="AV125" i="33"/>
  <c r="AV171" i="33" s="1"/>
  <c r="AV136" i="33"/>
  <c r="BM153" i="33"/>
  <c r="BM160" i="33" s="1"/>
  <c r="BM161" i="33" s="1"/>
  <c r="BM162" i="33" s="1"/>
  <c r="BM77" i="33"/>
  <c r="BF122" i="33"/>
  <c r="BF168" i="33" s="1"/>
  <c r="BF133" i="33"/>
  <c r="BG122" i="33"/>
  <c r="BG168" i="33" s="1"/>
  <c r="BG133" i="33"/>
  <c r="AZ121" i="33"/>
  <c r="AZ167" i="33" s="1"/>
  <c r="AZ132" i="33"/>
  <c r="DS124" i="33"/>
  <c r="DS170" i="33" s="1"/>
  <c r="DS135" i="33"/>
  <c r="DF121" i="33"/>
  <c r="DF167" i="33" s="1"/>
  <c r="DF132" i="33"/>
  <c r="DO123" i="33"/>
  <c r="DO169" i="33" s="1"/>
  <c r="DO134" i="33"/>
  <c r="DM127" i="33"/>
  <c r="DM173" i="33" s="1"/>
  <c r="DM138" i="33"/>
  <c r="CY121" i="33"/>
  <c r="CY167" i="33" s="1"/>
  <c r="CY132" i="33"/>
  <c r="BB130" i="33"/>
  <c r="BB176" i="33" s="1"/>
  <c r="BB141" i="33"/>
  <c r="CF126" i="33"/>
  <c r="CF172" i="33" s="1"/>
  <c r="CF137" i="33"/>
  <c r="CY124" i="33"/>
  <c r="CY170" i="33" s="1"/>
  <c r="CY135" i="33"/>
  <c r="CK123" i="33"/>
  <c r="CK169" i="33" s="1"/>
  <c r="CK134" i="33"/>
  <c r="CL123" i="33"/>
  <c r="CL169" i="33" s="1"/>
  <c r="CL134" i="33"/>
  <c r="CF122" i="33"/>
  <c r="CF168" i="33" s="1"/>
  <c r="CF133" i="33"/>
  <c r="BQ130" i="33"/>
  <c r="BQ176" i="33" s="1"/>
  <c r="BQ141" i="33"/>
  <c r="DN130" i="33"/>
  <c r="DN176" i="33" s="1"/>
  <c r="DN141" i="33"/>
  <c r="DV125" i="33"/>
  <c r="DV171" i="33" s="1"/>
  <c r="DV136" i="33"/>
  <c r="EB129" i="33"/>
  <c r="EB175" i="33" s="1"/>
  <c r="EB140" i="33"/>
  <c r="BL125" i="33"/>
  <c r="BL171" i="33" s="1"/>
  <c r="BL136" i="33"/>
  <c r="BE124" i="33"/>
  <c r="BE170" i="33" s="1"/>
  <c r="BE135" i="33"/>
  <c r="AX153" i="33"/>
  <c r="AX77" i="33"/>
  <c r="AY153" i="33"/>
  <c r="AY77" i="33"/>
  <c r="BP151" i="33"/>
  <c r="BP75" i="33"/>
  <c r="DO128" i="33"/>
  <c r="DO174" i="33" s="1"/>
  <c r="DO139" i="33"/>
  <c r="DV121" i="33"/>
  <c r="DV167" i="33" s="1"/>
  <c r="DV132" i="33"/>
  <c r="DF124" i="33"/>
  <c r="DF170" i="33" s="1"/>
  <c r="DF135" i="33"/>
  <c r="DL128" i="33"/>
  <c r="DL174" i="33" s="1"/>
  <c r="DL139" i="33"/>
  <c r="DM125" i="33"/>
  <c r="DM171" i="33" s="1"/>
  <c r="DM136" i="33"/>
  <c r="CM126" i="33"/>
  <c r="CM172" i="33" s="1"/>
  <c r="CM137" i="33"/>
  <c r="CU123" i="33"/>
  <c r="CU169" i="33" s="1"/>
  <c r="CU134" i="33"/>
  <c r="CM125" i="33"/>
  <c r="CM171" i="33" s="1"/>
  <c r="CM136" i="33"/>
  <c r="CV124" i="33"/>
  <c r="CV170" i="33" s="1"/>
  <c r="CV135" i="33"/>
  <c r="DT125" i="33"/>
  <c r="DT171" i="33" s="1"/>
  <c r="DT136" i="33"/>
  <c r="BI121" i="33"/>
  <c r="BI167" i="33" s="1"/>
  <c r="BI132" i="33"/>
  <c r="CD123" i="33"/>
  <c r="CD169" i="33" s="1"/>
  <c r="CD134" i="33"/>
  <c r="DV130" i="33"/>
  <c r="DV176" i="33" s="1"/>
  <c r="DV141" i="33"/>
  <c r="CG121" i="33"/>
  <c r="CG167" i="33" s="1"/>
  <c r="CG132" i="33"/>
  <c r="CO124" i="33"/>
  <c r="CO170" i="33" s="1"/>
  <c r="CO135" i="33"/>
  <c r="DK126" i="33"/>
  <c r="DK172" i="33" s="1"/>
  <c r="DK137" i="33"/>
  <c r="CL121" i="33"/>
  <c r="CL167" i="33" s="1"/>
  <c r="CL132" i="33"/>
  <c r="AX130" i="33"/>
  <c r="AX176" i="33" s="1"/>
  <c r="AX141" i="33"/>
  <c r="CF128" i="33"/>
  <c r="CF174" i="33" s="1"/>
  <c r="CF139" i="33"/>
  <c r="CW124" i="33"/>
  <c r="CW170" i="33" s="1"/>
  <c r="CW135" i="33"/>
  <c r="BH153" i="33"/>
  <c r="BH77" i="33"/>
  <c r="BQ129" i="33"/>
  <c r="BQ175" i="33" s="1"/>
  <c r="BQ140" i="33"/>
  <c r="CR130" i="33"/>
  <c r="CR176" i="33" s="1"/>
  <c r="CR141" i="33"/>
  <c r="DI125" i="33"/>
  <c r="DI171" i="33" s="1"/>
  <c r="DI136" i="33"/>
  <c r="DS129" i="33"/>
  <c r="DS175" i="33" s="1"/>
  <c r="DS140" i="33"/>
  <c r="CM122" i="33"/>
  <c r="CM168" i="33" s="1"/>
  <c r="CM133" i="33"/>
  <c r="CY122" i="33"/>
  <c r="CY168" i="33" s="1"/>
  <c r="CY133" i="33"/>
  <c r="CR127" i="33"/>
  <c r="CR173" i="33" s="1"/>
  <c r="CR138" i="33"/>
  <c r="CE125" i="33"/>
  <c r="CE171" i="33" s="1"/>
  <c r="CE136" i="33"/>
  <c r="CV126" i="33"/>
  <c r="CV172" i="33" s="1"/>
  <c r="CV137" i="33"/>
  <c r="AY127" i="33"/>
  <c r="AY173" i="33" s="1"/>
  <c r="AY138" i="33"/>
  <c r="CI128" i="33"/>
  <c r="CI174" i="33" s="1"/>
  <c r="CI139" i="33"/>
  <c r="DS130" i="33"/>
  <c r="DS176" i="33" s="1"/>
  <c r="DS141" i="33"/>
  <c r="AY126" i="33"/>
  <c r="AY172" i="33" s="1"/>
  <c r="AY137" i="33"/>
  <c r="BB121" i="33"/>
  <c r="BB167" i="33" s="1"/>
  <c r="BB132" i="33"/>
  <c r="AW152" i="33"/>
  <c r="AW76" i="33"/>
  <c r="CB125" i="33"/>
  <c r="CB171" i="33" s="1"/>
  <c r="CB136" i="33"/>
  <c r="DT124" i="33"/>
  <c r="DT170" i="33" s="1"/>
  <c r="DT135" i="33"/>
  <c r="DM129" i="33"/>
  <c r="DM175" i="33" s="1"/>
  <c r="DM140" i="33"/>
  <c r="CL130" i="33"/>
  <c r="CL176" i="33" s="1"/>
  <c r="CL141" i="33"/>
  <c r="CY129" i="33"/>
  <c r="CY175" i="33" s="1"/>
  <c r="CY140" i="33"/>
  <c r="AW130" i="33"/>
  <c r="AW176" i="33" s="1"/>
  <c r="AW141" i="33"/>
  <c r="DG128" i="33"/>
  <c r="DG174" i="33" s="1"/>
  <c r="DG139" i="33"/>
  <c r="DV123" i="33"/>
  <c r="DV169" i="33" s="1"/>
  <c r="DV134" i="33"/>
  <c r="DZ127" i="33"/>
  <c r="DZ173" i="33" s="1"/>
  <c r="DZ138" i="33"/>
  <c r="BA130" i="33"/>
  <c r="BA176" i="33" s="1"/>
  <c r="BA141" i="33"/>
  <c r="BK127" i="33"/>
  <c r="BK173" i="33" s="1"/>
  <c r="BK138" i="33"/>
  <c r="CJ122" i="33"/>
  <c r="CJ168" i="33" s="1"/>
  <c r="CJ133" i="33"/>
  <c r="AY152" i="33"/>
  <c r="AY76" i="33"/>
  <c r="CE124" i="33"/>
  <c r="CE170" i="33" s="1"/>
  <c r="CE135" i="33"/>
  <c r="DG126" i="33"/>
  <c r="DG172" i="33" s="1"/>
  <c r="DG137" i="33"/>
  <c r="BS126" i="33"/>
  <c r="BS172" i="33" s="1"/>
  <c r="BS137" i="33"/>
  <c r="CS121" i="33"/>
  <c r="CS167" i="33" s="1"/>
  <c r="CS132" i="33"/>
  <c r="BE130" i="33"/>
  <c r="BE176" i="33" s="1"/>
  <c r="BE141" i="33"/>
  <c r="AX129" i="33"/>
  <c r="AX175" i="33" s="1"/>
  <c r="AX140" i="33"/>
  <c r="AY129" i="33"/>
  <c r="AY175" i="33" s="1"/>
  <c r="AY140" i="33"/>
  <c r="BP127" i="33"/>
  <c r="BP173" i="33" s="1"/>
  <c r="BP138" i="33"/>
  <c r="BI126" i="33"/>
  <c r="BI172" i="33" s="1"/>
  <c r="BI137" i="33"/>
  <c r="DJ126" i="33"/>
  <c r="DJ172" i="33" s="1"/>
  <c r="DJ137" i="33"/>
  <c r="DH130" i="33"/>
  <c r="DH176" i="33" s="1"/>
  <c r="DH141" i="33"/>
  <c r="DP125" i="33"/>
  <c r="DP171" i="33" s="1"/>
  <c r="DP136" i="33"/>
  <c r="BK122" i="33"/>
  <c r="BK168" i="33" s="1"/>
  <c r="BK133" i="33"/>
  <c r="CV125" i="33"/>
  <c r="CV171" i="33" s="1"/>
  <c r="CV136" i="33"/>
  <c r="CB130" i="33"/>
  <c r="CB176" i="33" s="1"/>
  <c r="CB141" i="33"/>
  <c r="CU128" i="33"/>
  <c r="CU174" i="33" s="1"/>
  <c r="CU139" i="33"/>
  <c r="CO127" i="33"/>
  <c r="CO173" i="33" s="1"/>
  <c r="CO138" i="33"/>
  <c r="CP127" i="33"/>
  <c r="CP173" i="33" s="1"/>
  <c r="CP138" i="33"/>
  <c r="CB126" i="33"/>
  <c r="CB172" i="33" s="1"/>
  <c r="CB137" i="33"/>
  <c r="CU124" i="33"/>
  <c r="CU170" i="33" s="1"/>
  <c r="CU135" i="33"/>
  <c r="EB125" i="33"/>
  <c r="EB171" i="33" s="1"/>
  <c r="EB136" i="33"/>
  <c r="DZ129" i="33"/>
  <c r="DZ175" i="33" s="1"/>
  <c r="DZ140" i="33"/>
  <c r="DZ124" i="33"/>
  <c r="DZ170" i="33" s="1"/>
  <c r="DZ135" i="33"/>
  <c r="CH123" i="33"/>
  <c r="CH169" i="33" s="1"/>
  <c r="CH134" i="33"/>
  <c r="BL127" i="33"/>
  <c r="BL173" i="33" s="1"/>
  <c r="BL138" i="33"/>
  <c r="BE126" i="33"/>
  <c r="BE172" i="33" s="1"/>
  <c r="BE137" i="33"/>
  <c r="AX125" i="33"/>
  <c r="AX171" i="33" s="1"/>
  <c r="AX136" i="33"/>
  <c r="BP153" i="33"/>
  <c r="BP77" i="33"/>
  <c r="BI122" i="33"/>
  <c r="BI168" i="33" s="1"/>
  <c r="BI133" i="33"/>
  <c r="DU130" i="33"/>
  <c r="DU176" i="33" s="1"/>
  <c r="DU141" i="33"/>
  <c r="DL126" i="33"/>
  <c r="DL172" i="33" s="1"/>
  <c r="DL137" i="33"/>
  <c r="DJ130" i="33"/>
  <c r="DJ176" i="33" s="1"/>
  <c r="DJ141" i="33"/>
  <c r="BB122" i="33"/>
  <c r="BB168" i="33" s="1"/>
  <c r="BB133" i="33"/>
  <c r="CI121" i="33"/>
  <c r="CI167" i="33" s="1"/>
  <c r="CI132" i="33"/>
  <c r="CT128" i="33"/>
  <c r="CT174" i="33" s="1"/>
  <c r="CT139" i="33"/>
  <c r="CN127" i="33"/>
  <c r="CN173" i="33" s="1"/>
  <c r="CN138" i="33"/>
  <c r="CH126" i="33"/>
  <c r="CH172" i="33" s="1"/>
  <c r="CH137" i="33"/>
  <c r="CI126" i="33"/>
  <c r="CI172" i="33" s="1"/>
  <c r="CI137" i="33"/>
  <c r="CT124" i="33"/>
  <c r="CT170" i="33" s="1"/>
  <c r="CT135" i="33"/>
  <c r="CN123" i="33"/>
  <c r="CN169" i="33" s="1"/>
  <c r="CN134" i="33"/>
  <c r="DM124" i="33"/>
  <c r="DM170" i="33" s="1"/>
  <c r="DM135" i="33"/>
  <c r="DS128" i="33"/>
  <c r="DS174" i="33" s="1"/>
  <c r="DS139" i="33"/>
  <c r="DS123" i="33"/>
  <c r="DS169" i="33" s="1"/>
  <c r="DS134" i="33"/>
  <c r="CN125" i="33"/>
  <c r="CN171" i="33" s="1"/>
  <c r="CN136" i="33"/>
  <c r="BD128" i="33"/>
  <c r="BD174" i="33" s="1"/>
  <c r="BD139" i="33"/>
  <c r="AW127" i="33"/>
  <c r="AW173" i="33" s="1"/>
  <c r="AW138" i="33"/>
  <c r="BN125" i="33"/>
  <c r="BN171" i="33" s="1"/>
  <c r="BN136" i="33"/>
  <c r="BO125" i="33"/>
  <c r="BO171" i="33" s="1"/>
  <c r="BO136" i="33"/>
  <c r="BH124" i="33"/>
  <c r="BH170" i="33" s="1"/>
  <c r="BH135" i="33"/>
  <c r="BA153" i="33"/>
  <c r="BA77" i="33"/>
  <c r="DV122" i="33"/>
  <c r="DV168" i="33" s="1"/>
  <c r="DV133" i="33"/>
  <c r="EB126" i="33"/>
  <c r="EB172" i="33" s="1"/>
  <c r="EB137" i="33"/>
  <c r="DZ130" i="33"/>
  <c r="DZ176" i="33" s="1"/>
  <c r="DZ141" i="33"/>
  <c r="O261" i="33"/>
  <c r="CS130" i="33"/>
  <c r="CS176" i="33" s="1"/>
  <c r="CS141" i="33"/>
  <c r="DW128" i="33"/>
  <c r="DW174" i="33" s="1"/>
  <c r="DW139" i="33"/>
  <c r="CQ121" i="33"/>
  <c r="CQ167" i="33" s="1"/>
  <c r="CQ132" i="33"/>
  <c r="BJ128" i="33"/>
  <c r="BJ174" i="33" s="1"/>
  <c r="BJ139" i="33"/>
  <c r="DE130" i="33"/>
  <c r="DE176" i="33" s="1"/>
  <c r="DE141" i="33"/>
  <c r="CH127" i="33"/>
  <c r="CH173" i="33" s="1"/>
  <c r="CH138" i="33"/>
  <c r="AX124" i="33"/>
  <c r="AX170" i="33" s="1"/>
  <c r="AX135" i="33"/>
  <c r="BI130" i="33"/>
  <c r="BI176" i="33" s="1"/>
  <c r="BI141" i="33"/>
  <c r="CS123" i="33"/>
  <c r="CS169" i="33" s="1"/>
  <c r="CS134" i="33"/>
  <c r="DL123" i="33"/>
  <c r="DL169" i="33" s="1"/>
  <c r="DL134" i="33"/>
  <c r="CR122" i="33"/>
  <c r="CR168" i="33" s="1"/>
  <c r="CR133" i="33"/>
  <c r="DT128" i="33"/>
  <c r="DT174" i="33" s="1"/>
  <c r="DT139" i="33"/>
  <c r="CL125" i="33"/>
  <c r="CL171" i="33" s="1"/>
  <c r="CL136" i="33"/>
  <c r="DI127" i="33"/>
  <c r="DI173" i="33" s="1"/>
  <c r="DI138" i="33"/>
  <c r="CR129" i="33"/>
  <c r="CR175" i="33" s="1"/>
  <c r="CR140" i="33"/>
  <c r="BQ151" i="33"/>
  <c r="BQ75" i="33"/>
  <c r="CB129" i="33"/>
  <c r="CB175" i="33" s="1"/>
  <c r="CB140" i="33"/>
  <c r="CD129" i="33"/>
  <c r="CD175" i="33" s="1"/>
  <c r="CD140" i="33"/>
  <c r="BM124" i="33"/>
  <c r="BM170" i="33" s="1"/>
  <c r="BM135" i="33"/>
  <c r="CD126" i="33"/>
  <c r="CD172" i="33" s="1"/>
  <c r="CD137" i="33"/>
  <c r="AZ130" i="33"/>
  <c r="AZ176" i="33" s="1"/>
  <c r="AZ141" i="33"/>
  <c r="CI130" i="33"/>
  <c r="CI176" i="33" s="1"/>
  <c r="CI141" i="33"/>
  <c r="DW129" i="33"/>
  <c r="DW175" i="33" s="1"/>
  <c r="DW140" i="33"/>
  <c r="BJ153" i="33"/>
  <c r="BJ77" i="33"/>
  <c r="DN129" i="33"/>
  <c r="DN175" i="33" s="1"/>
  <c r="DN140" i="33"/>
  <c r="CC124" i="33"/>
  <c r="CC170" i="33" s="1"/>
  <c r="CC135" i="33"/>
  <c r="DL124" i="33"/>
  <c r="DL170" i="33" s="1"/>
  <c r="DL135" i="33"/>
  <c r="DF128" i="33"/>
  <c r="DF174" i="33" s="1"/>
  <c r="DF139" i="33"/>
  <c r="CG129" i="33"/>
  <c r="CG175" i="33" s="1"/>
  <c r="CG140" i="33"/>
  <c r="CR128" i="33"/>
  <c r="CR174" i="33" s="1"/>
  <c r="CR139" i="33"/>
  <c r="BM128" i="33"/>
  <c r="BM174" i="33" s="1"/>
  <c r="BM139" i="33"/>
  <c r="DK122" i="33"/>
  <c r="DK168" i="33" s="1"/>
  <c r="DK133" i="33"/>
  <c r="DN123" i="33"/>
  <c r="DN169" i="33" s="1"/>
  <c r="DN134" i="33"/>
  <c r="DO129" i="33"/>
  <c r="DO175" i="33" s="1"/>
  <c r="DO140" i="33"/>
  <c r="DH124" i="33"/>
  <c r="DH170" i="33" s="1"/>
  <c r="DH135" i="33"/>
  <c r="DO121" i="33"/>
  <c r="DO167" i="33" s="1"/>
  <c r="DO132" i="33"/>
  <c r="CW126" i="33"/>
  <c r="CW172" i="33" s="1"/>
  <c r="CW137" i="33"/>
  <c r="BH127" i="33"/>
  <c r="BH173" i="33" s="1"/>
  <c r="BH138" i="33"/>
  <c r="DX122" i="33"/>
  <c r="DX168" i="33" s="1"/>
  <c r="DX133" i="33"/>
  <c r="DU128" i="33"/>
  <c r="DU174" i="33" s="1"/>
  <c r="DU139" i="33"/>
  <c r="DE123" i="33"/>
  <c r="DE169" i="33" s="1"/>
  <c r="DE134" i="33"/>
  <c r="CK128" i="33"/>
  <c r="CK174" i="33" s="1"/>
  <c r="CK139" i="33"/>
  <c r="CK129" i="33"/>
  <c r="CK175" i="33" s="1"/>
  <c r="CK140" i="33"/>
  <c r="BO129" i="33"/>
  <c r="BO175" i="33" s="1"/>
  <c r="BO140" i="33"/>
  <c r="CW130" i="33"/>
  <c r="CW176" i="33" s="1"/>
  <c r="CW141" i="33"/>
  <c r="DJ124" i="33"/>
  <c r="DJ170" i="33" s="1"/>
  <c r="DJ135" i="33"/>
  <c r="CU125" i="33"/>
  <c r="CU171" i="33" s="1"/>
  <c r="CU136" i="33"/>
  <c r="CP124" i="33"/>
  <c r="CP170" i="33" s="1"/>
  <c r="CP135" i="33"/>
  <c r="CB123" i="33"/>
  <c r="CB169" i="33" s="1"/>
  <c r="CB134" i="33"/>
  <c r="CU121" i="33"/>
  <c r="CU167" i="33" s="1"/>
  <c r="CU132" i="33"/>
  <c r="CV121" i="33"/>
  <c r="CV167" i="33" s="1"/>
  <c r="CV132" i="33"/>
  <c r="BH130" i="33"/>
  <c r="BH176" i="33" s="1"/>
  <c r="BH141" i="33"/>
  <c r="BA129" i="33"/>
  <c r="BA175" i="33" s="1"/>
  <c r="BA140" i="33"/>
  <c r="DX128" i="33"/>
  <c r="DX174" i="33" s="1"/>
  <c r="DX139" i="33"/>
  <c r="DG124" i="33"/>
  <c r="DG170" i="33" s="1"/>
  <c r="DG135" i="33"/>
  <c r="DE128" i="33"/>
  <c r="DE174" i="33" s="1"/>
  <c r="DE139" i="33"/>
  <c r="CG124" i="33"/>
  <c r="CG170" i="33" s="1"/>
  <c r="CG135" i="33"/>
  <c r="BD121" i="33"/>
  <c r="BD167" i="33" s="1"/>
  <c r="BD132" i="33"/>
  <c r="DR125" i="33"/>
  <c r="DR171" i="33" s="1"/>
  <c r="DR136" i="33"/>
  <c r="DR121" i="33"/>
  <c r="DR167" i="33" s="1"/>
  <c r="DR132" i="33"/>
  <c r="CD130" i="33"/>
  <c r="CD176" i="33" s="1"/>
  <c r="CD141" i="33"/>
  <c r="CE130" i="33"/>
  <c r="CE176" i="33" s="1"/>
  <c r="CE141" i="33"/>
  <c r="CX128" i="33"/>
  <c r="CX174" i="33" s="1"/>
  <c r="CX139" i="33"/>
  <c r="CJ127" i="33"/>
  <c r="CJ173" i="33" s="1"/>
  <c r="CJ138" i="33"/>
  <c r="DQ128" i="33"/>
  <c r="DQ174" i="33" s="1"/>
  <c r="DQ139" i="33"/>
  <c r="DY123" i="33"/>
  <c r="DY169" i="33" s="1"/>
  <c r="DY134" i="33"/>
  <c r="DO127" i="33"/>
  <c r="DO173" i="33" s="1"/>
  <c r="DO138" i="33"/>
  <c r="BK121" i="33"/>
  <c r="BK167" i="33" s="1"/>
  <c r="BK132" i="33"/>
  <c r="BD130" i="33"/>
  <c r="BD176" i="33" s="1"/>
  <c r="BD141" i="33"/>
  <c r="AW129" i="33"/>
  <c r="AW175" i="33" s="1"/>
  <c r="AW140" i="33"/>
  <c r="BN127" i="33"/>
  <c r="BN173" i="33" s="1"/>
  <c r="BN138" i="33"/>
  <c r="BO127" i="33"/>
  <c r="BO173" i="33" s="1"/>
  <c r="BO138" i="33"/>
  <c r="BH126" i="33"/>
  <c r="BH172" i="33" s="1"/>
  <c r="BH137" i="33"/>
  <c r="BA125" i="33"/>
  <c r="BA171" i="33" s="1"/>
  <c r="BA136" i="33"/>
  <c r="EB124" i="33"/>
  <c r="EB170" i="33" s="1"/>
  <c r="EB135" i="33"/>
  <c r="DZ128" i="33"/>
  <c r="DZ174" i="33" s="1"/>
  <c r="DZ139" i="33"/>
  <c r="DI124" i="33"/>
  <c r="DI170" i="33" s="1"/>
  <c r="DI135" i="33"/>
  <c r="BS127" i="33"/>
  <c r="BS173" i="33" s="1"/>
  <c r="BS138" i="33"/>
  <c r="DG121" i="33"/>
  <c r="DG167" i="33" s="1"/>
  <c r="DG132" i="33"/>
  <c r="DQ121" i="33"/>
  <c r="DQ167" i="33" s="1"/>
  <c r="DQ132" i="33"/>
  <c r="CC130" i="33"/>
  <c r="CC176" i="33" s="1"/>
  <c r="CC141" i="33"/>
  <c r="CV128" i="33"/>
  <c r="CV174" i="33" s="1"/>
  <c r="CV139" i="33"/>
  <c r="CW128" i="33"/>
  <c r="CW174" i="33" s="1"/>
  <c r="CW139" i="33"/>
  <c r="CQ127" i="33"/>
  <c r="CQ173" i="33" s="1"/>
  <c r="CQ138" i="33"/>
  <c r="CC126" i="33"/>
  <c r="CC172" i="33" s="1"/>
  <c r="CC137" i="33"/>
  <c r="DJ127" i="33"/>
  <c r="DJ173" i="33" s="1"/>
  <c r="DJ138" i="33"/>
  <c r="DR122" i="33"/>
  <c r="DR168" i="33" s="1"/>
  <c r="DR133" i="33"/>
  <c r="DH126" i="33"/>
  <c r="DH172" i="33" s="1"/>
  <c r="DH137" i="33"/>
  <c r="BC124" i="33"/>
  <c r="BC170" i="33" s="1"/>
  <c r="BC135" i="33"/>
  <c r="CC121" i="33"/>
  <c r="CC167" i="33" s="1"/>
  <c r="CC132" i="33"/>
  <c r="BM129" i="33"/>
  <c r="BM175" i="33" s="1"/>
  <c r="BM140" i="33"/>
  <c r="BF128" i="33"/>
  <c r="BF174" i="33" s="1"/>
  <c r="BF139" i="33"/>
  <c r="BG128" i="33"/>
  <c r="BG174" i="33" s="1"/>
  <c r="BG139" i="33"/>
  <c r="AZ127" i="33"/>
  <c r="AZ173" i="33" s="1"/>
  <c r="AZ138" i="33"/>
  <c r="DS125" i="33"/>
  <c r="DS171" i="33" s="1"/>
  <c r="DS136" i="33"/>
  <c r="DQ129" i="33"/>
  <c r="DQ175" i="33" s="1"/>
  <c r="DQ140" i="33"/>
  <c r="DY124" i="33"/>
  <c r="DY170" i="33" s="1"/>
  <c r="DY135" i="33"/>
  <c r="D266" i="33"/>
  <c r="CM129" i="33"/>
  <c r="CM175" i="33" s="1"/>
  <c r="CM140" i="33"/>
  <c r="DZ121" i="33"/>
  <c r="DZ167" i="33" s="1"/>
  <c r="DZ132" i="33"/>
  <c r="CX123" i="33"/>
  <c r="CX169" i="33" s="1"/>
  <c r="CX134" i="33"/>
  <c r="BN128" i="33"/>
  <c r="BN174" i="33" s="1"/>
  <c r="BN139" i="33"/>
  <c r="BC121" i="33"/>
  <c r="BC167" i="33" s="1"/>
  <c r="BC132" i="33"/>
  <c r="CM124" i="33"/>
  <c r="CM170" i="33" s="1"/>
  <c r="CM135" i="33"/>
  <c r="BE125" i="33"/>
  <c r="BE171" i="33" s="1"/>
  <c r="BE136" i="33"/>
  <c r="CC123" i="33"/>
  <c r="CC169" i="33" s="1"/>
  <c r="CC134" i="33"/>
  <c r="CT123" i="33"/>
  <c r="CT169" i="33" s="1"/>
  <c r="CT134" i="33"/>
  <c r="O259" i="33"/>
  <c r="BF153" i="33"/>
  <c r="BF77" i="33"/>
  <c r="AW126" i="33"/>
  <c r="AW172" i="33" s="1"/>
  <c r="AW137" i="33"/>
  <c r="CQ129" i="33"/>
  <c r="CQ175" i="33" s="1"/>
  <c r="CQ140" i="33"/>
  <c r="CW123" i="33"/>
  <c r="CW169" i="33" s="1"/>
  <c r="CW134" i="33"/>
  <c r="AZ153" i="33"/>
  <c r="AZ77" i="33"/>
  <c r="BR127" i="33"/>
  <c r="BR173" i="33" s="1"/>
  <c r="BR138" i="33"/>
  <c r="BK130" i="33"/>
  <c r="BK176" i="33" s="1"/>
  <c r="BK141" i="33"/>
  <c r="DE122" i="33"/>
  <c r="DE168" i="33" s="1"/>
  <c r="DE133" i="33"/>
  <c r="AZ152" i="33"/>
  <c r="AZ76" i="33"/>
  <c r="CL122" i="33"/>
  <c r="CL168" i="33" s="1"/>
  <c r="CL133" i="33"/>
  <c r="BQ128" i="33"/>
  <c r="BQ174" i="33" s="1"/>
  <c r="BQ139" i="33"/>
  <c r="DP121" i="33"/>
  <c r="DP167" i="33" s="1"/>
  <c r="DP132" i="33"/>
  <c r="BI127" i="33"/>
  <c r="BI173" i="33" s="1"/>
  <c r="BI138" i="33"/>
  <c r="DP127" i="33"/>
  <c r="DP173" i="33" s="1"/>
  <c r="DP138" i="33"/>
  <c r="DK127" i="33"/>
  <c r="DK173" i="33" s="1"/>
  <c r="DK138" i="33"/>
  <c r="CL126" i="33"/>
  <c r="CL172" i="33" s="1"/>
  <c r="CL137" i="33"/>
  <c r="BE128" i="33"/>
  <c r="BE174" i="33" s="1"/>
  <c r="BE139" i="33"/>
  <c r="CU130" i="33"/>
  <c r="CU176" i="33" s="1"/>
  <c r="CU141" i="33"/>
  <c r="DO122" i="33"/>
  <c r="DO168" i="33" s="1"/>
  <c r="DO133" i="33"/>
  <c r="DI123" i="33"/>
  <c r="DI169" i="33" s="1"/>
  <c r="DI134" i="33"/>
  <c r="DS122" i="33"/>
  <c r="DS168" i="33" s="1"/>
  <c r="DS133" i="33"/>
  <c r="DJ125" i="33"/>
  <c r="DJ171" i="33" s="1"/>
  <c r="DJ136" i="33"/>
  <c r="CO126" i="33"/>
  <c r="CO172" i="33" s="1"/>
  <c r="CO137" i="33"/>
  <c r="AZ126" i="33"/>
  <c r="AZ172" i="33" s="1"/>
  <c r="AZ137" i="33"/>
  <c r="DO130" i="33"/>
  <c r="DO176" i="33" s="1"/>
  <c r="DO141" i="33"/>
  <c r="DW124" i="33"/>
  <c r="DW170" i="33" s="1"/>
  <c r="DW135" i="33"/>
  <c r="CJ128" i="33"/>
  <c r="CJ174" i="33" s="1"/>
  <c r="CJ139" i="33"/>
  <c r="BK125" i="33"/>
  <c r="BK171" i="33" s="1"/>
  <c r="BK136" i="33"/>
  <c r="BN121" i="33"/>
  <c r="BN167" i="33" s="1"/>
  <c r="BN132" i="33"/>
  <c r="CD124" i="33"/>
  <c r="CD170" i="33" s="1"/>
  <c r="CD135" i="33"/>
  <c r="DY129" i="33"/>
  <c r="DY175" i="33" s="1"/>
  <c r="DY140" i="33"/>
  <c r="BC122" i="33"/>
  <c r="BC168" i="33" s="1"/>
  <c r="BC133" i="33"/>
  <c r="DY128" i="33"/>
  <c r="DY174" i="33" s="1"/>
  <c r="DY139" i="33"/>
  <c r="BR153" i="33"/>
  <c r="BR77" i="33"/>
  <c r="BE153" i="33"/>
  <c r="BE160" i="33" s="1"/>
  <c r="BE161" i="33" s="1"/>
  <c r="BE162" i="33" s="1"/>
  <c r="BE77" i="33"/>
  <c r="CY126" i="33"/>
  <c r="CY172" i="33" s="1"/>
  <c r="CY137" i="33"/>
  <c r="DZ126" i="33"/>
  <c r="DZ172" i="33" s="1"/>
  <c r="DZ137" i="33"/>
  <c r="EB130" i="33"/>
  <c r="EB176" i="33" s="1"/>
  <c r="EB141" i="33"/>
  <c r="BJ124" i="33"/>
  <c r="BJ170" i="33" s="1"/>
  <c r="BJ135" i="33"/>
  <c r="CE127" i="33"/>
  <c r="CE173" i="33" s="1"/>
  <c r="CE138" i="33"/>
  <c r="CX125" i="33"/>
  <c r="CX171" i="33" s="1"/>
  <c r="CX136" i="33"/>
  <c r="CJ124" i="33"/>
  <c r="CJ170" i="33" s="1"/>
  <c r="CJ135" i="33"/>
  <c r="CK124" i="33"/>
  <c r="CK170" i="33" s="1"/>
  <c r="CK135" i="33"/>
  <c r="CE123" i="33"/>
  <c r="CE169" i="33" s="1"/>
  <c r="CE134" i="33"/>
  <c r="CX121" i="33"/>
  <c r="CX167" i="33" s="1"/>
  <c r="CX132" i="33"/>
  <c r="DW122" i="33"/>
  <c r="DW168" i="33" s="1"/>
  <c r="DW133" i="33"/>
  <c r="DU126" i="33"/>
  <c r="DU172" i="33" s="1"/>
  <c r="DU137" i="33"/>
  <c r="EA130" i="33"/>
  <c r="EA176" i="33" s="1"/>
  <c r="EA141" i="33"/>
  <c r="CX122" i="33"/>
  <c r="CX168" i="33" s="1"/>
  <c r="CX133" i="33"/>
  <c r="AV124" i="33"/>
  <c r="AV170" i="33" s="1"/>
  <c r="AV135" i="33"/>
  <c r="BM122" i="33"/>
  <c r="BM168" i="33" s="1"/>
  <c r="BM133" i="33"/>
  <c r="BF121" i="33"/>
  <c r="BF167" i="33" s="1"/>
  <c r="BF132" i="33"/>
  <c r="BG121" i="33"/>
  <c r="BG167" i="33" s="1"/>
  <c r="BG132" i="33"/>
  <c r="DI126" i="33"/>
  <c r="DI172" i="33" s="1"/>
  <c r="DI137" i="33"/>
  <c r="DM121" i="33"/>
  <c r="DM167" i="33" s="1"/>
  <c r="DM132" i="33"/>
  <c r="CG130" i="33"/>
  <c r="CG176" i="33" s="1"/>
  <c r="CG141" i="33"/>
  <c r="DP122" i="33"/>
  <c r="DP168" i="33" s="1"/>
  <c r="DP133" i="33"/>
  <c r="DN126" i="33"/>
  <c r="DN172" i="33" s="1"/>
  <c r="DN137" i="33"/>
  <c r="DL130" i="33"/>
  <c r="DL176" i="33" s="1"/>
  <c r="DL141" i="33"/>
  <c r="CB121" i="33"/>
  <c r="CB167" i="33" s="1"/>
  <c r="CB132" i="33"/>
  <c r="CI123" i="33"/>
  <c r="CI169" i="33" s="1"/>
  <c r="CI134" i="33"/>
  <c r="CT121" i="33"/>
  <c r="CT167" i="33" s="1"/>
  <c r="CT132" i="33"/>
  <c r="BF130" i="33"/>
  <c r="BF176" i="33" s="1"/>
  <c r="BF141" i="33"/>
  <c r="BG130" i="33"/>
  <c r="BG176" i="33" s="1"/>
  <c r="BG141" i="33"/>
  <c r="AZ129" i="33"/>
  <c r="AZ175" i="33" s="1"/>
  <c r="AZ140" i="33"/>
  <c r="BQ127" i="33"/>
  <c r="BQ173" i="33" s="1"/>
  <c r="BQ138" i="33"/>
  <c r="DQ127" i="33"/>
  <c r="DQ173" i="33" s="1"/>
  <c r="DQ138" i="33"/>
  <c r="DY122" i="33"/>
  <c r="DY168" i="33" s="1"/>
  <c r="DY133" i="33"/>
  <c r="DW126" i="33"/>
  <c r="DW172" i="33" s="1"/>
  <c r="DW137" i="33"/>
  <c r="CS128" i="33"/>
  <c r="CS174" i="33" s="1"/>
  <c r="CS139" i="33"/>
  <c r="BL122" i="33"/>
  <c r="BL168" i="33" s="1"/>
  <c r="BL133" i="33"/>
  <c r="BE121" i="33"/>
  <c r="BE167" i="33" s="1"/>
  <c r="BE132" i="33"/>
  <c r="DZ125" i="33"/>
  <c r="DZ171" i="33" s="1"/>
  <c r="DZ136" i="33"/>
  <c r="DS121" i="33"/>
  <c r="DS167" i="33" s="1"/>
  <c r="DS132" i="33"/>
  <c r="DT121" i="33"/>
  <c r="DT167" i="33" s="1"/>
  <c r="DT132" i="33"/>
  <c r="CF130" i="33"/>
  <c r="CF176" i="33" s="1"/>
  <c r="CF141" i="33"/>
  <c r="CY128" i="33"/>
  <c r="CY174" i="33" s="1"/>
  <c r="CY139" i="33"/>
  <c r="DX129" i="33"/>
  <c r="DX175" i="33" s="1"/>
  <c r="DX140" i="33"/>
  <c r="DG125" i="33"/>
  <c r="DG171" i="33" s="1"/>
  <c r="DG136" i="33"/>
  <c r="DV128" i="33"/>
  <c r="DV174" i="33" s="1"/>
  <c r="DV139" i="33"/>
  <c r="CO123" i="33"/>
  <c r="CO169" i="33" s="1"/>
  <c r="CO134" i="33"/>
  <c r="CY123" i="33"/>
  <c r="CY169" i="33" s="1"/>
  <c r="CY134" i="33"/>
  <c r="CK122" i="33"/>
  <c r="CK168" i="33" s="1"/>
  <c r="CK133" i="33"/>
  <c r="CE121" i="33"/>
  <c r="CE167" i="33" s="1"/>
  <c r="CE132" i="33"/>
  <c r="CF121" i="33"/>
  <c r="CF167" i="33" s="1"/>
  <c r="CF132" i="33"/>
  <c r="BP129" i="33"/>
  <c r="BP175" i="33" s="1"/>
  <c r="BP140" i="33"/>
  <c r="BI128" i="33"/>
  <c r="BI174" i="33" s="1"/>
  <c r="BI139" i="33"/>
  <c r="DH128" i="33"/>
  <c r="DH174" i="33" s="1"/>
  <c r="DH139" i="33"/>
  <c r="DP123" i="33"/>
  <c r="DP169" i="33" s="1"/>
  <c r="DP134" i="33"/>
  <c r="DN127" i="33"/>
  <c r="DN173" i="33" s="1"/>
  <c r="DN138" i="33"/>
  <c r="O256" i="33"/>
  <c r="CG128" i="33"/>
  <c r="CG174" i="33" s="1"/>
  <c r="CG139" i="33"/>
  <c r="DS126" i="33"/>
  <c r="DS172" i="33" s="1"/>
  <c r="DS137" i="33"/>
  <c r="CP125" i="33"/>
  <c r="CP171" i="33" s="1"/>
  <c r="CP136" i="33"/>
  <c r="EB127" i="33"/>
  <c r="EB173" i="33" s="1"/>
  <c r="EB138" i="33"/>
  <c r="CS129" i="33"/>
  <c r="CS175" i="33" s="1"/>
  <c r="CS140" i="33"/>
  <c r="DR124" i="33"/>
  <c r="DR170" i="33" s="1"/>
  <c r="DR135" i="33"/>
  <c r="EA124" i="33"/>
  <c r="EA170" i="33" s="1"/>
  <c r="EA135" i="33"/>
  <c r="BJ130" i="33"/>
  <c r="BJ176" i="33" s="1"/>
  <c r="BJ141" i="33"/>
  <c r="DF130" i="33"/>
  <c r="DF176" i="33" s="1"/>
  <c r="DF141" i="33"/>
  <c r="BB124" i="33"/>
  <c r="BB170" i="33" s="1"/>
  <c r="BB135" i="33"/>
  <c r="BN122" i="33"/>
  <c r="BN168" i="33" s="1"/>
  <c r="BN133" i="33"/>
  <c r="DQ126" i="33"/>
  <c r="DQ172" i="33" s="1"/>
  <c r="DQ137" i="33"/>
  <c r="DN121" i="33"/>
  <c r="DN167" i="33" s="1"/>
  <c r="DN132" i="33"/>
  <c r="DW123" i="33"/>
  <c r="DW169" i="33" s="1"/>
  <c r="DW134" i="33"/>
  <c r="DU127" i="33"/>
  <c r="DU173" i="33" s="1"/>
  <c r="DU138" i="33"/>
  <c r="CF124" i="33"/>
  <c r="CF170" i="33" s="1"/>
  <c r="CF135" i="33"/>
  <c r="BR151" i="33"/>
  <c r="BR75" i="33"/>
  <c r="CN126" i="33"/>
  <c r="CN172" i="33" s="1"/>
  <c r="CN137" i="33"/>
  <c r="DK130" i="33"/>
  <c r="DK176" i="33" s="1"/>
  <c r="DK141" i="33"/>
  <c r="CI129" i="33"/>
  <c r="CI175" i="33" s="1"/>
  <c r="CI140" i="33"/>
  <c r="DW127" i="33"/>
  <c r="DW173" i="33" s="1"/>
  <c r="DW138" i="33"/>
  <c r="DV129" i="33"/>
  <c r="DV175" i="33" s="1"/>
  <c r="DV140" i="33"/>
  <c r="DU121" i="33"/>
  <c r="DU167" i="33" s="1"/>
  <c r="DU132" i="33"/>
  <c r="DL125" i="33"/>
  <c r="DL171" i="33" s="1"/>
  <c r="DL136" i="33"/>
  <c r="DR129" i="33"/>
  <c r="DR175" i="33" s="1"/>
  <c r="DR140" i="33"/>
  <c r="BP152" i="33"/>
  <c r="BP76" i="33"/>
  <c r="CW121" i="33"/>
  <c r="CW167" i="33" s="1"/>
  <c r="CW132" i="33"/>
  <c r="CH121" i="33"/>
  <c r="CH167" i="33" s="1"/>
  <c r="CH132" i="33"/>
  <c r="DQ130" i="33"/>
  <c r="DQ176" i="33" s="1"/>
  <c r="DQ141" i="33"/>
  <c r="BG153" i="33"/>
  <c r="BG77" i="33"/>
  <c r="DI130" i="33"/>
  <c r="DI176" i="33" s="1"/>
  <c r="DI141" i="33"/>
  <c r="BC125" i="33"/>
  <c r="BC171" i="33" s="1"/>
  <c r="CS126" i="33"/>
  <c r="CS172" i="33" s="1"/>
  <c r="CS137" i="33"/>
  <c r="BS125" i="33"/>
  <c r="BS171" i="33" s="1"/>
  <c r="BS136" i="33"/>
  <c r="CJ130" i="33"/>
  <c r="CJ176" i="33" s="1"/>
  <c r="CJ141" i="33"/>
  <c r="DV127" i="33"/>
  <c r="DV173" i="33" s="1"/>
  <c r="DV138" i="33"/>
  <c r="CC127" i="33"/>
  <c r="CC173" i="33" s="1"/>
  <c r="CC138" i="33"/>
  <c r="BP128" i="33"/>
  <c r="BP174" i="33" s="1"/>
  <c r="BP139" i="33"/>
  <c r="BM125" i="33"/>
  <c r="BM171" i="33" s="1"/>
  <c r="BM136" i="33"/>
  <c r="AV126" i="33"/>
  <c r="AV172" i="33" s="1"/>
  <c r="AV137" i="33"/>
  <c r="DX123" i="33"/>
  <c r="DX169" i="33" s="1"/>
  <c r="DX134" i="33"/>
  <c r="CT122" i="33"/>
  <c r="CT168" i="33" s="1"/>
  <c r="CT133" i="33"/>
  <c r="BB126" i="33"/>
  <c r="BB172" i="33" s="1"/>
  <c r="BB137" i="33"/>
  <c r="BR128" i="33"/>
  <c r="BR174" i="33" s="1"/>
  <c r="BR139" i="33"/>
  <c r="DI122" i="33"/>
  <c r="DI168" i="33" s="1"/>
  <c r="DI133" i="33"/>
  <c r="CV122" i="33"/>
  <c r="CV168" i="33" s="1"/>
  <c r="CV133" i="33"/>
  <c r="DJ128" i="33"/>
  <c r="DJ174" i="33" s="1"/>
  <c r="DJ139" i="33"/>
  <c r="CF125" i="33"/>
  <c r="CF171" i="33" s="1"/>
  <c r="CF136" i="33"/>
  <c r="BS129" i="33"/>
  <c r="BS175" i="33" s="1"/>
  <c r="BS140" i="33"/>
  <c r="BB127" i="33"/>
  <c r="BB173" i="33" s="1"/>
  <c r="BB138" i="33"/>
  <c r="BF127" i="33"/>
  <c r="BF173" i="33" s="1"/>
  <c r="BF138" i="33"/>
  <c r="CV130" i="33"/>
  <c r="CV176" i="33" s="1"/>
  <c r="CV141" i="33"/>
  <c r="DT127" i="33"/>
  <c r="DT173" i="33" s="1"/>
  <c r="DT138" i="33"/>
  <c r="BC127" i="33"/>
  <c r="BC173" i="33" s="1"/>
  <c r="BC138" i="33"/>
  <c r="DH121" i="33"/>
  <c r="DH167" i="33" s="1"/>
  <c r="DH132" i="33"/>
  <c r="BD124" i="33"/>
  <c r="BD170" i="33" s="1"/>
  <c r="BD135" i="33"/>
  <c r="CQ125" i="33"/>
  <c r="CQ171" i="33" s="1"/>
  <c r="CQ136" i="33"/>
  <c r="BA126" i="33"/>
  <c r="BA172" i="33" s="1"/>
  <c r="BA137" i="33"/>
  <c r="DV126" i="33"/>
  <c r="DV172" i="33" s="1"/>
  <c r="DV137" i="33"/>
  <c r="BL128" i="33"/>
  <c r="BL174" i="33" s="1"/>
  <c r="BL139" i="33"/>
  <c r="DL129" i="33"/>
  <c r="DL175" i="33" s="1"/>
  <c r="DL140" i="33"/>
  <c r="BJ121" i="33"/>
  <c r="BJ167" i="33" s="1"/>
  <c r="BJ132" i="33"/>
  <c r="CE128" i="33"/>
  <c r="CE174" i="33" s="1"/>
  <c r="CE139" i="33"/>
  <c r="BH128" i="33"/>
  <c r="BH174" i="33" s="1"/>
  <c r="BH139" i="33"/>
  <c r="DG123" i="33"/>
  <c r="DG169" i="33" s="1"/>
  <c r="DG134" i="33"/>
  <c r="CG123" i="33"/>
  <c r="CG169" i="33" s="1"/>
  <c r="CG134" i="33"/>
  <c r="AV151" i="33"/>
  <c r="AV75" i="33"/>
  <c r="DT123" i="33"/>
  <c r="DT169" i="33" s="1"/>
  <c r="DT134" i="33"/>
  <c r="DJ121" i="33"/>
  <c r="DJ167" i="33" s="1"/>
  <c r="DJ132" i="33"/>
  <c r="CU129" i="33"/>
  <c r="CU175" i="33" s="1"/>
  <c r="CU140" i="33"/>
  <c r="CV129" i="33"/>
  <c r="CV175" i="33" s="1"/>
  <c r="CV140" i="33"/>
  <c r="CP128" i="33"/>
  <c r="CP174" i="33" s="1"/>
  <c r="CP139" i="33"/>
  <c r="CB127" i="33"/>
  <c r="CB173" i="33" s="1"/>
  <c r="CB138" i="33"/>
  <c r="DI128" i="33"/>
  <c r="DI174" i="33" s="1"/>
  <c r="DI139" i="33"/>
  <c r="DQ123" i="33"/>
  <c r="DQ169" i="33" s="1"/>
  <c r="DQ134" i="33"/>
  <c r="DG127" i="33"/>
  <c r="DG173" i="33" s="1"/>
  <c r="DG138" i="33"/>
  <c r="CH130" i="33"/>
  <c r="CH176" i="33" s="1"/>
  <c r="CH141" i="33"/>
  <c r="BD129" i="33"/>
  <c r="BD175" i="33" s="1"/>
  <c r="BD140" i="33"/>
  <c r="AW128" i="33"/>
  <c r="AW174" i="33" s="1"/>
  <c r="AW139" i="33"/>
  <c r="BN126" i="33"/>
  <c r="BN172" i="33" s="1"/>
  <c r="BN137" i="33"/>
  <c r="BO126" i="33"/>
  <c r="BO172" i="33" s="1"/>
  <c r="BO137" i="33"/>
  <c r="BA124" i="33"/>
  <c r="BA170" i="33" s="1"/>
  <c r="BA135" i="33"/>
  <c r="DU123" i="33"/>
  <c r="DU169" i="33" s="1"/>
  <c r="DU134" i="33"/>
  <c r="EA127" i="33"/>
  <c r="EA173" i="33" s="1"/>
  <c r="EA138" i="33"/>
  <c r="DJ123" i="33"/>
  <c r="DJ169" i="33" s="1"/>
  <c r="DJ134" i="33"/>
  <c r="DW121" i="33"/>
  <c r="DW167" i="33" s="1"/>
  <c r="DW132" i="33"/>
  <c r="BR129" i="33"/>
  <c r="BR175" i="33" s="1"/>
  <c r="BR140" i="33"/>
  <c r="CL128" i="33"/>
  <c r="CL174" i="33" s="1"/>
  <c r="CL139" i="33"/>
  <c r="CF127" i="33"/>
  <c r="CF173" i="33" s="1"/>
  <c r="CF138" i="33"/>
  <c r="CY125" i="33"/>
  <c r="CY171" i="33" s="1"/>
  <c r="CY136" i="33"/>
  <c r="CR125" i="33"/>
  <c r="CR171" i="33" s="1"/>
  <c r="CR136" i="33"/>
  <c r="CL124" i="33"/>
  <c r="CL170" i="33" s="1"/>
  <c r="CL135" i="33"/>
  <c r="CF123" i="33"/>
  <c r="CF169" i="33" s="1"/>
  <c r="CF134" i="33"/>
  <c r="DE124" i="33"/>
  <c r="DE170" i="33" s="1"/>
  <c r="DE135" i="33"/>
  <c r="DK128" i="33"/>
  <c r="DK174" i="33" s="1"/>
  <c r="DK139" i="33"/>
  <c r="DK123" i="33"/>
  <c r="DK169" i="33" s="1"/>
  <c r="DK134" i="33"/>
  <c r="CN124" i="33"/>
  <c r="CN170" i="33" s="1"/>
  <c r="CN135" i="33"/>
  <c r="AV128" i="33"/>
  <c r="AV174" i="33" s="1"/>
  <c r="AV139" i="33"/>
  <c r="BM126" i="33"/>
  <c r="BM172" i="33" s="1"/>
  <c r="BM137" i="33"/>
  <c r="BF125" i="33"/>
  <c r="BF171" i="33" s="1"/>
  <c r="BF136" i="33"/>
  <c r="BG125" i="33"/>
  <c r="BG171" i="33" s="1"/>
  <c r="BG136" i="33"/>
  <c r="AZ135" i="33"/>
  <c r="BQ152" i="33"/>
  <c r="BQ76" i="33"/>
  <c r="DN122" i="33"/>
  <c r="DN168" i="33" s="1"/>
  <c r="DN133" i="33"/>
  <c r="DT126" i="33"/>
  <c r="DT172" i="33" s="1"/>
  <c r="DT137" i="33"/>
  <c r="DR130" i="33"/>
  <c r="DR176" i="33" s="1"/>
  <c r="DR141" i="33"/>
  <c r="CD127" i="33"/>
  <c r="CD173" i="33" s="1"/>
  <c r="CD138" i="33"/>
  <c r="CP122" i="33"/>
  <c r="CP168" i="33" s="1"/>
  <c r="CP133" i="33"/>
  <c r="CC129" i="33"/>
  <c r="CC175" i="33" s="1"/>
  <c r="CC140" i="33"/>
  <c r="CV127" i="33"/>
  <c r="CV173" i="33" s="1"/>
  <c r="CV138" i="33"/>
  <c r="CP126" i="33"/>
  <c r="CP172" i="33" s="1"/>
  <c r="CP137" i="33"/>
  <c r="CQ126" i="33"/>
  <c r="CQ172" i="33" s="1"/>
  <c r="CQ137" i="33"/>
  <c r="CC125" i="33"/>
  <c r="CC171" i="33" s="1"/>
  <c r="CC136" i="33"/>
  <c r="CV123" i="33"/>
  <c r="CV169" i="33" s="1"/>
  <c r="CV134" i="33"/>
  <c r="DU124" i="33"/>
  <c r="DU170" i="33" s="1"/>
  <c r="DU135" i="33"/>
  <c r="EA128" i="33"/>
  <c r="EA174" i="33" s="1"/>
  <c r="EA139" i="33"/>
  <c r="EA123" i="33"/>
  <c r="EA169" i="33" s="1"/>
  <c r="EA134" i="33"/>
  <c r="O255" i="33"/>
  <c r="W200" i="33"/>
  <c r="D203" i="33" s="1"/>
  <c r="AD77" i="30"/>
  <c r="AC77" i="30"/>
  <c r="Z77" i="30"/>
  <c r="Q77" i="30"/>
  <c r="I77" i="30"/>
  <c r="W77" i="30"/>
  <c r="O77" i="30"/>
  <c r="H77" i="30"/>
  <c r="K77" i="30"/>
  <c r="Y77" i="30"/>
  <c r="AB77" i="30"/>
  <c r="T77" i="30"/>
  <c r="X77" i="30"/>
  <c r="P77" i="30"/>
  <c r="S77" i="30"/>
  <c r="N77" i="30"/>
  <c r="M77" i="30"/>
  <c r="J77" i="30"/>
  <c r="L77" i="30"/>
  <c r="AA77" i="30"/>
  <c r="V77" i="30"/>
  <c r="U77" i="30"/>
  <c r="R77" i="30"/>
  <c r="B114" i="30"/>
  <c r="B126" i="30" s="1"/>
  <c r="G77" i="30"/>
  <c r="J141" i="31"/>
  <c r="C219" i="33" s="1"/>
  <c r="D219" i="33" s="1"/>
  <c r="X248" i="31"/>
  <c r="BR47" i="24"/>
  <c r="AK47" i="24"/>
  <c r="AR50" i="26"/>
  <c r="AK50" i="26"/>
  <c r="AQ50" i="18"/>
  <c r="AK50" i="18"/>
  <c r="BS38" i="18"/>
  <c r="AV39" i="25"/>
  <c r="AK39" i="25"/>
  <c r="BC46" i="24"/>
  <c r="AK46" i="24"/>
  <c r="AO42" i="24"/>
  <c r="AK42" i="24"/>
  <c r="BG38" i="24"/>
  <c r="AK38" i="24"/>
  <c r="BN49" i="26"/>
  <c r="AK49" i="26"/>
  <c r="AS45" i="26"/>
  <c r="AK45" i="26"/>
  <c r="BC41" i="26"/>
  <c r="AK41" i="26"/>
  <c r="AQ37" i="26"/>
  <c r="AK37" i="26"/>
  <c r="BL49" i="18"/>
  <c r="AK49" i="18"/>
  <c r="AS41" i="18"/>
  <c r="AK41" i="18"/>
  <c r="BY37" i="18"/>
  <c r="AK37" i="18"/>
  <c r="BQ33" i="18"/>
  <c r="AK33" i="18"/>
  <c r="AP48" i="25"/>
  <c r="AK48" i="25"/>
  <c r="AQ40" i="25"/>
  <c r="AK40" i="25"/>
  <c r="AU51" i="24"/>
  <c r="AK51" i="24"/>
  <c r="AM46" i="26"/>
  <c r="AK46" i="26"/>
  <c r="BM38" i="26"/>
  <c r="AK38" i="26"/>
  <c r="AM42" i="18"/>
  <c r="AK42" i="18"/>
  <c r="AU50" i="25"/>
  <c r="AK50" i="25"/>
  <c r="AP37" i="24"/>
  <c r="AK37" i="24"/>
  <c r="AR52" i="26"/>
  <c r="AK52" i="26"/>
  <c r="AV48" i="26"/>
  <c r="AK48" i="26"/>
  <c r="AQ44" i="26"/>
  <c r="AK44" i="26"/>
  <c r="BQ40" i="26"/>
  <c r="AK40" i="26"/>
  <c r="BI36" i="26"/>
  <c r="AK36" i="26"/>
  <c r="AM52" i="18"/>
  <c r="AK52" i="18"/>
  <c r="AL48" i="18"/>
  <c r="AK48" i="18"/>
  <c r="BG36" i="18"/>
  <c r="AK36" i="18"/>
  <c r="AZ32" i="18"/>
  <c r="AK32" i="18"/>
  <c r="AS43" i="24"/>
  <c r="AK43" i="24"/>
  <c r="BS34" i="18"/>
  <c r="AK34" i="18"/>
  <c r="AW45" i="25"/>
  <c r="AK45" i="25"/>
  <c r="AR37" i="25"/>
  <c r="AK37" i="25"/>
  <c r="AM52" i="24"/>
  <c r="AK52" i="24"/>
  <c r="CD48" i="24"/>
  <c r="AK48" i="24"/>
  <c r="AT40" i="24"/>
  <c r="AK40" i="24"/>
  <c r="AS32" i="24"/>
  <c r="AK32" i="24"/>
  <c r="AP51" i="26"/>
  <c r="AK51" i="26"/>
  <c r="AO43" i="26"/>
  <c r="AK43" i="26"/>
  <c r="AY39" i="26"/>
  <c r="AK39" i="26"/>
  <c r="AQ35" i="26"/>
  <c r="AK35" i="26"/>
  <c r="AS51" i="18"/>
  <c r="AK51" i="18"/>
  <c r="AS47" i="18"/>
  <c r="AK47" i="18"/>
  <c r="AO43" i="18"/>
  <c r="AO39" i="18"/>
  <c r="AK39" i="18"/>
  <c r="AO35" i="18"/>
  <c r="AK35" i="18"/>
  <c r="AN48" i="26"/>
  <c r="AR48" i="24"/>
  <c r="CB40" i="24"/>
  <c r="AL51" i="24"/>
  <c r="AU48" i="24"/>
  <c r="AQ46" i="25"/>
  <c r="AY46" i="25"/>
  <c r="AV46" i="25"/>
  <c r="AP52" i="25"/>
  <c r="BG52" i="25"/>
  <c r="BZ45" i="25"/>
  <c r="BJ37" i="25"/>
  <c r="AT37" i="25"/>
  <c r="BJ47" i="26"/>
  <c r="AL47" i="26"/>
  <c r="BU43" i="26"/>
  <c r="BT52" i="26"/>
  <c r="BT51" i="26"/>
  <c r="BV50" i="18"/>
  <c r="BN50" i="18"/>
  <c r="BH47" i="18"/>
  <c r="AZ47" i="18"/>
  <c r="AP44" i="18"/>
  <c r="BN44" i="18"/>
  <c r="BK33" i="26"/>
  <c r="BS33" i="26"/>
  <c r="AP46" i="18"/>
  <c r="AX46" i="18"/>
  <c r="BF46" i="18"/>
  <c r="BN46" i="18"/>
  <c r="CD46" i="18"/>
  <c r="CE33" i="24"/>
  <c r="BB33" i="24"/>
  <c r="AT49" i="24"/>
  <c r="BD49" i="24"/>
  <c r="AU45" i="24"/>
  <c r="BA45" i="24"/>
  <c r="AN35" i="25"/>
  <c r="BF35" i="25"/>
  <c r="AP35" i="25"/>
  <c r="BV35" i="25"/>
  <c r="AL52" i="18"/>
  <c r="CB51" i="26"/>
  <c r="BG44" i="26"/>
  <c r="BX46" i="25"/>
  <c r="AT46" i="25"/>
  <c r="BJ51" i="24"/>
  <c r="BE47" i="24"/>
  <c r="BM37" i="24"/>
  <c r="BX51" i="18"/>
  <c r="BF50" i="18"/>
  <c r="AR47" i="18"/>
  <c r="BD43" i="18"/>
  <c r="BW46" i="25"/>
  <c r="BP51" i="18"/>
  <c r="AX50" i="18"/>
  <c r="AT52" i="18"/>
  <c r="AV52" i="25"/>
  <c r="BF51" i="26"/>
  <c r="CA37" i="26"/>
  <c r="BS46" i="25"/>
  <c r="BN45" i="25"/>
  <c r="BY43" i="24"/>
  <c r="BZ52" i="18"/>
  <c r="BH51" i="18"/>
  <c r="AP50" i="18"/>
  <c r="AW39" i="18"/>
  <c r="BD51" i="26"/>
  <c r="BK46" i="25"/>
  <c r="BA45" i="25"/>
  <c r="BS48" i="24"/>
  <c r="BU42" i="24"/>
  <c r="BR52" i="18"/>
  <c r="AZ51" i="18"/>
  <c r="BZ48" i="18"/>
  <c r="BB51" i="26"/>
  <c r="CB52" i="25"/>
  <c r="BJ46" i="25"/>
  <c r="AO45" i="25"/>
  <c r="BO48" i="24"/>
  <c r="BE42" i="24"/>
  <c r="BJ52" i="18"/>
  <c r="AR51" i="18"/>
  <c r="BX47" i="18"/>
  <c r="AX51" i="26"/>
  <c r="BQ52" i="25"/>
  <c r="BG46" i="25"/>
  <c r="BZ37" i="25"/>
  <c r="BI48" i="24"/>
  <c r="BB52" i="18"/>
  <c r="CD50" i="18"/>
  <c r="BP47" i="18"/>
  <c r="AO38" i="25"/>
  <c r="AW38" i="25"/>
  <c r="BE38" i="25"/>
  <c r="BM38" i="25"/>
  <c r="BU38" i="25"/>
  <c r="CC38" i="25"/>
  <c r="AP38" i="25"/>
  <c r="AX38" i="25"/>
  <c r="BF38" i="25"/>
  <c r="BN38" i="25"/>
  <c r="BV38" i="25"/>
  <c r="CD38" i="25"/>
  <c r="AQ38" i="25"/>
  <c r="AY38" i="25"/>
  <c r="BG38" i="25"/>
  <c r="BO38" i="25"/>
  <c r="BW38" i="25"/>
  <c r="CE38" i="25"/>
  <c r="AS38" i="25"/>
  <c r="BA38" i="25"/>
  <c r="BI38" i="25"/>
  <c r="BQ38" i="25"/>
  <c r="BY38" i="25"/>
  <c r="AZ38" i="25"/>
  <c r="BP38" i="25"/>
  <c r="AL38" i="25"/>
  <c r="BB38" i="25"/>
  <c r="BR38" i="25"/>
  <c r="AM38" i="25"/>
  <c r="BC38" i="25"/>
  <c r="BS38" i="25"/>
  <c r="AN38" i="25"/>
  <c r="BD38" i="25"/>
  <c r="BT38" i="25"/>
  <c r="AR38" i="25"/>
  <c r="BH38" i="25"/>
  <c r="BX38" i="25"/>
  <c r="AT38" i="25"/>
  <c r="BJ38" i="25"/>
  <c r="BZ38" i="25"/>
  <c r="BL38" i="25"/>
  <c r="AU38" i="25"/>
  <c r="BK38" i="25"/>
  <c r="CA38" i="25"/>
  <c r="AV38" i="25"/>
  <c r="CB38" i="25"/>
  <c r="AS36" i="25"/>
  <c r="BA36" i="25"/>
  <c r="BI36" i="25"/>
  <c r="BQ36" i="25"/>
  <c r="BY36" i="25"/>
  <c r="AL36" i="25"/>
  <c r="AT36" i="25"/>
  <c r="BB36" i="25"/>
  <c r="BJ36" i="25"/>
  <c r="BR36" i="25"/>
  <c r="BZ36" i="25"/>
  <c r="AM36" i="25"/>
  <c r="AU36" i="25"/>
  <c r="BC36" i="25"/>
  <c r="BK36" i="25"/>
  <c r="BS36" i="25"/>
  <c r="CA36" i="25"/>
  <c r="AO36" i="25"/>
  <c r="AW36" i="25"/>
  <c r="BE36" i="25"/>
  <c r="BM36" i="25"/>
  <c r="BU36" i="25"/>
  <c r="CC36" i="25"/>
  <c r="AV36" i="25"/>
  <c r="BL36" i="25"/>
  <c r="CB36" i="25"/>
  <c r="AX36" i="25"/>
  <c r="BN36" i="25"/>
  <c r="CD36" i="25"/>
  <c r="AY36" i="25"/>
  <c r="BO36" i="25"/>
  <c r="CE36" i="25"/>
  <c r="AZ36" i="25"/>
  <c r="BP36" i="25"/>
  <c r="AN36" i="25"/>
  <c r="BD36" i="25"/>
  <c r="BT36" i="25"/>
  <c r="AP36" i="25"/>
  <c r="BF36" i="25"/>
  <c r="BV36" i="25"/>
  <c r="AR36" i="25"/>
  <c r="BH36" i="25"/>
  <c r="BX36" i="25"/>
  <c r="AQ36" i="25"/>
  <c r="BG36" i="25"/>
  <c r="BW36" i="25"/>
  <c r="AR51" i="25"/>
  <c r="AZ51" i="25"/>
  <c r="BH51" i="25"/>
  <c r="BP51" i="25"/>
  <c r="BX51" i="25"/>
  <c r="AM51" i="25"/>
  <c r="AU51" i="25"/>
  <c r="BC51" i="25"/>
  <c r="BK51" i="25"/>
  <c r="BS51" i="25"/>
  <c r="CA51" i="25"/>
  <c r="AP51" i="25"/>
  <c r="BA51" i="25"/>
  <c r="BL51" i="25"/>
  <c r="BV51" i="25"/>
  <c r="AQ51" i="25"/>
  <c r="BB51" i="25"/>
  <c r="BM51" i="25"/>
  <c r="BW51" i="25"/>
  <c r="BU51" i="25"/>
  <c r="AS51" i="25"/>
  <c r="BD51" i="25"/>
  <c r="BN51" i="25"/>
  <c r="BY51" i="25"/>
  <c r="BJ51" i="25"/>
  <c r="AT51" i="25"/>
  <c r="BE51" i="25"/>
  <c r="BO51" i="25"/>
  <c r="BZ51" i="25"/>
  <c r="AV51" i="25"/>
  <c r="BF51" i="25"/>
  <c r="BQ51" i="25"/>
  <c r="CB51" i="25"/>
  <c r="AL51" i="25"/>
  <c r="AW51" i="25"/>
  <c r="BG51" i="25"/>
  <c r="BR51" i="25"/>
  <c r="CC51" i="25"/>
  <c r="AY51" i="25"/>
  <c r="AN51" i="25"/>
  <c r="AX51" i="25"/>
  <c r="BI51" i="25"/>
  <c r="BT51" i="25"/>
  <c r="CD51" i="25"/>
  <c r="AO51" i="25"/>
  <c r="CE51" i="25"/>
  <c r="AQ43" i="25"/>
  <c r="AY43" i="25"/>
  <c r="BG43" i="25"/>
  <c r="BO43" i="25"/>
  <c r="BW43" i="25"/>
  <c r="CE43" i="25"/>
  <c r="AR43" i="25"/>
  <c r="AZ43" i="25"/>
  <c r="BH43" i="25"/>
  <c r="BP43" i="25"/>
  <c r="BX43" i="25"/>
  <c r="AM43" i="25"/>
  <c r="AU43" i="25"/>
  <c r="BC43" i="25"/>
  <c r="BK43" i="25"/>
  <c r="BS43" i="25"/>
  <c r="CA43" i="25"/>
  <c r="AS43" i="25"/>
  <c r="BE43" i="25"/>
  <c r="BR43" i="25"/>
  <c r="CD43" i="25"/>
  <c r="BD43" i="25"/>
  <c r="AT43" i="25"/>
  <c r="BF43" i="25"/>
  <c r="BT43" i="25"/>
  <c r="AV43" i="25"/>
  <c r="BI43" i="25"/>
  <c r="BU43" i="25"/>
  <c r="AW43" i="25"/>
  <c r="BJ43" i="25"/>
  <c r="BV43" i="25"/>
  <c r="AL43" i="25"/>
  <c r="AX43" i="25"/>
  <c r="BL43" i="25"/>
  <c r="BY43" i="25"/>
  <c r="AN43" i="25"/>
  <c r="BA43" i="25"/>
  <c r="BM43" i="25"/>
  <c r="BZ43" i="25"/>
  <c r="AP43" i="25"/>
  <c r="CC43" i="25"/>
  <c r="AO43" i="25"/>
  <c r="BB43" i="25"/>
  <c r="BN43" i="25"/>
  <c r="CB43" i="25"/>
  <c r="BQ43" i="25"/>
  <c r="AO42" i="25"/>
  <c r="AW42" i="25"/>
  <c r="BE42" i="25"/>
  <c r="BM42" i="25"/>
  <c r="BU42" i="25"/>
  <c r="CC42" i="25"/>
  <c r="AP42" i="25"/>
  <c r="AX42" i="25"/>
  <c r="BF42" i="25"/>
  <c r="BN42" i="25"/>
  <c r="BV42" i="25"/>
  <c r="CD42" i="25"/>
  <c r="AQ42" i="25"/>
  <c r="AY42" i="25"/>
  <c r="BG42" i="25"/>
  <c r="BO42" i="25"/>
  <c r="BW42" i="25"/>
  <c r="CE42" i="25"/>
  <c r="AS42" i="25"/>
  <c r="BA42" i="25"/>
  <c r="BI42" i="25"/>
  <c r="BQ42" i="25"/>
  <c r="BY42" i="25"/>
  <c r="AR42" i="25"/>
  <c r="BH42" i="25"/>
  <c r="BX42" i="25"/>
  <c r="AT42" i="25"/>
  <c r="BJ42" i="25"/>
  <c r="BZ42" i="25"/>
  <c r="AU42" i="25"/>
  <c r="BK42" i="25"/>
  <c r="CA42" i="25"/>
  <c r="AV42" i="25"/>
  <c r="BL42" i="25"/>
  <c r="CB42" i="25"/>
  <c r="AZ42" i="25"/>
  <c r="BP42" i="25"/>
  <c r="AL42" i="25"/>
  <c r="BB42" i="25"/>
  <c r="BR42" i="25"/>
  <c r="BD42" i="25"/>
  <c r="AM42" i="25"/>
  <c r="BC42" i="25"/>
  <c r="BS42" i="25"/>
  <c r="AN42" i="25"/>
  <c r="BT42" i="25"/>
  <c r="AO34" i="25"/>
  <c r="AW34" i="25"/>
  <c r="BE34" i="25"/>
  <c r="BM34" i="25"/>
  <c r="BU34" i="25"/>
  <c r="CC34" i="25"/>
  <c r="AP34" i="25"/>
  <c r="AX34" i="25"/>
  <c r="BF34" i="25"/>
  <c r="BN34" i="25"/>
  <c r="BV34" i="25"/>
  <c r="CD34" i="25"/>
  <c r="AQ34" i="25"/>
  <c r="AY34" i="25"/>
  <c r="BG34" i="25"/>
  <c r="BO34" i="25"/>
  <c r="BW34" i="25"/>
  <c r="CE34" i="25"/>
  <c r="AS34" i="25"/>
  <c r="BA34" i="25"/>
  <c r="BI34" i="25"/>
  <c r="BQ34" i="25"/>
  <c r="BY34" i="25"/>
  <c r="AR34" i="25"/>
  <c r="BH34" i="25"/>
  <c r="BX34" i="25"/>
  <c r="AT34" i="25"/>
  <c r="BJ34" i="25"/>
  <c r="BZ34" i="25"/>
  <c r="AU34" i="25"/>
  <c r="BK34" i="25"/>
  <c r="CA34" i="25"/>
  <c r="AV34" i="25"/>
  <c r="BL34" i="25"/>
  <c r="CB34" i="25"/>
  <c r="AZ34" i="25"/>
  <c r="BP34" i="25"/>
  <c r="AL34" i="25"/>
  <c r="BB34" i="25"/>
  <c r="BR34" i="25"/>
  <c r="AN34" i="25"/>
  <c r="BT34" i="25"/>
  <c r="AM34" i="25"/>
  <c r="BC34" i="25"/>
  <c r="BS34" i="25"/>
  <c r="BD34" i="25"/>
  <c r="AM49" i="25"/>
  <c r="AU49" i="25"/>
  <c r="BC49" i="25"/>
  <c r="BK49" i="25"/>
  <c r="BS49" i="25"/>
  <c r="CA49" i="25"/>
  <c r="AN49" i="25"/>
  <c r="AV49" i="25"/>
  <c r="BD49" i="25"/>
  <c r="BL49" i="25"/>
  <c r="BT49" i="25"/>
  <c r="CB49" i="25"/>
  <c r="AQ49" i="25"/>
  <c r="AY49" i="25"/>
  <c r="BG49" i="25"/>
  <c r="BO49" i="25"/>
  <c r="BW49" i="25"/>
  <c r="CE49" i="25"/>
  <c r="AX49" i="25"/>
  <c r="BJ49" i="25"/>
  <c r="BX49" i="25"/>
  <c r="AL49" i="25"/>
  <c r="AZ49" i="25"/>
  <c r="BM49" i="25"/>
  <c r="BY49" i="25"/>
  <c r="AO49" i="25"/>
  <c r="BA49" i="25"/>
  <c r="BN49" i="25"/>
  <c r="BZ49" i="25"/>
  <c r="BV49" i="25"/>
  <c r="AP49" i="25"/>
  <c r="BB49" i="25"/>
  <c r="BP49" i="25"/>
  <c r="CC49" i="25"/>
  <c r="AR49" i="25"/>
  <c r="BE49" i="25"/>
  <c r="BQ49" i="25"/>
  <c r="CD49" i="25"/>
  <c r="BI49" i="25"/>
  <c r="AS49" i="25"/>
  <c r="BF49" i="25"/>
  <c r="BR49" i="25"/>
  <c r="AW49" i="25"/>
  <c r="AT49" i="25"/>
  <c r="BH49" i="25"/>
  <c r="BU49" i="25"/>
  <c r="AM41" i="25"/>
  <c r="AU41" i="25"/>
  <c r="BC41" i="25"/>
  <c r="BK41" i="25"/>
  <c r="BS41" i="25"/>
  <c r="CA41" i="25"/>
  <c r="AN41" i="25"/>
  <c r="AV41" i="25"/>
  <c r="BD41" i="25"/>
  <c r="BL41" i="25"/>
  <c r="BT41" i="25"/>
  <c r="CB41" i="25"/>
  <c r="AO41" i="25"/>
  <c r="AW41" i="25"/>
  <c r="BE41" i="25"/>
  <c r="BM41" i="25"/>
  <c r="BU41" i="25"/>
  <c r="CC41" i="25"/>
  <c r="AQ41" i="25"/>
  <c r="AY41" i="25"/>
  <c r="BG41" i="25"/>
  <c r="BO41" i="25"/>
  <c r="BW41" i="25"/>
  <c r="CE41" i="25"/>
  <c r="BF41" i="25"/>
  <c r="BV41" i="25"/>
  <c r="AR41" i="25"/>
  <c r="BH41" i="25"/>
  <c r="BX41" i="25"/>
  <c r="AS41" i="25"/>
  <c r="BI41" i="25"/>
  <c r="BY41" i="25"/>
  <c r="BR41" i="25"/>
  <c r="AT41" i="25"/>
  <c r="BJ41" i="25"/>
  <c r="BZ41" i="25"/>
  <c r="AX41" i="25"/>
  <c r="BN41" i="25"/>
  <c r="CD41" i="25"/>
  <c r="AZ41" i="25"/>
  <c r="BP41" i="25"/>
  <c r="BB41" i="25"/>
  <c r="BA41" i="25"/>
  <c r="BQ41" i="25"/>
  <c r="AL41" i="25"/>
  <c r="AP33" i="25"/>
  <c r="AX33" i="25"/>
  <c r="AL33" i="25"/>
  <c r="AT33" i="25"/>
  <c r="BB33" i="25"/>
  <c r="AO33" i="25"/>
  <c r="AZ33" i="25"/>
  <c r="BI33" i="25"/>
  <c r="BQ33" i="25"/>
  <c r="AR33" i="25"/>
  <c r="BC33" i="25"/>
  <c r="BK33" i="25"/>
  <c r="BS33" i="25"/>
  <c r="CA33" i="25"/>
  <c r="AS33" i="25"/>
  <c r="BD33" i="25"/>
  <c r="BL33" i="25"/>
  <c r="BT33" i="25"/>
  <c r="CB33" i="25"/>
  <c r="AU33" i="25"/>
  <c r="BE33" i="25"/>
  <c r="BM33" i="25"/>
  <c r="BU33" i="25"/>
  <c r="CC33" i="25"/>
  <c r="AM33" i="25"/>
  <c r="AW33" i="25"/>
  <c r="BG33" i="25"/>
  <c r="BO33" i="25"/>
  <c r="BW33" i="25"/>
  <c r="CE33" i="25"/>
  <c r="AY33" i="25"/>
  <c r="BV33" i="25"/>
  <c r="BA33" i="25"/>
  <c r="BX33" i="25"/>
  <c r="BF33" i="25"/>
  <c r="BY33" i="25"/>
  <c r="BH33" i="25"/>
  <c r="BZ33" i="25"/>
  <c r="BJ33" i="25"/>
  <c r="CD33" i="25"/>
  <c r="AN33" i="25"/>
  <c r="BN33" i="25"/>
  <c r="AV33" i="25"/>
  <c r="AQ33" i="25"/>
  <c r="BP33" i="25"/>
  <c r="BR33" i="25"/>
  <c r="AS44" i="25"/>
  <c r="BA44" i="25"/>
  <c r="BI44" i="25"/>
  <c r="BQ44" i="25"/>
  <c r="BY44" i="25"/>
  <c r="AL44" i="25"/>
  <c r="AT44" i="25"/>
  <c r="BB44" i="25"/>
  <c r="BJ44" i="25"/>
  <c r="BR44" i="25"/>
  <c r="BZ44" i="25"/>
  <c r="AO44" i="25"/>
  <c r="AW44" i="25"/>
  <c r="BE44" i="25"/>
  <c r="BM44" i="25"/>
  <c r="BU44" i="25"/>
  <c r="CC44" i="25"/>
  <c r="AX44" i="25"/>
  <c r="BK44" i="25"/>
  <c r="BW44" i="25"/>
  <c r="AM44" i="25"/>
  <c r="AY44" i="25"/>
  <c r="BL44" i="25"/>
  <c r="BX44" i="25"/>
  <c r="AN44" i="25"/>
  <c r="AZ44" i="25"/>
  <c r="BN44" i="25"/>
  <c r="CA44" i="25"/>
  <c r="AP44" i="25"/>
  <c r="BC44" i="25"/>
  <c r="BO44" i="25"/>
  <c r="CB44" i="25"/>
  <c r="AQ44" i="25"/>
  <c r="BD44" i="25"/>
  <c r="BP44" i="25"/>
  <c r="CD44" i="25"/>
  <c r="AR44" i="25"/>
  <c r="BF44" i="25"/>
  <c r="BS44" i="25"/>
  <c r="CE44" i="25"/>
  <c r="BH44" i="25"/>
  <c r="AU44" i="25"/>
  <c r="BG44" i="25"/>
  <c r="BT44" i="25"/>
  <c r="AV44" i="25"/>
  <c r="BV44" i="25"/>
  <c r="AQ47" i="25"/>
  <c r="AY47" i="25"/>
  <c r="BG47" i="25"/>
  <c r="BO47" i="25"/>
  <c r="BW47" i="25"/>
  <c r="CE47" i="25"/>
  <c r="AR47" i="25"/>
  <c r="AZ47" i="25"/>
  <c r="BH47" i="25"/>
  <c r="BP47" i="25"/>
  <c r="BX47" i="25"/>
  <c r="AM47" i="25"/>
  <c r="AU47" i="25"/>
  <c r="BC47" i="25"/>
  <c r="BK47" i="25"/>
  <c r="BS47" i="25"/>
  <c r="CA47" i="25"/>
  <c r="AN47" i="25"/>
  <c r="BA47" i="25"/>
  <c r="BM47" i="25"/>
  <c r="BZ47" i="25"/>
  <c r="AO47" i="25"/>
  <c r="BB47" i="25"/>
  <c r="BN47" i="25"/>
  <c r="CB47" i="25"/>
  <c r="AP47" i="25"/>
  <c r="BD47" i="25"/>
  <c r="BQ47" i="25"/>
  <c r="CC47" i="25"/>
  <c r="AX47" i="25"/>
  <c r="AS47" i="25"/>
  <c r="BE47" i="25"/>
  <c r="BR47" i="25"/>
  <c r="CD47" i="25"/>
  <c r="AT47" i="25"/>
  <c r="BF47" i="25"/>
  <c r="BT47" i="25"/>
  <c r="AV47" i="25"/>
  <c r="BI47" i="25"/>
  <c r="BU47" i="25"/>
  <c r="AL47" i="25"/>
  <c r="BY47" i="25"/>
  <c r="AW47" i="25"/>
  <c r="BJ47" i="25"/>
  <c r="BV47" i="25"/>
  <c r="BL47" i="25"/>
  <c r="AO32" i="25"/>
  <c r="AW32" i="25"/>
  <c r="BE32" i="25"/>
  <c r="BM32" i="25"/>
  <c r="BU32" i="25"/>
  <c r="CC32" i="25"/>
  <c r="AS32" i="25"/>
  <c r="BA32" i="25"/>
  <c r="BI32" i="25"/>
  <c r="BQ32" i="25"/>
  <c r="BY32" i="25"/>
  <c r="AT32" i="25"/>
  <c r="BD32" i="25"/>
  <c r="BO32" i="25"/>
  <c r="BZ32" i="25"/>
  <c r="AL32" i="25"/>
  <c r="AV32" i="25"/>
  <c r="BG32" i="25"/>
  <c r="BR32" i="25"/>
  <c r="CB32" i="25"/>
  <c r="AM32" i="25"/>
  <c r="AX32" i="25"/>
  <c r="BH32" i="25"/>
  <c r="BS32" i="25"/>
  <c r="CD32" i="25"/>
  <c r="AN32" i="25"/>
  <c r="AY32" i="25"/>
  <c r="BJ32" i="25"/>
  <c r="BT32" i="25"/>
  <c r="CE32" i="25"/>
  <c r="AP32" i="25"/>
  <c r="AZ32" i="25"/>
  <c r="AQ32" i="25"/>
  <c r="BB32" i="25"/>
  <c r="BL32" i="25"/>
  <c r="BW32" i="25"/>
  <c r="AN50" i="25"/>
  <c r="BP48" i="25"/>
  <c r="AQ48" i="25"/>
  <c r="CD39" i="25"/>
  <c r="BP52" i="26"/>
  <c r="BZ51" i="26"/>
  <c r="AV51" i="26"/>
  <c r="BZ47" i="26"/>
  <c r="AM33" i="26"/>
  <c r="CA52" i="25"/>
  <c r="BP52" i="25"/>
  <c r="BF52" i="25"/>
  <c r="AU52" i="25"/>
  <c r="BW50" i="25"/>
  <c r="BL50" i="25"/>
  <c r="AZ50" i="25"/>
  <c r="AM50" i="25"/>
  <c r="CB48" i="25"/>
  <c r="BO48" i="25"/>
  <c r="BC48" i="25"/>
  <c r="CE46" i="25"/>
  <c r="BR46" i="25"/>
  <c r="BD46" i="25"/>
  <c r="AR46" i="25"/>
  <c r="BY45" i="25"/>
  <c r="BM45" i="25"/>
  <c r="AZ45" i="25"/>
  <c r="AL45" i="25"/>
  <c r="CE40" i="25"/>
  <c r="BO40" i="25"/>
  <c r="AY40" i="25"/>
  <c r="CC39" i="25"/>
  <c r="BM39" i="25"/>
  <c r="AW39" i="25"/>
  <c r="BY37" i="25"/>
  <c r="BI37" i="25"/>
  <c r="AS37" i="25"/>
  <c r="BU35" i="25"/>
  <c r="BE35" i="25"/>
  <c r="AO35" i="25"/>
  <c r="BK32" i="25"/>
  <c r="AL50" i="24"/>
  <c r="AT50" i="24"/>
  <c r="BB50" i="24"/>
  <c r="BJ50" i="24"/>
  <c r="BR50" i="24"/>
  <c r="BZ50" i="24"/>
  <c r="AN50" i="24"/>
  <c r="AW50" i="24"/>
  <c r="BF50" i="24"/>
  <c r="BO50" i="24"/>
  <c r="BX50" i="24"/>
  <c r="AO50" i="24"/>
  <c r="AX50" i="24"/>
  <c r="BG50" i="24"/>
  <c r="BP50" i="24"/>
  <c r="BY50" i="24"/>
  <c r="AP50" i="24"/>
  <c r="AY50" i="24"/>
  <c r="BH50" i="24"/>
  <c r="BQ50" i="24"/>
  <c r="CA50" i="24"/>
  <c r="AQ50" i="24"/>
  <c r="AZ50" i="24"/>
  <c r="BI50" i="24"/>
  <c r="BS50" i="24"/>
  <c r="CB50" i="24"/>
  <c r="AS50" i="24"/>
  <c r="BC50" i="24"/>
  <c r="BL50" i="24"/>
  <c r="BU50" i="24"/>
  <c r="CD50" i="24"/>
  <c r="AU50" i="24"/>
  <c r="BD50" i="24"/>
  <c r="BM50" i="24"/>
  <c r="BV50" i="24"/>
  <c r="CE50" i="24"/>
  <c r="BA50" i="24"/>
  <c r="BE50" i="24"/>
  <c r="BK50" i="24"/>
  <c r="BN50" i="24"/>
  <c r="BT50" i="24"/>
  <c r="AM50" i="24"/>
  <c r="BW50" i="24"/>
  <c r="AR50" i="24"/>
  <c r="CC50" i="24"/>
  <c r="AM39" i="24"/>
  <c r="AU39" i="24"/>
  <c r="BC39" i="24"/>
  <c r="BK39" i="24"/>
  <c r="BS39" i="24"/>
  <c r="CA39" i="24"/>
  <c r="AO39" i="24"/>
  <c r="AW39" i="24"/>
  <c r="BE39" i="24"/>
  <c r="BM39" i="24"/>
  <c r="BU39" i="24"/>
  <c r="CC39" i="24"/>
  <c r="AP39" i="24"/>
  <c r="AX39" i="24"/>
  <c r="BF39" i="24"/>
  <c r="BN39" i="24"/>
  <c r="BV39" i="24"/>
  <c r="CD39" i="24"/>
  <c r="AR39" i="24"/>
  <c r="BD39" i="24"/>
  <c r="BQ39" i="24"/>
  <c r="AS39" i="24"/>
  <c r="BG39" i="24"/>
  <c r="BR39" i="24"/>
  <c r="AV39" i="24"/>
  <c r="BI39" i="24"/>
  <c r="BW39" i="24"/>
  <c r="BB39" i="24"/>
  <c r="BY39" i="24"/>
  <c r="AL39" i="24"/>
  <c r="BH39" i="24"/>
  <c r="BZ39" i="24"/>
  <c r="AN39" i="24"/>
  <c r="BJ39" i="24"/>
  <c r="CB39" i="24"/>
  <c r="AQ39" i="24"/>
  <c r="BL39" i="24"/>
  <c r="CE39" i="24"/>
  <c r="AT39" i="24"/>
  <c r="BO39" i="24"/>
  <c r="AY39" i="24"/>
  <c r="BP39" i="24"/>
  <c r="AZ39" i="24"/>
  <c r="BT39" i="24"/>
  <c r="BA39" i="24"/>
  <c r="BX39" i="24"/>
  <c r="AV50" i="24"/>
  <c r="AS48" i="25"/>
  <c r="BA48" i="25"/>
  <c r="BI48" i="25"/>
  <c r="BQ48" i="25"/>
  <c r="BY48" i="25"/>
  <c r="AL48" i="25"/>
  <c r="AT48" i="25"/>
  <c r="BB48" i="25"/>
  <c r="BJ48" i="25"/>
  <c r="BR48" i="25"/>
  <c r="BZ48" i="25"/>
  <c r="AO48" i="25"/>
  <c r="AW48" i="25"/>
  <c r="BE48" i="25"/>
  <c r="BM48" i="25"/>
  <c r="BU48" i="25"/>
  <c r="CC48" i="25"/>
  <c r="BM50" i="25"/>
  <c r="BD48" i="25"/>
  <c r="AZ40" i="25"/>
  <c r="AX39" i="25"/>
  <c r="BN32" i="25"/>
  <c r="BN52" i="26"/>
  <c r="BV51" i="26"/>
  <c r="AL51" i="26"/>
  <c r="AT47" i="26"/>
  <c r="CE39" i="26"/>
  <c r="BY52" i="25"/>
  <c r="BO52" i="25"/>
  <c r="BD52" i="25"/>
  <c r="AS52" i="25"/>
  <c r="BU50" i="25"/>
  <c r="BK50" i="25"/>
  <c r="AY50" i="25"/>
  <c r="AL50" i="25"/>
  <c r="CA48" i="25"/>
  <c r="BN48" i="25"/>
  <c r="AZ48" i="25"/>
  <c r="AN48" i="25"/>
  <c r="CB46" i="25"/>
  <c r="BP46" i="25"/>
  <c r="BC46" i="25"/>
  <c r="BX45" i="25"/>
  <c r="BJ45" i="25"/>
  <c r="AX45" i="25"/>
  <c r="CD40" i="25"/>
  <c r="BN40" i="25"/>
  <c r="AX40" i="25"/>
  <c r="CB39" i="25"/>
  <c r="BL39" i="25"/>
  <c r="BX37" i="25"/>
  <c r="BH37" i="25"/>
  <c r="BT35" i="25"/>
  <c r="BD35" i="25"/>
  <c r="BF32" i="25"/>
  <c r="AO44" i="24"/>
  <c r="AW44" i="24"/>
  <c r="BE44" i="24"/>
  <c r="BM44" i="24"/>
  <c r="BU44" i="24"/>
  <c r="CC44" i="24"/>
  <c r="AQ44" i="24"/>
  <c r="AY44" i="24"/>
  <c r="BG44" i="24"/>
  <c r="BO44" i="24"/>
  <c r="BW44" i="24"/>
  <c r="CE44" i="24"/>
  <c r="AR44" i="24"/>
  <c r="AZ44" i="24"/>
  <c r="BH44" i="24"/>
  <c r="BP44" i="24"/>
  <c r="BX44" i="24"/>
  <c r="AT44" i="24"/>
  <c r="BF44" i="24"/>
  <c r="BS44" i="24"/>
  <c r="AV44" i="24"/>
  <c r="BJ44" i="24"/>
  <c r="BV44" i="24"/>
  <c r="BA44" i="24"/>
  <c r="BQ44" i="24"/>
  <c r="AL44" i="24"/>
  <c r="BB44" i="24"/>
  <c r="BR44" i="24"/>
  <c r="AM44" i="24"/>
  <c r="BC44" i="24"/>
  <c r="BT44" i="24"/>
  <c r="AN44" i="24"/>
  <c r="BD44" i="24"/>
  <c r="BY44" i="24"/>
  <c r="AS44" i="24"/>
  <c r="BK44" i="24"/>
  <c r="CA44" i="24"/>
  <c r="AU44" i="24"/>
  <c r="BL44" i="24"/>
  <c r="CB44" i="24"/>
  <c r="AP44" i="24"/>
  <c r="AX44" i="24"/>
  <c r="BI44" i="24"/>
  <c r="BN44" i="24"/>
  <c r="BZ44" i="24"/>
  <c r="CD44" i="24"/>
  <c r="AQ39" i="25"/>
  <c r="AY39" i="25"/>
  <c r="BG39" i="25"/>
  <c r="BO39" i="25"/>
  <c r="BW39" i="25"/>
  <c r="CE39" i="25"/>
  <c r="AR39" i="25"/>
  <c r="AZ39" i="25"/>
  <c r="BH39" i="25"/>
  <c r="BP39" i="25"/>
  <c r="BX39" i="25"/>
  <c r="AS39" i="25"/>
  <c r="BA39" i="25"/>
  <c r="BI39" i="25"/>
  <c r="BQ39" i="25"/>
  <c r="BY39" i="25"/>
  <c r="AM39" i="25"/>
  <c r="AU39" i="25"/>
  <c r="BC39" i="25"/>
  <c r="BK39" i="25"/>
  <c r="BS39" i="25"/>
  <c r="CA39" i="25"/>
  <c r="BN39" i="25"/>
  <c r="AM37" i="25"/>
  <c r="AU37" i="25"/>
  <c r="BC37" i="25"/>
  <c r="BK37" i="25"/>
  <c r="BS37" i="25"/>
  <c r="CA37" i="25"/>
  <c r="AN37" i="25"/>
  <c r="AV37" i="25"/>
  <c r="BD37" i="25"/>
  <c r="BL37" i="25"/>
  <c r="BT37" i="25"/>
  <c r="CB37" i="25"/>
  <c r="AO37" i="25"/>
  <c r="AW37" i="25"/>
  <c r="BE37" i="25"/>
  <c r="BM37" i="25"/>
  <c r="BU37" i="25"/>
  <c r="CC37" i="25"/>
  <c r="AQ37" i="25"/>
  <c r="AY37" i="25"/>
  <c r="BG37" i="25"/>
  <c r="BO37" i="25"/>
  <c r="BW37" i="25"/>
  <c r="CE37" i="25"/>
  <c r="AO46" i="25"/>
  <c r="AW46" i="25"/>
  <c r="BE46" i="25"/>
  <c r="BM46" i="25"/>
  <c r="BU46" i="25"/>
  <c r="CC46" i="25"/>
  <c r="AP46" i="25"/>
  <c r="AX46" i="25"/>
  <c r="BF46" i="25"/>
  <c r="BN46" i="25"/>
  <c r="BV46" i="25"/>
  <c r="CD46" i="25"/>
  <c r="AS46" i="25"/>
  <c r="BA46" i="25"/>
  <c r="BI46" i="25"/>
  <c r="BQ46" i="25"/>
  <c r="BY46" i="25"/>
  <c r="AQ35" i="25"/>
  <c r="AY35" i="25"/>
  <c r="BG35" i="25"/>
  <c r="BO35" i="25"/>
  <c r="BW35" i="25"/>
  <c r="CE35" i="25"/>
  <c r="AR35" i="25"/>
  <c r="AZ35" i="25"/>
  <c r="BH35" i="25"/>
  <c r="BP35" i="25"/>
  <c r="BX35" i="25"/>
  <c r="AS35" i="25"/>
  <c r="BA35" i="25"/>
  <c r="BI35" i="25"/>
  <c r="BQ35" i="25"/>
  <c r="BY35" i="25"/>
  <c r="AM35" i="25"/>
  <c r="AU35" i="25"/>
  <c r="BC35" i="25"/>
  <c r="BK35" i="25"/>
  <c r="BS35" i="25"/>
  <c r="CA35" i="25"/>
  <c r="BX52" i="25"/>
  <c r="BN52" i="25"/>
  <c r="BC52" i="25"/>
  <c r="AR52" i="25"/>
  <c r="CE50" i="25"/>
  <c r="BT50" i="25"/>
  <c r="BJ50" i="25"/>
  <c r="AV50" i="25"/>
  <c r="BX48" i="25"/>
  <c r="BL48" i="25"/>
  <c r="AY48" i="25"/>
  <c r="AM48" i="25"/>
  <c r="CA46" i="25"/>
  <c r="BO46" i="25"/>
  <c r="BB46" i="25"/>
  <c r="AN46" i="25"/>
  <c r="BV45" i="25"/>
  <c r="BI45" i="25"/>
  <c r="CB40" i="25"/>
  <c r="BL40" i="25"/>
  <c r="AV40" i="25"/>
  <c r="BZ39" i="25"/>
  <c r="BJ39" i="25"/>
  <c r="AT39" i="25"/>
  <c r="BV37" i="25"/>
  <c r="BF37" i="25"/>
  <c r="AP37" i="25"/>
  <c r="BR35" i="25"/>
  <c r="BB35" i="25"/>
  <c r="AL35" i="25"/>
  <c r="BC32" i="25"/>
  <c r="BD52" i="26"/>
  <c r="BP50" i="26"/>
  <c r="AM45" i="25"/>
  <c r="AU45" i="25"/>
  <c r="BC45" i="25"/>
  <c r="BK45" i="25"/>
  <c r="BS45" i="25"/>
  <c r="CA45" i="25"/>
  <c r="AN45" i="25"/>
  <c r="AV45" i="25"/>
  <c r="BD45" i="25"/>
  <c r="BL45" i="25"/>
  <c r="BT45" i="25"/>
  <c r="CB45" i="25"/>
  <c r="AQ45" i="25"/>
  <c r="AY45" i="25"/>
  <c r="BG45" i="25"/>
  <c r="BO45" i="25"/>
  <c r="BW45" i="25"/>
  <c r="CE45" i="25"/>
  <c r="AZ52" i="26"/>
  <c r="BR51" i="26"/>
  <c r="AX49" i="26"/>
  <c r="AY46" i="26"/>
  <c r="AU37" i="26"/>
  <c r="BW52" i="25"/>
  <c r="BL52" i="25"/>
  <c r="BA52" i="25"/>
  <c r="AQ52" i="25"/>
  <c r="CC50" i="25"/>
  <c r="BS50" i="25"/>
  <c r="BH50" i="25"/>
  <c r="BW48" i="25"/>
  <c r="BK48" i="25"/>
  <c r="AX48" i="25"/>
  <c r="BZ46" i="25"/>
  <c r="BL46" i="25"/>
  <c r="AZ46" i="25"/>
  <c r="AM46" i="25"/>
  <c r="BU45" i="25"/>
  <c r="BH45" i="25"/>
  <c r="AT45" i="25"/>
  <c r="BX40" i="25"/>
  <c r="BH40" i="25"/>
  <c r="AR40" i="25"/>
  <c r="BV39" i="25"/>
  <c r="BF39" i="25"/>
  <c r="AP39" i="25"/>
  <c r="BR37" i="25"/>
  <c r="BB37" i="25"/>
  <c r="AL37" i="25"/>
  <c r="CD35" i="25"/>
  <c r="BN35" i="25"/>
  <c r="AX35" i="25"/>
  <c r="CA32" i="25"/>
  <c r="AU32" i="25"/>
  <c r="AO50" i="25"/>
  <c r="AW50" i="25"/>
  <c r="BE50" i="25"/>
  <c r="AP50" i="25"/>
  <c r="AX50" i="25"/>
  <c r="BF50" i="25"/>
  <c r="BN50" i="25"/>
  <c r="BV50" i="25"/>
  <c r="CD50" i="25"/>
  <c r="AS50" i="25"/>
  <c r="BA50" i="25"/>
  <c r="BI50" i="25"/>
  <c r="BQ50" i="25"/>
  <c r="BY50" i="25"/>
  <c r="AX52" i="26"/>
  <c r="BL48" i="26"/>
  <c r="BW44" i="26"/>
  <c r="BV52" i="25"/>
  <c r="BK52" i="25"/>
  <c r="AZ52" i="25"/>
  <c r="CB50" i="25"/>
  <c r="BR50" i="25"/>
  <c r="BG50" i="25"/>
  <c r="AT50" i="25"/>
  <c r="BV48" i="25"/>
  <c r="BH48" i="25"/>
  <c r="AV48" i="25"/>
  <c r="AL46" i="25"/>
  <c r="BR45" i="25"/>
  <c r="BF45" i="25"/>
  <c r="AS45" i="25"/>
  <c r="BW40" i="25"/>
  <c r="BG40" i="25"/>
  <c r="BU39" i="25"/>
  <c r="BE39" i="25"/>
  <c r="AO39" i="25"/>
  <c r="BQ37" i="25"/>
  <c r="BA37" i="25"/>
  <c r="CC35" i="25"/>
  <c r="BM35" i="25"/>
  <c r="AW35" i="25"/>
  <c r="BX32" i="25"/>
  <c r="AR32" i="25"/>
  <c r="AO36" i="24"/>
  <c r="AW36" i="24"/>
  <c r="BE36" i="24"/>
  <c r="BM36" i="24"/>
  <c r="BU36" i="24"/>
  <c r="CC36" i="24"/>
  <c r="AQ36" i="24"/>
  <c r="AY36" i="24"/>
  <c r="BG36" i="24"/>
  <c r="BO36" i="24"/>
  <c r="BW36" i="24"/>
  <c r="CE36" i="24"/>
  <c r="AR36" i="24"/>
  <c r="AZ36" i="24"/>
  <c r="BH36" i="24"/>
  <c r="BP36" i="24"/>
  <c r="BX36" i="24"/>
  <c r="AN36" i="24"/>
  <c r="BB36" i="24"/>
  <c r="BN36" i="24"/>
  <c r="CA36" i="24"/>
  <c r="AP36" i="24"/>
  <c r="BC36" i="24"/>
  <c r="BQ36" i="24"/>
  <c r="CB36" i="24"/>
  <c r="AT36" i="24"/>
  <c r="BF36" i="24"/>
  <c r="BS36" i="24"/>
  <c r="AX36" i="24"/>
  <c r="BT36" i="24"/>
  <c r="BA36" i="24"/>
  <c r="BV36" i="24"/>
  <c r="BD36" i="24"/>
  <c r="BY36" i="24"/>
  <c r="AL36" i="24"/>
  <c r="BI36" i="24"/>
  <c r="BZ36" i="24"/>
  <c r="AM36" i="24"/>
  <c r="BJ36" i="24"/>
  <c r="CD36" i="24"/>
  <c r="AS36" i="24"/>
  <c r="BK36" i="24"/>
  <c r="AU36" i="24"/>
  <c r="BL36" i="24"/>
  <c r="AV36" i="24"/>
  <c r="BR36" i="24"/>
  <c r="BM52" i="24"/>
  <c r="AS40" i="25"/>
  <c r="BA40" i="25"/>
  <c r="BI40" i="25"/>
  <c r="BQ40" i="25"/>
  <c r="BY40" i="25"/>
  <c r="AL40" i="25"/>
  <c r="AT40" i="25"/>
  <c r="BB40" i="25"/>
  <c r="BJ40" i="25"/>
  <c r="BR40" i="25"/>
  <c r="BZ40" i="25"/>
  <c r="AM40" i="25"/>
  <c r="AU40" i="25"/>
  <c r="BC40" i="25"/>
  <c r="BK40" i="25"/>
  <c r="BS40" i="25"/>
  <c r="CA40" i="25"/>
  <c r="AO40" i="25"/>
  <c r="AW40" i="25"/>
  <c r="BE40" i="25"/>
  <c r="BM40" i="25"/>
  <c r="BU40" i="25"/>
  <c r="CC40" i="25"/>
  <c r="BB50" i="25"/>
  <c r="BP40" i="25"/>
  <c r="BX52" i="26"/>
  <c r="AV52" i="26"/>
  <c r="BD48" i="26"/>
  <c r="BW35" i="26"/>
  <c r="AL52" i="25"/>
  <c r="AT52" i="25"/>
  <c r="BB52" i="25"/>
  <c r="BJ52" i="25"/>
  <c r="BR52" i="25"/>
  <c r="BZ52" i="25"/>
  <c r="AO52" i="25"/>
  <c r="AW52" i="25"/>
  <c r="BE52" i="25"/>
  <c r="BM52" i="25"/>
  <c r="BU52" i="25"/>
  <c r="CC52" i="25"/>
  <c r="CE52" i="25"/>
  <c r="BT52" i="25"/>
  <c r="BI52" i="25"/>
  <c r="AY52" i="25"/>
  <c r="AN52" i="25"/>
  <c r="CA50" i="25"/>
  <c r="BP50" i="25"/>
  <c r="BD50" i="25"/>
  <c r="AR50" i="25"/>
  <c r="BT48" i="25"/>
  <c r="BG48" i="25"/>
  <c r="AU48" i="25"/>
  <c r="CD45" i="25"/>
  <c r="BQ45" i="25"/>
  <c r="BE45" i="25"/>
  <c r="AR45" i="25"/>
  <c r="BV40" i="25"/>
  <c r="BF40" i="25"/>
  <c r="AP40" i="25"/>
  <c r="BT39" i="25"/>
  <c r="BD39" i="25"/>
  <c r="AN39" i="25"/>
  <c r="BP37" i="25"/>
  <c r="AZ37" i="25"/>
  <c r="CB35" i="25"/>
  <c r="BL35" i="25"/>
  <c r="AV35" i="25"/>
  <c r="BV32" i="25"/>
  <c r="AM35" i="24"/>
  <c r="AU35" i="24"/>
  <c r="BC35" i="24"/>
  <c r="BK35" i="24"/>
  <c r="BS35" i="24"/>
  <c r="CA35" i="24"/>
  <c r="AN35" i="24"/>
  <c r="AV35" i="24"/>
  <c r="BD35" i="24"/>
  <c r="BL35" i="24"/>
  <c r="BT35" i="24"/>
  <c r="AO35" i="24"/>
  <c r="AW35" i="24"/>
  <c r="BE35" i="24"/>
  <c r="BM35" i="24"/>
  <c r="BU35" i="24"/>
  <c r="CC35" i="24"/>
  <c r="AP35" i="24"/>
  <c r="AX35" i="24"/>
  <c r="BF35" i="24"/>
  <c r="BN35" i="24"/>
  <c r="BV35" i="24"/>
  <c r="CD35" i="24"/>
  <c r="AQ35" i="24"/>
  <c r="BG35" i="24"/>
  <c r="BW35" i="24"/>
  <c r="AR35" i="24"/>
  <c r="BH35" i="24"/>
  <c r="BX35" i="24"/>
  <c r="AT35" i="24"/>
  <c r="BJ35" i="24"/>
  <c r="BZ35" i="24"/>
  <c r="AZ35" i="24"/>
  <c r="BY35" i="24"/>
  <c r="BA35" i="24"/>
  <c r="CB35" i="24"/>
  <c r="BB35" i="24"/>
  <c r="CE35" i="24"/>
  <c r="BI35" i="24"/>
  <c r="BO35" i="24"/>
  <c r="AL35" i="24"/>
  <c r="BP35" i="24"/>
  <c r="AS35" i="24"/>
  <c r="BQ35" i="24"/>
  <c r="AY35" i="24"/>
  <c r="BR35" i="24"/>
  <c r="BX50" i="25"/>
  <c r="CD48" i="25"/>
  <c r="BV52" i="26"/>
  <c r="CD52" i="25"/>
  <c r="BS52" i="25"/>
  <c r="BH52" i="25"/>
  <c r="AX52" i="25"/>
  <c r="AM52" i="25"/>
  <c r="BZ50" i="25"/>
  <c r="BO50" i="25"/>
  <c r="BC50" i="25"/>
  <c r="AQ50" i="25"/>
  <c r="CE48" i="25"/>
  <c r="BS48" i="25"/>
  <c r="BF48" i="25"/>
  <c r="AR48" i="25"/>
  <c r="BT46" i="25"/>
  <c r="BH46" i="25"/>
  <c r="AU46" i="25"/>
  <c r="CC45" i="25"/>
  <c r="BP45" i="25"/>
  <c r="BB45" i="25"/>
  <c r="AP45" i="25"/>
  <c r="BT40" i="25"/>
  <c r="BD40" i="25"/>
  <c r="AN40" i="25"/>
  <c r="BR39" i="25"/>
  <c r="BB39" i="25"/>
  <c r="AL39" i="25"/>
  <c r="CD37" i="25"/>
  <c r="BN37" i="25"/>
  <c r="AX37" i="25"/>
  <c r="BZ35" i="25"/>
  <c r="BJ35" i="25"/>
  <c r="AT35" i="25"/>
  <c r="BP32" i="25"/>
  <c r="AP52" i="24"/>
  <c r="AX52" i="24"/>
  <c r="BF52" i="24"/>
  <c r="AN52" i="24"/>
  <c r="AW52" i="24"/>
  <c r="BG52" i="24"/>
  <c r="BO52" i="24"/>
  <c r="BW52" i="24"/>
  <c r="CE52" i="24"/>
  <c r="AO52" i="24"/>
  <c r="AY52" i="24"/>
  <c r="BH52" i="24"/>
  <c r="BP52" i="24"/>
  <c r="BX52" i="24"/>
  <c r="AQ52" i="24"/>
  <c r="AZ52" i="24"/>
  <c r="BI52" i="24"/>
  <c r="BQ52" i="24"/>
  <c r="BY52" i="24"/>
  <c r="AS52" i="24"/>
  <c r="BB52" i="24"/>
  <c r="BK52" i="24"/>
  <c r="BS52" i="24"/>
  <c r="CA52" i="24"/>
  <c r="AT52" i="24"/>
  <c r="BC52" i="24"/>
  <c r="BL52" i="24"/>
  <c r="BT52" i="24"/>
  <c r="CB52" i="24"/>
  <c r="AR52" i="24"/>
  <c r="BN52" i="24"/>
  <c r="AU52" i="24"/>
  <c r="BR52" i="24"/>
  <c r="AV52" i="24"/>
  <c r="BU52" i="24"/>
  <c r="BA52" i="24"/>
  <c r="BV52" i="24"/>
  <c r="BD52" i="24"/>
  <c r="BZ52" i="24"/>
  <c r="BE52" i="24"/>
  <c r="CC52" i="24"/>
  <c r="AL52" i="24"/>
  <c r="BJ52" i="24"/>
  <c r="CD52" i="24"/>
  <c r="AS46" i="24"/>
  <c r="BA46" i="24"/>
  <c r="BI46" i="24"/>
  <c r="BQ46" i="24"/>
  <c r="BY46" i="24"/>
  <c r="AN46" i="24"/>
  <c r="AW46" i="24"/>
  <c r="BF46" i="24"/>
  <c r="BO46" i="24"/>
  <c r="BX46" i="24"/>
  <c r="AP46" i="24"/>
  <c r="AY46" i="24"/>
  <c r="BH46" i="24"/>
  <c r="BR46" i="24"/>
  <c r="CA46" i="24"/>
  <c r="AR46" i="24"/>
  <c r="BD46" i="24"/>
  <c r="BP46" i="24"/>
  <c r="CC46" i="24"/>
  <c r="AT46" i="24"/>
  <c r="BE46" i="24"/>
  <c r="BS46" i="24"/>
  <c r="CD46" i="24"/>
  <c r="AU46" i="24"/>
  <c r="BG46" i="24"/>
  <c r="BT46" i="24"/>
  <c r="CE46" i="24"/>
  <c r="AV46" i="24"/>
  <c r="BJ46" i="24"/>
  <c r="BU46" i="24"/>
  <c r="AM46" i="24"/>
  <c r="AZ46" i="24"/>
  <c r="BL46" i="24"/>
  <c r="BW46" i="24"/>
  <c r="AO46" i="24"/>
  <c r="BB46" i="24"/>
  <c r="BM46" i="24"/>
  <c r="BZ46" i="24"/>
  <c r="BK46" i="24"/>
  <c r="BN46" i="24"/>
  <c r="BV46" i="24"/>
  <c r="CB46" i="24"/>
  <c r="AL46" i="24"/>
  <c r="AQ46" i="24"/>
  <c r="AX46" i="24"/>
  <c r="AQ41" i="24"/>
  <c r="AY41" i="24"/>
  <c r="BG41" i="24"/>
  <c r="BO41" i="24"/>
  <c r="BW41" i="24"/>
  <c r="CE41" i="24"/>
  <c r="AS41" i="24"/>
  <c r="BA41" i="24"/>
  <c r="BI41" i="24"/>
  <c r="BQ41" i="24"/>
  <c r="BY41" i="24"/>
  <c r="AL41" i="24"/>
  <c r="AT41" i="24"/>
  <c r="BB41" i="24"/>
  <c r="BJ41" i="24"/>
  <c r="BR41" i="24"/>
  <c r="BZ41" i="24"/>
  <c r="BD41" i="24"/>
  <c r="BP41" i="24"/>
  <c r="CC41" i="24"/>
  <c r="AU41" i="24"/>
  <c r="BF41" i="24"/>
  <c r="BT41" i="24"/>
  <c r="AZ41" i="24"/>
  <c r="BS41" i="24"/>
  <c r="AM41" i="24"/>
  <c r="BC41" i="24"/>
  <c r="BU41" i="24"/>
  <c r="AN41" i="24"/>
  <c r="BE41" i="24"/>
  <c r="BV41" i="24"/>
  <c r="AO41" i="24"/>
  <c r="BH41" i="24"/>
  <c r="BX41" i="24"/>
  <c r="AV41" i="24"/>
  <c r="BL41" i="24"/>
  <c r="CB41" i="24"/>
  <c r="AW41" i="24"/>
  <c r="BM41" i="24"/>
  <c r="CD41" i="24"/>
  <c r="AR41" i="24"/>
  <c r="AX41" i="24"/>
  <c r="BK41" i="24"/>
  <c r="BN41" i="24"/>
  <c r="CA41" i="24"/>
  <c r="AS42" i="24"/>
  <c r="BA42" i="24"/>
  <c r="BI42" i="24"/>
  <c r="BQ42" i="24"/>
  <c r="BY42" i="24"/>
  <c r="AM42" i="24"/>
  <c r="AU42" i="24"/>
  <c r="BC42" i="24"/>
  <c r="BK42" i="24"/>
  <c r="BS42" i="24"/>
  <c r="CA42" i="24"/>
  <c r="AN42" i="24"/>
  <c r="AV42" i="24"/>
  <c r="BD42" i="24"/>
  <c r="BL42" i="24"/>
  <c r="BT42" i="24"/>
  <c r="CB42" i="24"/>
  <c r="AW42" i="24"/>
  <c r="BH42" i="24"/>
  <c r="BV42" i="24"/>
  <c r="AL42" i="24"/>
  <c r="AY42" i="24"/>
  <c r="BM42" i="24"/>
  <c r="BX42" i="24"/>
  <c r="AP42" i="24"/>
  <c r="BF42" i="24"/>
  <c r="BW42" i="24"/>
  <c r="AQ42" i="24"/>
  <c r="BG42" i="24"/>
  <c r="BZ42" i="24"/>
  <c r="AR42" i="24"/>
  <c r="BJ42" i="24"/>
  <c r="CC42" i="24"/>
  <c r="AT42" i="24"/>
  <c r="BN42" i="24"/>
  <c r="CD42" i="24"/>
  <c r="AZ42" i="24"/>
  <c r="BP42" i="24"/>
  <c r="BB42" i="24"/>
  <c r="BR42" i="24"/>
  <c r="AS38" i="24"/>
  <c r="BA38" i="24"/>
  <c r="BI38" i="24"/>
  <c r="BQ38" i="24"/>
  <c r="BY38" i="24"/>
  <c r="AM38" i="24"/>
  <c r="AU38" i="24"/>
  <c r="BC38" i="24"/>
  <c r="BK38" i="24"/>
  <c r="BS38" i="24"/>
  <c r="CA38" i="24"/>
  <c r="AN38" i="24"/>
  <c r="AV38" i="24"/>
  <c r="BD38" i="24"/>
  <c r="BL38" i="24"/>
  <c r="BT38" i="24"/>
  <c r="CB38" i="24"/>
  <c r="AL38" i="24"/>
  <c r="AY38" i="24"/>
  <c r="BM38" i="24"/>
  <c r="BX38" i="24"/>
  <c r="AO38" i="24"/>
  <c r="AZ38" i="24"/>
  <c r="BN38" i="24"/>
  <c r="BZ38" i="24"/>
  <c r="AQ38" i="24"/>
  <c r="BE38" i="24"/>
  <c r="BP38" i="24"/>
  <c r="CD38" i="24"/>
  <c r="AP38" i="24"/>
  <c r="BH38" i="24"/>
  <c r="CE38" i="24"/>
  <c r="AR38" i="24"/>
  <c r="BJ38" i="24"/>
  <c r="AT38" i="24"/>
  <c r="BO38" i="24"/>
  <c r="AW38" i="24"/>
  <c r="BR38" i="24"/>
  <c r="AX38" i="24"/>
  <c r="BU38" i="24"/>
  <c r="BB38" i="24"/>
  <c r="BV38" i="24"/>
  <c r="BF38" i="24"/>
  <c r="BW38" i="24"/>
  <c r="BF51" i="24"/>
  <c r="BA49" i="24"/>
  <c r="BC48" i="24"/>
  <c r="BA47" i="24"/>
  <c r="BT43" i="24"/>
  <c r="AX42" i="24"/>
  <c r="BJ40" i="24"/>
  <c r="BO32" i="24"/>
  <c r="AQ45" i="24"/>
  <c r="AY45" i="24"/>
  <c r="BG45" i="24"/>
  <c r="BO45" i="24"/>
  <c r="BW45" i="24"/>
  <c r="CE45" i="24"/>
  <c r="AS45" i="24"/>
  <c r="AL45" i="24"/>
  <c r="AM45" i="24"/>
  <c r="AW45" i="24"/>
  <c r="BF45" i="24"/>
  <c r="BP45" i="24"/>
  <c r="BY45" i="24"/>
  <c r="AO45" i="24"/>
  <c r="AZ45" i="24"/>
  <c r="BI45" i="24"/>
  <c r="BR45" i="24"/>
  <c r="CA45" i="24"/>
  <c r="AN45" i="24"/>
  <c r="BB45" i="24"/>
  <c r="BM45" i="24"/>
  <c r="BZ45" i="24"/>
  <c r="AP45" i="24"/>
  <c r="BC45" i="24"/>
  <c r="BN45" i="24"/>
  <c r="CB45" i="24"/>
  <c r="AR45" i="24"/>
  <c r="BD45" i="24"/>
  <c r="BQ45" i="24"/>
  <c r="CC45" i="24"/>
  <c r="AT45" i="24"/>
  <c r="BE45" i="24"/>
  <c r="BS45" i="24"/>
  <c r="CD45" i="24"/>
  <c r="AV45" i="24"/>
  <c r="BJ45" i="24"/>
  <c r="BU45" i="24"/>
  <c r="AX45" i="24"/>
  <c r="BK45" i="24"/>
  <c r="BV45" i="24"/>
  <c r="AP34" i="24"/>
  <c r="AX34" i="24"/>
  <c r="BF34" i="24"/>
  <c r="BN34" i="24"/>
  <c r="BV34" i="24"/>
  <c r="CD34" i="24"/>
  <c r="AM34" i="24"/>
  <c r="AV34" i="24"/>
  <c r="BE34" i="24"/>
  <c r="BO34" i="24"/>
  <c r="BX34" i="24"/>
  <c r="AN34" i="24"/>
  <c r="AW34" i="24"/>
  <c r="BG34" i="24"/>
  <c r="BP34" i="24"/>
  <c r="BY34" i="24"/>
  <c r="AO34" i="24"/>
  <c r="AY34" i="24"/>
  <c r="BH34" i="24"/>
  <c r="BQ34" i="24"/>
  <c r="BZ34" i="24"/>
  <c r="AQ34" i="24"/>
  <c r="AZ34" i="24"/>
  <c r="BI34" i="24"/>
  <c r="BR34" i="24"/>
  <c r="CA34" i="24"/>
  <c r="BA34" i="24"/>
  <c r="BS34" i="24"/>
  <c r="BB34" i="24"/>
  <c r="BT34" i="24"/>
  <c r="AL34" i="24"/>
  <c r="BD34" i="24"/>
  <c r="BW34" i="24"/>
  <c r="AR34" i="24"/>
  <c r="BM34" i="24"/>
  <c r="AS34" i="24"/>
  <c r="BU34" i="24"/>
  <c r="AT34" i="24"/>
  <c r="CB34" i="24"/>
  <c r="AU34" i="24"/>
  <c r="CC34" i="24"/>
  <c r="BC34" i="24"/>
  <c r="CE34" i="24"/>
  <c r="BJ34" i="24"/>
  <c r="BK34" i="24"/>
  <c r="CC51" i="24"/>
  <c r="BE51" i="24"/>
  <c r="AS47" i="24"/>
  <c r="BI43" i="24"/>
  <c r="AQ49" i="24"/>
  <c r="AY49" i="24"/>
  <c r="BG49" i="24"/>
  <c r="AO49" i="24"/>
  <c r="AX49" i="24"/>
  <c r="BH49" i="24"/>
  <c r="BP49" i="24"/>
  <c r="BX49" i="24"/>
  <c r="AU49" i="24"/>
  <c r="BE49" i="24"/>
  <c r="BO49" i="24"/>
  <c r="BY49" i="24"/>
  <c r="AL49" i="24"/>
  <c r="AV49" i="24"/>
  <c r="BF49" i="24"/>
  <c r="BQ49" i="24"/>
  <c r="BZ49" i="24"/>
  <c r="AM49" i="24"/>
  <c r="AW49" i="24"/>
  <c r="BI49" i="24"/>
  <c r="BR49" i="24"/>
  <c r="CA49" i="24"/>
  <c r="AN49" i="24"/>
  <c r="AZ49" i="24"/>
  <c r="BJ49" i="24"/>
  <c r="BS49" i="24"/>
  <c r="CB49" i="24"/>
  <c r="AR49" i="24"/>
  <c r="BB49" i="24"/>
  <c r="BL49" i="24"/>
  <c r="BU49" i="24"/>
  <c r="CD49" i="24"/>
  <c r="AS49" i="24"/>
  <c r="BC49" i="24"/>
  <c r="BM49" i="24"/>
  <c r="BV49" i="24"/>
  <c r="CE49" i="24"/>
  <c r="AQ37" i="24"/>
  <c r="AY37" i="24"/>
  <c r="BG37" i="24"/>
  <c r="BO37" i="24"/>
  <c r="BW37" i="24"/>
  <c r="CE37" i="24"/>
  <c r="AS37" i="24"/>
  <c r="BA37" i="24"/>
  <c r="BI37" i="24"/>
  <c r="BQ37" i="24"/>
  <c r="BY37" i="24"/>
  <c r="AL37" i="24"/>
  <c r="AT37" i="24"/>
  <c r="BB37" i="24"/>
  <c r="BJ37" i="24"/>
  <c r="BR37" i="24"/>
  <c r="BZ37" i="24"/>
  <c r="AU37" i="24"/>
  <c r="BF37" i="24"/>
  <c r="BT37" i="24"/>
  <c r="AV37" i="24"/>
  <c r="BH37" i="24"/>
  <c r="BU37" i="24"/>
  <c r="AM37" i="24"/>
  <c r="AX37" i="24"/>
  <c r="BL37" i="24"/>
  <c r="BX37" i="24"/>
  <c r="AR37" i="24"/>
  <c r="BN37" i="24"/>
  <c r="AW37" i="24"/>
  <c r="BP37" i="24"/>
  <c r="AZ37" i="24"/>
  <c r="BS37" i="24"/>
  <c r="BC37" i="24"/>
  <c r="BV37" i="24"/>
  <c r="BD37" i="24"/>
  <c r="CA37" i="24"/>
  <c r="AN37" i="24"/>
  <c r="BE37" i="24"/>
  <c r="CB37" i="24"/>
  <c r="AO37" i="24"/>
  <c r="BK37" i="24"/>
  <c r="CC37" i="24"/>
  <c r="BX51" i="24"/>
  <c r="BA51" i="24"/>
  <c r="CC49" i="24"/>
  <c r="AP49" i="24"/>
  <c r="AO47" i="24"/>
  <c r="BB43" i="24"/>
  <c r="BW51" i="24"/>
  <c r="AW51" i="24"/>
  <c r="BW49" i="24"/>
  <c r="CD47" i="24"/>
  <c r="BX45" i="24"/>
  <c r="AO48" i="24"/>
  <c r="AW48" i="24"/>
  <c r="BE48" i="24"/>
  <c r="BM48" i="24"/>
  <c r="BU48" i="24"/>
  <c r="CC48" i="24"/>
  <c r="AM48" i="24"/>
  <c r="AV48" i="24"/>
  <c r="BF48" i="24"/>
  <c r="AP48" i="24"/>
  <c r="AY48" i="24"/>
  <c r="BH48" i="24"/>
  <c r="BQ48" i="24"/>
  <c r="BZ48" i="24"/>
  <c r="AX48" i="24"/>
  <c r="BJ48" i="24"/>
  <c r="BT48" i="24"/>
  <c r="CE48" i="24"/>
  <c r="AL48" i="24"/>
  <c r="AZ48" i="24"/>
  <c r="BK48" i="24"/>
  <c r="BV48" i="24"/>
  <c r="AN48" i="24"/>
  <c r="BA48" i="24"/>
  <c r="BL48" i="24"/>
  <c r="BW48" i="24"/>
  <c r="AQ48" i="24"/>
  <c r="BB48" i="24"/>
  <c r="BN48" i="24"/>
  <c r="BX48" i="24"/>
  <c r="AS48" i="24"/>
  <c r="BD48" i="24"/>
  <c r="BP48" i="24"/>
  <c r="CA48" i="24"/>
  <c r="AT48" i="24"/>
  <c r="BG48" i="24"/>
  <c r="BR48" i="24"/>
  <c r="CB48" i="24"/>
  <c r="AN33" i="24"/>
  <c r="AV33" i="24"/>
  <c r="BD33" i="24"/>
  <c r="BL33" i="24"/>
  <c r="BT33" i="24"/>
  <c r="CB33" i="24"/>
  <c r="AM33" i="24"/>
  <c r="AW33" i="24"/>
  <c r="BF33" i="24"/>
  <c r="BO33" i="24"/>
  <c r="BX33" i="24"/>
  <c r="AO33" i="24"/>
  <c r="AX33" i="24"/>
  <c r="BG33" i="24"/>
  <c r="BP33" i="24"/>
  <c r="BY33" i="24"/>
  <c r="AP33" i="24"/>
  <c r="AY33" i="24"/>
  <c r="BH33" i="24"/>
  <c r="BQ33" i="24"/>
  <c r="BZ33" i="24"/>
  <c r="AQ33" i="24"/>
  <c r="AZ33" i="24"/>
  <c r="BI33" i="24"/>
  <c r="BR33" i="24"/>
  <c r="CA33" i="24"/>
  <c r="AR33" i="24"/>
  <c r="BJ33" i="24"/>
  <c r="CC33" i="24"/>
  <c r="AS33" i="24"/>
  <c r="BK33" i="24"/>
  <c r="CD33" i="24"/>
  <c r="AU33" i="24"/>
  <c r="BN33" i="24"/>
  <c r="BC33" i="24"/>
  <c r="BE33" i="24"/>
  <c r="BM33" i="24"/>
  <c r="BS33" i="24"/>
  <c r="AL33" i="24"/>
  <c r="BU33" i="24"/>
  <c r="AT33" i="24"/>
  <c r="BV33" i="24"/>
  <c r="BA33" i="24"/>
  <c r="BW33" i="24"/>
  <c r="BS51" i="24"/>
  <c r="BT49" i="24"/>
  <c r="BY48" i="24"/>
  <c r="BY47" i="24"/>
  <c r="BT45" i="24"/>
  <c r="CE42" i="24"/>
  <c r="CC38" i="24"/>
  <c r="AN51" i="24"/>
  <c r="AV51" i="24"/>
  <c r="BD51" i="24"/>
  <c r="BL51" i="24"/>
  <c r="BT51" i="24"/>
  <c r="CB51" i="24"/>
  <c r="AO51" i="24"/>
  <c r="AX51" i="24"/>
  <c r="BG51" i="24"/>
  <c r="BP51" i="24"/>
  <c r="BY51" i="24"/>
  <c r="AP51" i="24"/>
  <c r="AY51" i="24"/>
  <c r="BH51" i="24"/>
  <c r="BQ51" i="24"/>
  <c r="BZ51" i="24"/>
  <c r="AQ51" i="24"/>
  <c r="AZ51" i="24"/>
  <c r="BI51" i="24"/>
  <c r="BR51" i="24"/>
  <c r="CA51" i="24"/>
  <c r="AS51" i="24"/>
  <c r="BB51" i="24"/>
  <c r="BK51" i="24"/>
  <c r="BU51" i="24"/>
  <c r="CD51" i="24"/>
  <c r="AT51" i="24"/>
  <c r="BC51" i="24"/>
  <c r="BM51" i="24"/>
  <c r="BV51" i="24"/>
  <c r="CE51" i="24"/>
  <c r="AO40" i="24"/>
  <c r="AW40" i="24"/>
  <c r="BE40" i="24"/>
  <c r="BM40" i="24"/>
  <c r="BU40" i="24"/>
  <c r="CC40" i="24"/>
  <c r="AQ40" i="24"/>
  <c r="AY40" i="24"/>
  <c r="BG40" i="24"/>
  <c r="BO40" i="24"/>
  <c r="BW40" i="24"/>
  <c r="CE40" i="24"/>
  <c r="AR40" i="24"/>
  <c r="AZ40" i="24"/>
  <c r="BH40" i="24"/>
  <c r="BP40" i="24"/>
  <c r="BX40" i="24"/>
  <c r="AL40" i="24"/>
  <c r="AX40" i="24"/>
  <c r="BK40" i="24"/>
  <c r="BY40" i="24"/>
  <c r="AN40" i="24"/>
  <c r="BB40" i="24"/>
  <c r="BN40" i="24"/>
  <c r="CA40" i="24"/>
  <c r="AU40" i="24"/>
  <c r="BL40" i="24"/>
  <c r="CD40" i="24"/>
  <c r="AV40" i="24"/>
  <c r="BQ40" i="24"/>
  <c r="BA40" i="24"/>
  <c r="BR40" i="24"/>
  <c r="BC40" i="24"/>
  <c r="BS40" i="24"/>
  <c r="AM40" i="24"/>
  <c r="BD40" i="24"/>
  <c r="BT40" i="24"/>
  <c r="AP40" i="24"/>
  <c r="BF40" i="24"/>
  <c r="BV40" i="24"/>
  <c r="AS40" i="24"/>
  <c r="BI40" i="24"/>
  <c r="BZ40" i="24"/>
  <c r="BO51" i="24"/>
  <c r="AR51" i="24"/>
  <c r="BN49" i="24"/>
  <c r="BL45" i="24"/>
  <c r="BL34" i="24"/>
  <c r="AM47" i="24"/>
  <c r="AU47" i="24"/>
  <c r="BC47" i="24"/>
  <c r="BK47" i="24"/>
  <c r="BS47" i="24"/>
  <c r="CA47" i="24"/>
  <c r="AN47" i="24"/>
  <c r="AW47" i="24"/>
  <c r="BF47" i="24"/>
  <c r="BO47" i="24"/>
  <c r="BX47" i="24"/>
  <c r="AP47" i="24"/>
  <c r="AY47" i="24"/>
  <c r="BH47" i="24"/>
  <c r="BQ47" i="24"/>
  <c r="BZ47" i="24"/>
  <c r="AT47" i="24"/>
  <c r="BG47" i="24"/>
  <c r="BT47" i="24"/>
  <c r="CE47" i="24"/>
  <c r="AV47" i="24"/>
  <c r="BI47" i="24"/>
  <c r="BU47" i="24"/>
  <c r="AX47" i="24"/>
  <c r="BJ47" i="24"/>
  <c r="BV47" i="24"/>
  <c r="AL47" i="24"/>
  <c r="AZ47" i="24"/>
  <c r="BL47" i="24"/>
  <c r="BW47" i="24"/>
  <c r="AQ47" i="24"/>
  <c r="BB47" i="24"/>
  <c r="BN47" i="24"/>
  <c r="CB47" i="24"/>
  <c r="AR47" i="24"/>
  <c r="BD47" i="24"/>
  <c r="BP47" i="24"/>
  <c r="CC47" i="24"/>
  <c r="AM43" i="24"/>
  <c r="AU43" i="24"/>
  <c r="BC43" i="24"/>
  <c r="BK43" i="24"/>
  <c r="BS43" i="24"/>
  <c r="CA43" i="24"/>
  <c r="AO43" i="24"/>
  <c r="AW43" i="24"/>
  <c r="BE43" i="24"/>
  <c r="BM43" i="24"/>
  <c r="BU43" i="24"/>
  <c r="CC43" i="24"/>
  <c r="AP43" i="24"/>
  <c r="AX43" i="24"/>
  <c r="BF43" i="24"/>
  <c r="BN43" i="24"/>
  <c r="BV43" i="24"/>
  <c r="CD43" i="24"/>
  <c r="AN43" i="24"/>
  <c r="BA43" i="24"/>
  <c r="BO43" i="24"/>
  <c r="BZ43" i="24"/>
  <c r="AR43" i="24"/>
  <c r="BD43" i="24"/>
  <c r="BQ43" i="24"/>
  <c r="CE43" i="24"/>
  <c r="AT43" i="24"/>
  <c r="BJ43" i="24"/>
  <c r="CB43" i="24"/>
  <c r="AV43" i="24"/>
  <c r="BL43" i="24"/>
  <c r="AY43" i="24"/>
  <c r="BP43" i="24"/>
  <c r="AZ43" i="24"/>
  <c r="BR43" i="24"/>
  <c r="AL43" i="24"/>
  <c r="BG43" i="24"/>
  <c r="BW43" i="24"/>
  <c r="AQ43" i="24"/>
  <c r="BH43" i="24"/>
  <c r="BX43" i="24"/>
  <c r="AM32" i="24"/>
  <c r="AU32" i="24"/>
  <c r="BC32" i="24"/>
  <c r="BK32" i="24"/>
  <c r="BS32" i="24"/>
  <c r="CA32" i="24"/>
  <c r="AO32" i="24"/>
  <c r="AX32" i="24"/>
  <c r="BG32" i="24"/>
  <c r="BP32" i="24"/>
  <c r="BY32" i="24"/>
  <c r="AP32" i="24"/>
  <c r="AY32" i="24"/>
  <c r="BH32" i="24"/>
  <c r="BQ32" i="24"/>
  <c r="BZ32" i="24"/>
  <c r="AQ32" i="24"/>
  <c r="AZ32" i="24"/>
  <c r="BI32" i="24"/>
  <c r="BR32" i="24"/>
  <c r="CB32" i="24"/>
  <c r="AR32" i="24"/>
  <c r="BA32" i="24"/>
  <c r="BJ32" i="24"/>
  <c r="BT32" i="24"/>
  <c r="CC32" i="24"/>
  <c r="BB32" i="24"/>
  <c r="BU32" i="24"/>
  <c r="BD32" i="24"/>
  <c r="BV32" i="24"/>
  <c r="AN32" i="24"/>
  <c r="BF32" i="24"/>
  <c r="BX32" i="24"/>
  <c r="AT32" i="24"/>
  <c r="BW32" i="24"/>
  <c r="AV32" i="24"/>
  <c r="CD32" i="24"/>
  <c r="AW32" i="24"/>
  <c r="CE32" i="24"/>
  <c r="BE32" i="24"/>
  <c r="BL32" i="24"/>
  <c r="BM32" i="24"/>
  <c r="AL32" i="24"/>
  <c r="BN32" i="24"/>
  <c r="BN51" i="24"/>
  <c r="AM51" i="24"/>
  <c r="BK49" i="24"/>
  <c r="BM47" i="24"/>
  <c r="BH45" i="24"/>
  <c r="BO42" i="24"/>
  <c r="CD37" i="24"/>
  <c r="AL45" i="18"/>
  <c r="AT45" i="18"/>
  <c r="BJ45" i="18"/>
  <c r="AM45" i="18"/>
  <c r="AU45" i="18"/>
  <c r="BC45" i="18"/>
  <c r="BK45" i="18"/>
  <c r="AN45" i="18"/>
  <c r="AV45" i="18"/>
  <c r="AP45" i="18"/>
  <c r="AX45" i="18"/>
  <c r="BF45" i="18"/>
  <c r="BN45" i="18"/>
  <c r="AQ45" i="18"/>
  <c r="AY45" i="18"/>
  <c r="BG45" i="18"/>
  <c r="BO45" i="18"/>
  <c r="AR45" i="18"/>
  <c r="BI45" i="18"/>
  <c r="BU45" i="18"/>
  <c r="CC45" i="18"/>
  <c r="AS45" i="18"/>
  <c r="BL45" i="18"/>
  <c r="BV45" i="18"/>
  <c r="CD45" i="18"/>
  <c r="AW45" i="18"/>
  <c r="BM45" i="18"/>
  <c r="BW45" i="18"/>
  <c r="CE45" i="18"/>
  <c r="AZ45" i="18"/>
  <c r="BP45" i="18"/>
  <c r="BX45" i="18"/>
  <c r="BA45" i="18"/>
  <c r="BQ45" i="18"/>
  <c r="BY45" i="18"/>
  <c r="BD45" i="18"/>
  <c r="BR45" i="18"/>
  <c r="BZ45" i="18"/>
  <c r="BE45" i="18"/>
  <c r="BS45" i="18"/>
  <c r="CA45" i="18"/>
  <c r="AO45" i="18"/>
  <c r="BH45" i="18"/>
  <c r="BT45" i="18"/>
  <c r="CB45" i="18"/>
  <c r="AQ46" i="18"/>
  <c r="AY46" i="18"/>
  <c r="BG46" i="18"/>
  <c r="BO46" i="18"/>
  <c r="BW46" i="18"/>
  <c r="CE46" i="18"/>
  <c r="AR46" i="18"/>
  <c r="AZ46" i="18"/>
  <c r="BH46" i="18"/>
  <c r="BP46" i="18"/>
  <c r="BX46" i="18"/>
  <c r="AS46" i="18"/>
  <c r="BA46" i="18"/>
  <c r="BI46" i="18"/>
  <c r="BQ46" i="18"/>
  <c r="BY46" i="18"/>
  <c r="AL46" i="18"/>
  <c r="AT46" i="18"/>
  <c r="BB46" i="18"/>
  <c r="BJ46" i="18"/>
  <c r="BR46" i="18"/>
  <c r="BZ46" i="18"/>
  <c r="AM46" i="18"/>
  <c r="AU46" i="18"/>
  <c r="BC46" i="18"/>
  <c r="BK46" i="18"/>
  <c r="BS46" i="18"/>
  <c r="CA46" i="18"/>
  <c r="AN46" i="18"/>
  <c r="AV46" i="18"/>
  <c r="BD46" i="18"/>
  <c r="BL46" i="18"/>
  <c r="BT46" i="18"/>
  <c r="CB46" i="18"/>
  <c r="AO46" i="18"/>
  <c r="AW46" i="18"/>
  <c r="BE46" i="18"/>
  <c r="BM46" i="18"/>
  <c r="BU46" i="18"/>
  <c r="CC46" i="18"/>
  <c r="AZ40" i="18"/>
  <c r="BH40" i="18"/>
  <c r="BP40" i="18"/>
  <c r="BX40" i="18"/>
  <c r="AS40" i="18"/>
  <c r="BA40" i="18"/>
  <c r="BI40" i="18"/>
  <c r="BQ40" i="18"/>
  <c r="BY40" i="18"/>
  <c r="AL40" i="18"/>
  <c r="AT40" i="18"/>
  <c r="BB40" i="18"/>
  <c r="BJ40" i="18"/>
  <c r="BR40" i="18"/>
  <c r="BZ40" i="18"/>
  <c r="AM40" i="18"/>
  <c r="AU40" i="18"/>
  <c r="BC40" i="18"/>
  <c r="BK40" i="18"/>
  <c r="BS40" i="18"/>
  <c r="CA40" i="18"/>
  <c r="AN40" i="18"/>
  <c r="AV40" i="18"/>
  <c r="BD40" i="18"/>
  <c r="BL40" i="18"/>
  <c r="BT40" i="18"/>
  <c r="CB40" i="18"/>
  <c r="AO40" i="18"/>
  <c r="AW40" i="18"/>
  <c r="BE40" i="18"/>
  <c r="BM40" i="18"/>
  <c r="BU40" i="18"/>
  <c r="CC40" i="18"/>
  <c r="AP40" i="18"/>
  <c r="AX40" i="18"/>
  <c r="BF40" i="18"/>
  <c r="BN40" i="18"/>
  <c r="BV40" i="18"/>
  <c r="CD40" i="18"/>
  <c r="BW40" i="18"/>
  <c r="CE40" i="18"/>
  <c r="AQ40" i="18"/>
  <c r="AY40" i="18"/>
  <c r="BG40" i="18"/>
  <c r="AS32" i="18"/>
  <c r="BA32" i="18"/>
  <c r="BI32" i="18"/>
  <c r="BQ32" i="18"/>
  <c r="BY32" i="18"/>
  <c r="AL32" i="18"/>
  <c r="AT32" i="18"/>
  <c r="BB32" i="18"/>
  <c r="BJ32" i="18"/>
  <c r="BR32" i="18"/>
  <c r="BZ32" i="18"/>
  <c r="AM32" i="18"/>
  <c r="AU32" i="18"/>
  <c r="BC32" i="18"/>
  <c r="BK32" i="18"/>
  <c r="BS32" i="18"/>
  <c r="CA32" i="18"/>
  <c r="AN32" i="18"/>
  <c r="AV32" i="18"/>
  <c r="BD32" i="18"/>
  <c r="BL32" i="18"/>
  <c r="BT32" i="18"/>
  <c r="CB32" i="18"/>
  <c r="AO32" i="18"/>
  <c r="AW32" i="18"/>
  <c r="BE32" i="18"/>
  <c r="BM32" i="18"/>
  <c r="BU32" i="18"/>
  <c r="CC32" i="18"/>
  <c r="AP32" i="18"/>
  <c r="AX32" i="18"/>
  <c r="BF32" i="18"/>
  <c r="BN32" i="18"/>
  <c r="BV32" i="18"/>
  <c r="CD32" i="18"/>
  <c r="AQ32" i="18"/>
  <c r="AY32" i="18"/>
  <c r="BG32" i="18"/>
  <c r="BO32" i="18"/>
  <c r="BW32" i="18"/>
  <c r="CE32" i="18"/>
  <c r="BH32" i="18"/>
  <c r="BP32" i="18"/>
  <c r="BX32" i="18"/>
  <c r="AR32" i="18"/>
  <c r="BR48" i="18"/>
  <c r="BO40" i="18"/>
  <c r="CB49" i="18"/>
  <c r="BJ48" i="18"/>
  <c r="BT49" i="18"/>
  <c r="BB48" i="18"/>
  <c r="AR44" i="18"/>
  <c r="AZ44" i="18"/>
  <c r="BH44" i="18"/>
  <c r="BP44" i="18"/>
  <c r="BX44" i="18"/>
  <c r="AS44" i="18"/>
  <c r="BA44" i="18"/>
  <c r="BI44" i="18"/>
  <c r="BQ44" i="18"/>
  <c r="BY44" i="18"/>
  <c r="AL44" i="18"/>
  <c r="AT44" i="18"/>
  <c r="BB44" i="18"/>
  <c r="BJ44" i="18"/>
  <c r="BR44" i="18"/>
  <c r="BZ44" i="18"/>
  <c r="AU44" i="18"/>
  <c r="AN44" i="18"/>
  <c r="AV44" i="18"/>
  <c r="BD44" i="18"/>
  <c r="BL44" i="18"/>
  <c r="BT44" i="18"/>
  <c r="CB44" i="18"/>
  <c r="AO44" i="18"/>
  <c r="AW44" i="18"/>
  <c r="BE44" i="18"/>
  <c r="BM44" i="18"/>
  <c r="BU44" i="18"/>
  <c r="CC44" i="18"/>
  <c r="AQ44" i="18"/>
  <c r="BO44" i="18"/>
  <c r="AX44" i="18"/>
  <c r="BS44" i="18"/>
  <c r="AY44" i="18"/>
  <c r="BV44" i="18"/>
  <c r="BC44" i="18"/>
  <c r="BW44" i="18"/>
  <c r="BF44" i="18"/>
  <c r="CA44" i="18"/>
  <c r="BG44" i="18"/>
  <c r="CD44" i="18"/>
  <c r="BK44" i="18"/>
  <c r="CE44" i="18"/>
  <c r="AT48" i="18"/>
  <c r="BV46" i="18"/>
  <c r="AO49" i="18"/>
  <c r="AW49" i="18"/>
  <c r="BE49" i="18"/>
  <c r="BM49" i="18"/>
  <c r="BU49" i="18"/>
  <c r="CC49" i="18"/>
  <c r="AP49" i="18"/>
  <c r="AX49" i="18"/>
  <c r="BF49" i="18"/>
  <c r="BN49" i="18"/>
  <c r="BV49" i="18"/>
  <c r="CD49" i="18"/>
  <c r="AQ49" i="18"/>
  <c r="AY49" i="18"/>
  <c r="BG49" i="18"/>
  <c r="BO49" i="18"/>
  <c r="BW49" i="18"/>
  <c r="CE49" i="18"/>
  <c r="AR49" i="18"/>
  <c r="AZ49" i="18"/>
  <c r="BH49" i="18"/>
  <c r="BP49" i="18"/>
  <c r="BX49" i="18"/>
  <c r="AS49" i="18"/>
  <c r="BA49" i="18"/>
  <c r="BI49" i="18"/>
  <c r="BQ49" i="18"/>
  <c r="BY49" i="18"/>
  <c r="AL49" i="18"/>
  <c r="AT49" i="18"/>
  <c r="BB49" i="18"/>
  <c r="BJ49" i="18"/>
  <c r="BR49" i="18"/>
  <c r="BZ49" i="18"/>
  <c r="AM49" i="18"/>
  <c r="AU49" i="18"/>
  <c r="BC49" i="18"/>
  <c r="BK49" i="18"/>
  <c r="BS49" i="18"/>
  <c r="CA49" i="18"/>
  <c r="BD49" i="18"/>
  <c r="AR36" i="18"/>
  <c r="AZ36" i="18"/>
  <c r="BH36" i="18"/>
  <c r="BP36" i="18"/>
  <c r="BX36" i="18"/>
  <c r="AS36" i="18"/>
  <c r="BA36" i="18"/>
  <c r="BI36" i="18"/>
  <c r="BQ36" i="18"/>
  <c r="BY36" i="18"/>
  <c r="AL36" i="18"/>
  <c r="AT36" i="18"/>
  <c r="BB36" i="18"/>
  <c r="BJ36" i="18"/>
  <c r="BR36" i="18"/>
  <c r="BZ36" i="18"/>
  <c r="AM36" i="18"/>
  <c r="AU36" i="18"/>
  <c r="BC36" i="18"/>
  <c r="BK36" i="18"/>
  <c r="BS36" i="18"/>
  <c r="CA36" i="18"/>
  <c r="AN36" i="18"/>
  <c r="AV36" i="18"/>
  <c r="BD36" i="18"/>
  <c r="BL36" i="18"/>
  <c r="BT36" i="18"/>
  <c r="CB36" i="18"/>
  <c r="AO36" i="18"/>
  <c r="AW36" i="18"/>
  <c r="BE36" i="18"/>
  <c r="BM36" i="18"/>
  <c r="BU36" i="18"/>
  <c r="CC36" i="18"/>
  <c r="AP36" i="18"/>
  <c r="AX36" i="18"/>
  <c r="BF36" i="18"/>
  <c r="BN36" i="18"/>
  <c r="BV36" i="18"/>
  <c r="CD36" i="18"/>
  <c r="BO36" i="18"/>
  <c r="BW36" i="18"/>
  <c r="CE36" i="18"/>
  <c r="AQ36" i="18"/>
  <c r="AY36" i="18"/>
  <c r="AL37" i="18"/>
  <c r="AT37" i="18"/>
  <c r="BB37" i="18"/>
  <c r="BJ37" i="18"/>
  <c r="BR37" i="18"/>
  <c r="BZ37" i="18"/>
  <c r="AM37" i="18"/>
  <c r="AU37" i="18"/>
  <c r="BC37" i="18"/>
  <c r="BK37" i="18"/>
  <c r="BS37" i="18"/>
  <c r="CA37" i="18"/>
  <c r="AN37" i="18"/>
  <c r="AV37" i="18"/>
  <c r="BD37" i="18"/>
  <c r="BL37" i="18"/>
  <c r="BT37" i="18"/>
  <c r="CB37" i="18"/>
  <c r="AO37" i="18"/>
  <c r="AW37" i="18"/>
  <c r="BE37" i="18"/>
  <c r="BM37" i="18"/>
  <c r="BU37" i="18"/>
  <c r="CC37" i="18"/>
  <c r="AP37" i="18"/>
  <c r="AX37" i="18"/>
  <c r="BF37" i="18"/>
  <c r="BN37" i="18"/>
  <c r="BV37" i="18"/>
  <c r="CD37" i="18"/>
  <c r="AQ37" i="18"/>
  <c r="AY37" i="18"/>
  <c r="BG37" i="18"/>
  <c r="BO37" i="18"/>
  <c r="BW37" i="18"/>
  <c r="CE37" i="18"/>
  <c r="AR37" i="18"/>
  <c r="AZ37" i="18"/>
  <c r="BH37" i="18"/>
  <c r="BP37" i="18"/>
  <c r="BX37" i="18"/>
  <c r="AS37" i="18"/>
  <c r="BA37" i="18"/>
  <c r="BI37" i="18"/>
  <c r="BQ37" i="18"/>
  <c r="AV49" i="18"/>
  <c r="AM48" i="18"/>
  <c r="AU48" i="18"/>
  <c r="BC48" i="18"/>
  <c r="BK48" i="18"/>
  <c r="BS48" i="18"/>
  <c r="CA48" i="18"/>
  <c r="AN48" i="18"/>
  <c r="AV48" i="18"/>
  <c r="BD48" i="18"/>
  <c r="BL48" i="18"/>
  <c r="BT48" i="18"/>
  <c r="CB48" i="18"/>
  <c r="AO48" i="18"/>
  <c r="AW48" i="18"/>
  <c r="BE48" i="18"/>
  <c r="BM48" i="18"/>
  <c r="BU48" i="18"/>
  <c r="CC48" i="18"/>
  <c r="AP48" i="18"/>
  <c r="AX48" i="18"/>
  <c r="BF48" i="18"/>
  <c r="BN48" i="18"/>
  <c r="BV48" i="18"/>
  <c r="CD48" i="18"/>
  <c r="AQ48" i="18"/>
  <c r="AY48" i="18"/>
  <c r="BG48" i="18"/>
  <c r="BO48" i="18"/>
  <c r="BW48" i="18"/>
  <c r="CE48" i="18"/>
  <c r="AR48" i="18"/>
  <c r="AZ48" i="18"/>
  <c r="BH48" i="18"/>
  <c r="BP48" i="18"/>
  <c r="BX48" i="18"/>
  <c r="AS48" i="18"/>
  <c r="BA48" i="18"/>
  <c r="BI48" i="18"/>
  <c r="BQ48" i="18"/>
  <c r="BY48" i="18"/>
  <c r="AN49" i="18"/>
  <c r="BY52" i="18"/>
  <c r="BQ52" i="18"/>
  <c r="BI52" i="18"/>
  <c r="BA52" i="18"/>
  <c r="AS52" i="18"/>
  <c r="CE51" i="18"/>
  <c r="BW51" i="18"/>
  <c r="BO51" i="18"/>
  <c r="BG51" i="18"/>
  <c r="AY51" i="18"/>
  <c r="AQ51" i="18"/>
  <c r="CC50" i="18"/>
  <c r="BU50" i="18"/>
  <c r="BM50" i="18"/>
  <c r="BE50" i="18"/>
  <c r="AW50" i="18"/>
  <c r="AO50" i="18"/>
  <c r="CE47" i="18"/>
  <c r="BW47" i="18"/>
  <c r="BO47" i="18"/>
  <c r="BG47" i="18"/>
  <c r="AY47" i="18"/>
  <c r="AQ47" i="18"/>
  <c r="CC43" i="18"/>
  <c r="AW43" i="18"/>
  <c r="BY41" i="18"/>
  <c r="CA34" i="18"/>
  <c r="BI33" i="18"/>
  <c r="AX39" i="18"/>
  <c r="BF39" i="18"/>
  <c r="BN39" i="18"/>
  <c r="BV39" i="18"/>
  <c r="CD39" i="18"/>
  <c r="AQ39" i="18"/>
  <c r="AY39" i="18"/>
  <c r="BG39" i="18"/>
  <c r="BO39" i="18"/>
  <c r="BW39" i="18"/>
  <c r="CE39" i="18"/>
  <c r="AR39" i="18"/>
  <c r="AZ39" i="18"/>
  <c r="BH39" i="18"/>
  <c r="BP39" i="18"/>
  <c r="BX39" i="18"/>
  <c r="AS39" i="18"/>
  <c r="BA39" i="18"/>
  <c r="BI39" i="18"/>
  <c r="BQ39" i="18"/>
  <c r="BY39" i="18"/>
  <c r="AL39" i="18"/>
  <c r="AT39" i="18"/>
  <c r="BB39" i="18"/>
  <c r="BJ39" i="18"/>
  <c r="BR39" i="18"/>
  <c r="BZ39" i="18"/>
  <c r="AU39" i="18"/>
  <c r="BC39" i="18"/>
  <c r="BK39" i="18"/>
  <c r="BS39" i="18"/>
  <c r="CA39" i="18"/>
  <c r="AN39" i="18"/>
  <c r="AV39" i="18"/>
  <c r="BD39" i="18"/>
  <c r="BL39" i="18"/>
  <c r="BT39" i="18"/>
  <c r="CB39" i="18"/>
  <c r="AP35" i="18"/>
  <c r="AX35" i="18"/>
  <c r="BF35" i="18"/>
  <c r="BN35" i="18"/>
  <c r="BV35" i="18"/>
  <c r="CD35" i="18"/>
  <c r="AQ35" i="18"/>
  <c r="AY35" i="18"/>
  <c r="BG35" i="18"/>
  <c r="BO35" i="18"/>
  <c r="BW35" i="18"/>
  <c r="CE35" i="18"/>
  <c r="AR35" i="18"/>
  <c r="AZ35" i="18"/>
  <c r="BH35" i="18"/>
  <c r="BP35" i="18"/>
  <c r="BX35" i="18"/>
  <c r="AS35" i="18"/>
  <c r="BA35" i="18"/>
  <c r="BI35" i="18"/>
  <c r="BQ35" i="18"/>
  <c r="BY35" i="18"/>
  <c r="AL35" i="18"/>
  <c r="AT35" i="18"/>
  <c r="BB35" i="18"/>
  <c r="BJ35" i="18"/>
  <c r="BR35" i="18"/>
  <c r="BZ35" i="18"/>
  <c r="AM35" i="18"/>
  <c r="AU35" i="18"/>
  <c r="BC35" i="18"/>
  <c r="BK35" i="18"/>
  <c r="BS35" i="18"/>
  <c r="CA35" i="18"/>
  <c r="AN35" i="18"/>
  <c r="AV35" i="18"/>
  <c r="BD35" i="18"/>
  <c r="BL35" i="18"/>
  <c r="BT35" i="18"/>
  <c r="CB35" i="18"/>
  <c r="BX52" i="18"/>
  <c r="BP52" i="18"/>
  <c r="BH52" i="18"/>
  <c r="AZ52" i="18"/>
  <c r="AR52" i="18"/>
  <c r="CD51" i="18"/>
  <c r="BV51" i="18"/>
  <c r="BN51" i="18"/>
  <c r="BF51" i="18"/>
  <c r="AX51" i="18"/>
  <c r="AP51" i="18"/>
  <c r="CB50" i="18"/>
  <c r="BT50" i="18"/>
  <c r="BL50" i="18"/>
  <c r="BD50" i="18"/>
  <c r="AV50" i="18"/>
  <c r="AN50" i="18"/>
  <c r="CD47" i="18"/>
  <c r="BV47" i="18"/>
  <c r="BN47" i="18"/>
  <c r="BF47" i="18"/>
  <c r="AX47" i="18"/>
  <c r="AP47" i="18"/>
  <c r="CB43" i="18"/>
  <c r="BQ41" i="18"/>
  <c r="CA38" i="18"/>
  <c r="AP43" i="18"/>
  <c r="AX43" i="18"/>
  <c r="BF43" i="18"/>
  <c r="BN43" i="18"/>
  <c r="BV43" i="18"/>
  <c r="CD43" i="18"/>
  <c r="AQ43" i="18"/>
  <c r="AY43" i="18"/>
  <c r="BG43" i="18"/>
  <c r="BO43" i="18"/>
  <c r="BW43" i="18"/>
  <c r="CE43" i="18"/>
  <c r="AR43" i="18"/>
  <c r="AZ43" i="18"/>
  <c r="BH43" i="18"/>
  <c r="BP43" i="18"/>
  <c r="BX43" i="18"/>
  <c r="AS43" i="18"/>
  <c r="BA43" i="18"/>
  <c r="BI43" i="18"/>
  <c r="BQ43" i="18"/>
  <c r="BY43" i="18"/>
  <c r="AL43" i="18"/>
  <c r="AT43" i="18"/>
  <c r="BB43" i="18"/>
  <c r="BJ43" i="18"/>
  <c r="BR43" i="18"/>
  <c r="BZ43" i="18"/>
  <c r="AM43" i="18"/>
  <c r="AU43" i="18"/>
  <c r="BC43" i="18"/>
  <c r="BK43" i="18"/>
  <c r="BS43" i="18"/>
  <c r="CA43" i="18"/>
  <c r="AN43" i="18"/>
  <c r="AV43" i="18"/>
  <c r="AN42" i="18"/>
  <c r="AV42" i="18"/>
  <c r="BD42" i="18"/>
  <c r="BL42" i="18"/>
  <c r="BT42" i="18"/>
  <c r="CB42" i="18"/>
  <c r="AO42" i="18"/>
  <c r="AW42" i="18"/>
  <c r="BE42" i="18"/>
  <c r="BM42" i="18"/>
  <c r="BU42" i="18"/>
  <c r="CC42" i="18"/>
  <c r="AP42" i="18"/>
  <c r="AX42" i="18"/>
  <c r="BF42" i="18"/>
  <c r="BN42" i="18"/>
  <c r="BV42" i="18"/>
  <c r="CD42" i="18"/>
  <c r="AQ42" i="18"/>
  <c r="AY42" i="18"/>
  <c r="BG42" i="18"/>
  <c r="BO42" i="18"/>
  <c r="BW42" i="18"/>
  <c r="CE42" i="18"/>
  <c r="AR42" i="18"/>
  <c r="AZ42" i="18"/>
  <c r="BH42" i="18"/>
  <c r="BP42" i="18"/>
  <c r="BX42" i="18"/>
  <c r="AS42" i="18"/>
  <c r="BA42" i="18"/>
  <c r="BI42" i="18"/>
  <c r="BQ42" i="18"/>
  <c r="BY42" i="18"/>
  <c r="AL42" i="18"/>
  <c r="AT42" i="18"/>
  <c r="BB42" i="18"/>
  <c r="BJ42" i="18"/>
  <c r="BR42" i="18"/>
  <c r="BZ42" i="18"/>
  <c r="AN34" i="18"/>
  <c r="AV34" i="18"/>
  <c r="BD34" i="18"/>
  <c r="BL34" i="18"/>
  <c r="BT34" i="18"/>
  <c r="CB34" i="18"/>
  <c r="AO34" i="18"/>
  <c r="AW34" i="18"/>
  <c r="BE34" i="18"/>
  <c r="BM34" i="18"/>
  <c r="BU34" i="18"/>
  <c r="CC34" i="18"/>
  <c r="AP34" i="18"/>
  <c r="AX34" i="18"/>
  <c r="BF34" i="18"/>
  <c r="BN34" i="18"/>
  <c r="BV34" i="18"/>
  <c r="CD34" i="18"/>
  <c r="AQ34" i="18"/>
  <c r="AY34" i="18"/>
  <c r="BG34" i="18"/>
  <c r="BO34" i="18"/>
  <c r="BW34" i="18"/>
  <c r="CE34" i="18"/>
  <c r="AR34" i="18"/>
  <c r="AZ34" i="18"/>
  <c r="BH34" i="18"/>
  <c r="BP34" i="18"/>
  <c r="BX34" i="18"/>
  <c r="AS34" i="18"/>
  <c r="BA34" i="18"/>
  <c r="BI34" i="18"/>
  <c r="BQ34" i="18"/>
  <c r="BY34" i="18"/>
  <c r="AL34" i="18"/>
  <c r="AT34" i="18"/>
  <c r="BB34" i="18"/>
  <c r="BJ34" i="18"/>
  <c r="BR34" i="18"/>
  <c r="BZ34" i="18"/>
  <c r="CE52" i="18"/>
  <c r="BW52" i="18"/>
  <c r="BO52" i="18"/>
  <c r="BG52" i="18"/>
  <c r="AY52" i="18"/>
  <c r="AQ52" i="18"/>
  <c r="CC51" i="18"/>
  <c r="BU51" i="18"/>
  <c r="BM51" i="18"/>
  <c r="BE51" i="18"/>
  <c r="AW51" i="18"/>
  <c r="AO51" i="18"/>
  <c r="CA50" i="18"/>
  <c r="BS50" i="18"/>
  <c r="BK50" i="18"/>
  <c r="BC50" i="18"/>
  <c r="AU50" i="18"/>
  <c r="AM50" i="18"/>
  <c r="CC47" i="18"/>
  <c r="BU47" i="18"/>
  <c r="BM47" i="18"/>
  <c r="BE47" i="18"/>
  <c r="AW47" i="18"/>
  <c r="AO47" i="18"/>
  <c r="BU43" i="18"/>
  <c r="CA42" i="18"/>
  <c r="BI41" i="18"/>
  <c r="CC35" i="18"/>
  <c r="BK34" i="18"/>
  <c r="AS33" i="18"/>
  <c r="AN38" i="18"/>
  <c r="AV38" i="18"/>
  <c r="BD38" i="18"/>
  <c r="BL38" i="18"/>
  <c r="BT38" i="18"/>
  <c r="CB38" i="18"/>
  <c r="AO38" i="18"/>
  <c r="AW38" i="18"/>
  <c r="BE38" i="18"/>
  <c r="BM38" i="18"/>
  <c r="BU38" i="18"/>
  <c r="CC38" i="18"/>
  <c r="AP38" i="18"/>
  <c r="AX38" i="18"/>
  <c r="BF38" i="18"/>
  <c r="BN38" i="18"/>
  <c r="BV38" i="18"/>
  <c r="CD38" i="18"/>
  <c r="AQ38" i="18"/>
  <c r="AY38" i="18"/>
  <c r="BG38" i="18"/>
  <c r="BO38" i="18"/>
  <c r="BW38" i="18"/>
  <c r="CE38" i="18"/>
  <c r="AR38" i="18"/>
  <c r="AZ38" i="18"/>
  <c r="BH38" i="18"/>
  <c r="BP38" i="18"/>
  <c r="BX38" i="18"/>
  <c r="AS38" i="18"/>
  <c r="BA38" i="18"/>
  <c r="BI38" i="18"/>
  <c r="BQ38" i="18"/>
  <c r="BY38" i="18"/>
  <c r="AT38" i="18"/>
  <c r="BB38" i="18"/>
  <c r="BJ38" i="18"/>
  <c r="BR38" i="18"/>
  <c r="BZ38" i="18"/>
  <c r="CD52" i="18"/>
  <c r="BV52" i="18"/>
  <c r="BN52" i="18"/>
  <c r="BF52" i="18"/>
  <c r="AX52" i="18"/>
  <c r="AP52" i="18"/>
  <c r="CB51" i="18"/>
  <c r="BT51" i="18"/>
  <c r="BL51" i="18"/>
  <c r="BD51" i="18"/>
  <c r="AV51" i="18"/>
  <c r="AN51" i="18"/>
  <c r="BZ50" i="18"/>
  <c r="BR50" i="18"/>
  <c r="BJ50" i="18"/>
  <c r="BB50" i="18"/>
  <c r="AT50" i="18"/>
  <c r="AL50" i="18"/>
  <c r="CB47" i="18"/>
  <c r="BT47" i="18"/>
  <c r="BL47" i="18"/>
  <c r="BD47" i="18"/>
  <c r="AV47" i="18"/>
  <c r="AN47" i="18"/>
  <c r="BT43" i="18"/>
  <c r="BS42" i="18"/>
  <c r="BA41" i="18"/>
  <c r="CC39" i="18"/>
  <c r="BK38" i="18"/>
  <c r="BU35" i="18"/>
  <c r="BC34" i="18"/>
  <c r="AL33" i="18"/>
  <c r="AT33" i="18"/>
  <c r="BB33" i="18"/>
  <c r="BJ33" i="18"/>
  <c r="BR33" i="18"/>
  <c r="BZ33" i="18"/>
  <c r="AM33" i="18"/>
  <c r="AU33" i="18"/>
  <c r="BC33" i="18"/>
  <c r="BK33" i="18"/>
  <c r="BS33" i="18"/>
  <c r="CA33" i="18"/>
  <c r="AN33" i="18"/>
  <c r="AV33" i="18"/>
  <c r="BD33" i="18"/>
  <c r="BL33" i="18"/>
  <c r="BT33" i="18"/>
  <c r="CB33" i="18"/>
  <c r="AO33" i="18"/>
  <c r="AW33" i="18"/>
  <c r="BE33" i="18"/>
  <c r="BM33" i="18"/>
  <c r="BU33" i="18"/>
  <c r="CC33" i="18"/>
  <c r="AP33" i="18"/>
  <c r="AX33" i="18"/>
  <c r="BF33" i="18"/>
  <c r="BN33" i="18"/>
  <c r="BV33" i="18"/>
  <c r="CD33" i="18"/>
  <c r="AQ33" i="18"/>
  <c r="AY33" i="18"/>
  <c r="BG33" i="18"/>
  <c r="BO33" i="18"/>
  <c r="BW33" i="18"/>
  <c r="CE33" i="18"/>
  <c r="AR33" i="18"/>
  <c r="AZ33" i="18"/>
  <c r="BH33" i="18"/>
  <c r="BP33" i="18"/>
  <c r="BX33" i="18"/>
  <c r="CC52" i="18"/>
  <c r="BU52" i="18"/>
  <c r="BM52" i="18"/>
  <c r="BE52" i="18"/>
  <c r="AW52" i="18"/>
  <c r="AO52" i="18"/>
  <c r="CA51" i="18"/>
  <c r="BS51" i="18"/>
  <c r="BK51" i="18"/>
  <c r="BC51" i="18"/>
  <c r="AU51" i="18"/>
  <c r="AM51" i="18"/>
  <c r="BY50" i="18"/>
  <c r="BQ50" i="18"/>
  <c r="BI50" i="18"/>
  <c r="BA50" i="18"/>
  <c r="AS50" i="18"/>
  <c r="CA47" i="18"/>
  <c r="BS47" i="18"/>
  <c r="BK47" i="18"/>
  <c r="BC47" i="18"/>
  <c r="AU47" i="18"/>
  <c r="AM47" i="18"/>
  <c r="BM43" i="18"/>
  <c r="BK42" i="18"/>
  <c r="BU39" i="18"/>
  <c r="BC38" i="18"/>
  <c r="BM35" i="18"/>
  <c r="AU34" i="18"/>
  <c r="AL41" i="18"/>
  <c r="AT41" i="18"/>
  <c r="BB41" i="18"/>
  <c r="BJ41" i="18"/>
  <c r="BR41" i="18"/>
  <c r="BZ41" i="18"/>
  <c r="AM41" i="18"/>
  <c r="AU41" i="18"/>
  <c r="BC41" i="18"/>
  <c r="BK41" i="18"/>
  <c r="BS41" i="18"/>
  <c r="CA41" i="18"/>
  <c r="AN41" i="18"/>
  <c r="AV41" i="18"/>
  <c r="BD41" i="18"/>
  <c r="BL41" i="18"/>
  <c r="BT41" i="18"/>
  <c r="CB41" i="18"/>
  <c r="AO41" i="18"/>
  <c r="AW41" i="18"/>
  <c r="BE41" i="18"/>
  <c r="BM41" i="18"/>
  <c r="BU41" i="18"/>
  <c r="CC41" i="18"/>
  <c r="AX41" i="18"/>
  <c r="BF41" i="18"/>
  <c r="BN41" i="18"/>
  <c r="BV41" i="18"/>
  <c r="CD41" i="18"/>
  <c r="AQ41" i="18"/>
  <c r="AY41" i="18"/>
  <c r="BG41" i="18"/>
  <c r="BO41" i="18"/>
  <c r="BW41" i="18"/>
  <c r="CE41" i="18"/>
  <c r="AR41" i="18"/>
  <c r="AZ41" i="18"/>
  <c r="BH41" i="18"/>
  <c r="BP41" i="18"/>
  <c r="BX41" i="18"/>
  <c r="CB52" i="18"/>
  <c r="BT52" i="18"/>
  <c r="BL52" i="18"/>
  <c r="BD52" i="18"/>
  <c r="AV52" i="18"/>
  <c r="AN52" i="18"/>
  <c r="BZ51" i="18"/>
  <c r="BR51" i="18"/>
  <c r="BJ51" i="18"/>
  <c r="BB51" i="18"/>
  <c r="AT51" i="18"/>
  <c r="AL51" i="18"/>
  <c r="BX50" i="18"/>
  <c r="BP50" i="18"/>
  <c r="BH50" i="18"/>
  <c r="AZ50" i="18"/>
  <c r="AR50" i="18"/>
  <c r="BZ47" i="18"/>
  <c r="BR47" i="18"/>
  <c r="BJ47" i="18"/>
  <c r="BB47" i="18"/>
  <c r="AT47" i="18"/>
  <c r="AL47" i="18"/>
  <c r="BL43" i="18"/>
  <c r="BC42" i="18"/>
  <c r="BM39" i="18"/>
  <c r="AU38" i="18"/>
  <c r="BE35" i="18"/>
  <c r="AM34" i="18"/>
  <c r="CA52" i="18"/>
  <c r="BS52" i="18"/>
  <c r="BK52" i="18"/>
  <c r="BC52" i="18"/>
  <c r="AU52" i="18"/>
  <c r="BY51" i="18"/>
  <c r="BQ51" i="18"/>
  <c r="BI51" i="18"/>
  <c r="BA51" i="18"/>
  <c r="CE50" i="18"/>
  <c r="BW50" i="18"/>
  <c r="BO50" i="18"/>
  <c r="BG50" i="18"/>
  <c r="AY50" i="18"/>
  <c r="BY47" i="18"/>
  <c r="BQ47" i="18"/>
  <c r="BI47" i="18"/>
  <c r="BA47" i="18"/>
  <c r="BE43" i="18"/>
  <c r="AU42" i="18"/>
  <c r="BE39" i="18"/>
  <c r="AM38" i="18"/>
  <c r="AW35" i="18"/>
  <c r="BY33" i="18"/>
  <c r="AL34" i="26"/>
  <c r="AT34" i="26"/>
  <c r="BB34" i="26"/>
  <c r="BJ34" i="26"/>
  <c r="BR34" i="26"/>
  <c r="BZ34" i="26"/>
  <c r="AM34" i="26"/>
  <c r="AU34" i="26"/>
  <c r="BC34" i="26"/>
  <c r="BK34" i="26"/>
  <c r="BS34" i="26"/>
  <c r="CA34" i="26"/>
  <c r="AN34" i="26"/>
  <c r="AV34" i="26"/>
  <c r="BD34" i="26"/>
  <c r="BL34" i="26"/>
  <c r="BT34" i="26"/>
  <c r="CB34" i="26"/>
  <c r="AP34" i="26"/>
  <c r="AX34" i="26"/>
  <c r="BF34" i="26"/>
  <c r="BN34" i="26"/>
  <c r="BV34" i="26"/>
  <c r="CD34" i="26"/>
  <c r="AQ34" i="26"/>
  <c r="AY34" i="26"/>
  <c r="BG34" i="26"/>
  <c r="BO34" i="26"/>
  <c r="BW34" i="26"/>
  <c r="CE34" i="26"/>
  <c r="AR34" i="26"/>
  <c r="AZ34" i="26"/>
  <c r="BH34" i="26"/>
  <c r="BP34" i="26"/>
  <c r="BX34" i="26"/>
  <c r="BI34" i="26"/>
  <c r="BM34" i="26"/>
  <c r="BQ34" i="26"/>
  <c r="AO34" i="26"/>
  <c r="BU34" i="26"/>
  <c r="AS34" i="26"/>
  <c r="BY34" i="26"/>
  <c r="AW34" i="26"/>
  <c r="CC34" i="26"/>
  <c r="BA34" i="26"/>
  <c r="BE34" i="26"/>
  <c r="AL42" i="26"/>
  <c r="AT42" i="26"/>
  <c r="BB42" i="26"/>
  <c r="BJ42" i="26"/>
  <c r="BR42" i="26"/>
  <c r="BZ42" i="26"/>
  <c r="AN42" i="26"/>
  <c r="AV42" i="26"/>
  <c r="BD42" i="26"/>
  <c r="BL42" i="26"/>
  <c r="BT42" i="26"/>
  <c r="CB42" i="26"/>
  <c r="AP42" i="26"/>
  <c r="AX42" i="26"/>
  <c r="BF42" i="26"/>
  <c r="BN42" i="26"/>
  <c r="BV42" i="26"/>
  <c r="CD42" i="26"/>
  <c r="AQ42" i="26"/>
  <c r="AY42" i="26"/>
  <c r="AR42" i="26"/>
  <c r="AZ42" i="26"/>
  <c r="BH42" i="26"/>
  <c r="BP42" i="26"/>
  <c r="BX42" i="26"/>
  <c r="BE42" i="26"/>
  <c r="BU42" i="26"/>
  <c r="AM42" i="26"/>
  <c r="BG42" i="26"/>
  <c r="BW42" i="26"/>
  <c r="AO42" i="26"/>
  <c r="BI42" i="26"/>
  <c r="BY42" i="26"/>
  <c r="CA42" i="26"/>
  <c r="AS42" i="26"/>
  <c r="BK42" i="26"/>
  <c r="AU42" i="26"/>
  <c r="BM42" i="26"/>
  <c r="CC42" i="26"/>
  <c r="AW42" i="26"/>
  <c r="BO42" i="26"/>
  <c r="CE42" i="26"/>
  <c r="BA42" i="26"/>
  <c r="BQ42" i="26"/>
  <c r="BC42" i="26"/>
  <c r="BS42" i="26"/>
  <c r="AO52" i="26"/>
  <c r="AW52" i="26"/>
  <c r="BE52" i="26"/>
  <c r="BM52" i="26"/>
  <c r="BU52" i="26"/>
  <c r="CC52" i="26"/>
  <c r="AQ52" i="26"/>
  <c r="AY52" i="26"/>
  <c r="BG52" i="26"/>
  <c r="BO52" i="26"/>
  <c r="BW52" i="26"/>
  <c r="CE52" i="26"/>
  <c r="AS52" i="26"/>
  <c r="BA52" i="26"/>
  <c r="BI52" i="26"/>
  <c r="BQ52" i="26"/>
  <c r="BY52" i="26"/>
  <c r="AL52" i="26"/>
  <c r="BB52" i="26"/>
  <c r="BR52" i="26"/>
  <c r="AT52" i="26"/>
  <c r="BJ52" i="26"/>
  <c r="BZ52" i="26"/>
  <c r="AM52" i="26"/>
  <c r="AU52" i="26"/>
  <c r="BC52" i="26"/>
  <c r="BK52" i="26"/>
  <c r="BS52" i="26"/>
  <c r="CA52" i="26"/>
  <c r="AP44" i="26"/>
  <c r="AX44" i="26"/>
  <c r="BF44" i="26"/>
  <c r="BN44" i="26"/>
  <c r="BV44" i="26"/>
  <c r="CD44" i="26"/>
  <c r="AR44" i="26"/>
  <c r="AZ44" i="26"/>
  <c r="BH44" i="26"/>
  <c r="BP44" i="26"/>
  <c r="BX44" i="26"/>
  <c r="AL44" i="26"/>
  <c r="AT44" i="26"/>
  <c r="BB44" i="26"/>
  <c r="BJ44" i="26"/>
  <c r="BR44" i="26"/>
  <c r="BZ44" i="26"/>
  <c r="AN44" i="26"/>
  <c r="AV44" i="26"/>
  <c r="BD44" i="26"/>
  <c r="BL44" i="26"/>
  <c r="BT44" i="26"/>
  <c r="CB44" i="26"/>
  <c r="AS44" i="26"/>
  <c r="BI44" i="26"/>
  <c r="BY44" i="26"/>
  <c r="AU44" i="26"/>
  <c r="BK44" i="26"/>
  <c r="CA44" i="26"/>
  <c r="AW44" i="26"/>
  <c r="BM44" i="26"/>
  <c r="CC44" i="26"/>
  <c r="CE44" i="26"/>
  <c r="AY44" i="26"/>
  <c r="BO44" i="26"/>
  <c r="BA44" i="26"/>
  <c r="BQ44" i="26"/>
  <c r="AM44" i="26"/>
  <c r="BC44" i="26"/>
  <c r="BS44" i="26"/>
  <c r="AO44" i="26"/>
  <c r="BE44" i="26"/>
  <c r="BU44" i="26"/>
  <c r="AP32" i="26"/>
  <c r="AX32" i="26"/>
  <c r="BF32" i="26"/>
  <c r="BN32" i="26"/>
  <c r="BV32" i="26"/>
  <c r="CD32" i="26"/>
  <c r="AQ32" i="26"/>
  <c r="AY32" i="26"/>
  <c r="BG32" i="26"/>
  <c r="BO32" i="26"/>
  <c r="BW32" i="26"/>
  <c r="CE32" i="26"/>
  <c r="AR32" i="26"/>
  <c r="AZ32" i="26"/>
  <c r="BH32" i="26"/>
  <c r="BP32" i="26"/>
  <c r="BX32" i="26"/>
  <c r="AL32" i="26"/>
  <c r="AT32" i="26"/>
  <c r="BB32" i="26"/>
  <c r="BJ32" i="26"/>
  <c r="BR32" i="26"/>
  <c r="BZ32" i="26"/>
  <c r="AM32" i="26"/>
  <c r="AU32" i="26"/>
  <c r="BC32" i="26"/>
  <c r="BK32" i="26"/>
  <c r="BS32" i="26"/>
  <c r="CA32" i="26"/>
  <c r="AN32" i="26"/>
  <c r="AV32" i="26"/>
  <c r="BD32" i="26"/>
  <c r="BL32" i="26"/>
  <c r="BT32" i="26"/>
  <c r="CB32" i="26"/>
  <c r="BE32" i="26"/>
  <c r="BI32" i="26"/>
  <c r="BM32" i="26"/>
  <c r="BQ32" i="26"/>
  <c r="AO32" i="26"/>
  <c r="BU32" i="26"/>
  <c r="AS32" i="26"/>
  <c r="BY32" i="26"/>
  <c r="AW32" i="26"/>
  <c r="CC32" i="26"/>
  <c r="BL52" i="26"/>
  <c r="AP52" i="26"/>
  <c r="BN51" i="26"/>
  <c r="AT51" i="26"/>
  <c r="BH50" i="26"/>
  <c r="AP49" i="26"/>
  <c r="BR47" i="26"/>
  <c r="BE43" i="26"/>
  <c r="AO48" i="26"/>
  <c r="AW48" i="26"/>
  <c r="BE48" i="26"/>
  <c r="BM48" i="26"/>
  <c r="BU48" i="26"/>
  <c r="CC48" i="26"/>
  <c r="AP48" i="26"/>
  <c r="BF48" i="26"/>
  <c r="BV48" i="26"/>
  <c r="AX48" i="26"/>
  <c r="BN48" i="26"/>
  <c r="CD48" i="26"/>
  <c r="AQ48" i="26"/>
  <c r="AY48" i="26"/>
  <c r="BG48" i="26"/>
  <c r="BO48" i="26"/>
  <c r="BW48" i="26"/>
  <c r="CE48" i="26"/>
  <c r="AR48" i="26"/>
  <c r="BH48" i="26"/>
  <c r="BX48" i="26"/>
  <c r="AZ48" i="26"/>
  <c r="BP48" i="26"/>
  <c r="AS48" i="26"/>
  <c r="BA48" i="26"/>
  <c r="BI48" i="26"/>
  <c r="BQ48" i="26"/>
  <c r="BY48" i="26"/>
  <c r="AL48" i="26"/>
  <c r="AT48" i="26"/>
  <c r="BB48" i="26"/>
  <c r="BJ48" i="26"/>
  <c r="BR48" i="26"/>
  <c r="BZ48" i="26"/>
  <c r="AM48" i="26"/>
  <c r="AU48" i="26"/>
  <c r="BC48" i="26"/>
  <c r="BK48" i="26"/>
  <c r="BS48" i="26"/>
  <c r="CA48" i="26"/>
  <c r="AP40" i="26"/>
  <c r="AX40" i="26"/>
  <c r="BF40" i="26"/>
  <c r="BN40" i="26"/>
  <c r="BV40" i="26"/>
  <c r="CD40" i="26"/>
  <c r="AQ40" i="26"/>
  <c r="AY40" i="26"/>
  <c r="BG40" i="26"/>
  <c r="BO40" i="26"/>
  <c r="BW40" i="26"/>
  <c r="CE40" i="26"/>
  <c r="AR40" i="26"/>
  <c r="AZ40" i="26"/>
  <c r="BH40" i="26"/>
  <c r="BP40" i="26"/>
  <c r="BX40" i="26"/>
  <c r="AL40" i="26"/>
  <c r="AT40" i="26"/>
  <c r="BB40" i="26"/>
  <c r="BJ40" i="26"/>
  <c r="BR40" i="26"/>
  <c r="BZ40" i="26"/>
  <c r="AM40" i="26"/>
  <c r="AU40" i="26"/>
  <c r="BC40" i="26"/>
  <c r="BK40" i="26"/>
  <c r="BS40" i="26"/>
  <c r="CA40" i="26"/>
  <c r="AN40" i="26"/>
  <c r="AV40" i="26"/>
  <c r="BD40" i="26"/>
  <c r="BL40" i="26"/>
  <c r="BT40" i="26"/>
  <c r="CB40" i="26"/>
  <c r="AO40" i="26"/>
  <c r="BU40" i="26"/>
  <c r="AS40" i="26"/>
  <c r="BY40" i="26"/>
  <c r="AW40" i="26"/>
  <c r="CC40" i="26"/>
  <c r="BA40" i="26"/>
  <c r="BE40" i="26"/>
  <c r="BI40" i="26"/>
  <c r="BM40" i="26"/>
  <c r="AP36" i="26"/>
  <c r="AX36" i="26"/>
  <c r="BF36" i="26"/>
  <c r="BN36" i="26"/>
  <c r="BV36" i="26"/>
  <c r="CD36" i="26"/>
  <c r="AQ36" i="26"/>
  <c r="AY36" i="26"/>
  <c r="BG36" i="26"/>
  <c r="BO36" i="26"/>
  <c r="BW36" i="26"/>
  <c r="CE36" i="26"/>
  <c r="AR36" i="26"/>
  <c r="AZ36" i="26"/>
  <c r="BH36" i="26"/>
  <c r="BP36" i="26"/>
  <c r="BX36" i="26"/>
  <c r="AL36" i="26"/>
  <c r="AT36" i="26"/>
  <c r="BB36" i="26"/>
  <c r="BJ36" i="26"/>
  <c r="BR36" i="26"/>
  <c r="BZ36" i="26"/>
  <c r="AM36" i="26"/>
  <c r="AU36" i="26"/>
  <c r="BC36" i="26"/>
  <c r="BK36" i="26"/>
  <c r="BS36" i="26"/>
  <c r="CA36" i="26"/>
  <c r="AN36" i="26"/>
  <c r="AV36" i="26"/>
  <c r="BD36" i="26"/>
  <c r="BL36" i="26"/>
  <c r="BT36" i="26"/>
  <c r="CB36" i="26"/>
  <c r="BM36" i="26"/>
  <c r="BQ36" i="26"/>
  <c r="AO36" i="26"/>
  <c r="BU36" i="26"/>
  <c r="AS36" i="26"/>
  <c r="BY36" i="26"/>
  <c r="AW36" i="26"/>
  <c r="CC36" i="26"/>
  <c r="BA36" i="26"/>
  <c r="BE36" i="26"/>
  <c r="CD52" i="26"/>
  <c r="BH52" i="26"/>
  <c r="AN52" i="26"/>
  <c r="BL51" i="26"/>
  <c r="AZ50" i="26"/>
  <c r="CB48" i="26"/>
  <c r="BT45" i="26"/>
  <c r="AM51" i="26"/>
  <c r="AU51" i="26"/>
  <c r="BC51" i="26"/>
  <c r="BK51" i="26"/>
  <c r="BS51" i="26"/>
  <c r="CA51" i="26"/>
  <c r="AO51" i="26"/>
  <c r="AW51" i="26"/>
  <c r="BE51" i="26"/>
  <c r="BM51" i="26"/>
  <c r="BU51" i="26"/>
  <c r="CC51" i="26"/>
  <c r="AQ51" i="26"/>
  <c r="AY51" i="26"/>
  <c r="BG51" i="26"/>
  <c r="BO51" i="26"/>
  <c r="BW51" i="26"/>
  <c r="CE51" i="26"/>
  <c r="AZ51" i="26"/>
  <c r="BP51" i="26"/>
  <c r="AR51" i="26"/>
  <c r="BH51" i="26"/>
  <c r="BX51" i="26"/>
  <c r="AS51" i="26"/>
  <c r="BA51" i="26"/>
  <c r="BI51" i="26"/>
  <c r="BQ51" i="26"/>
  <c r="BY51" i="26"/>
  <c r="AM47" i="26"/>
  <c r="AU47" i="26"/>
  <c r="BC47" i="26"/>
  <c r="BK47" i="26"/>
  <c r="BS47" i="26"/>
  <c r="CA47" i="26"/>
  <c r="AN47" i="26"/>
  <c r="AV47" i="26"/>
  <c r="BD47" i="26"/>
  <c r="BL47" i="26"/>
  <c r="BT47" i="26"/>
  <c r="CB47" i="26"/>
  <c r="AO47" i="26"/>
  <c r="AW47" i="26"/>
  <c r="BE47" i="26"/>
  <c r="BM47" i="26"/>
  <c r="BU47" i="26"/>
  <c r="CC47" i="26"/>
  <c r="AP47" i="26"/>
  <c r="BF47" i="26"/>
  <c r="BV47" i="26"/>
  <c r="AX47" i="26"/>
  <c r="BN47" i="26"/>
  <c r="CD47" i="26"/>
  <c r="AQ47" i="26"/>
  <c r="AY47" i="26"/>
  <c r="BG47" i="26"/>
  <c r="BO47" i="26"/>
  <c r="BW47" i="26"/>
  <c r="CE47" i="26"/>
  <c r="AR47" i="26"/>
  <c r="AZ47" i="26"/>
  <c r="BH47" i="26"/>
  <c r="BP47" i="26"/>
  <c r="BX47" i="26"/>
  <c r="AS47" i="26"/>
  <c r="BA47" i="26"/>
  <c r="BI47" i="26"/>
  <c r="BQ47" i="26"/>
  <c r="BY47" i="26"/>
  <c r="AN43" i="26"/>
  <c r="AV43" i="26"/>
  <c r="BD43" i="26"/>
  <c r="BL43" i="26"/>
  <c r="BT43" i="26"/>
  <c r="CB43" i="26"/>
  <c r="AP43" i="26"/>
  <c r="AX43" i="26"/>
  <c r="BF43" i="26"/>
  <c r="BN43" i="26"/>
  <c r="BV43" i="26"/>
  <c r="CD43" i="26"/>
  <c r="AR43" i="26"/>
  <c r="AZ43" i="26"/>
  <c r="BH43" i="26"/>
  <c r="BP43" i="26"/>
  <c r="BX43" i="26"/>
  <c r="AL43" i="26"/>
  <c r="AT43" i="26"/>
  <c r="BB43" i="26"/>
  <c r="BJ43" i="26"/>
  <c r="BR43" i="26"/>
  <c r="BZ43" i="26"/>
  <c r="AQ43" i="26"/>
  <c r="BG43" i="26"/>
  <c r="BW43" i="26"/>
  <c r="AS43" i="26"/>
  <c r="BI43" i="26"/>
  <c r="BY43" i="26"/>
  <c r="AU43" i="26"/>
  <c r="BK43" i="26"/>
  <c r="CA43" i="26"/>
  <c r="CC43" i="26"/>
  <c r="AW43" i="26"/>
  <c r="BM43" i="26"/>
  <c r="AY43" i="26"/>
  <c r="BO43" i="26"/>
  <c r="CE43" i="26"/>
  <c r="BA43" i="26"/>
  <c r="BQ43" i="26"/>
  <c r="AM43" i="26"/>
  <c r="BC43" i="26"/>
  <c r="BS43" i="26"/>
  <c r="AN39" i="26"/>
  <c r="AV39" i="26"/>
  <c r="BD39" i="26"/>
  <c r="BL39" i="26"/>
  <c r="BT39" i="26"/>
  <c r="CB39" i="26"/>
  <c r="AO39" i="26"/>
  <c r="AW39" i="26"/>
  <c r="BE39" i="26"/>
  <c r="BM39" i="26"/>
  <c r="BU39" i="26"/>
  <c r="CC39" i="26"/>
  <c r="AP39" i="26"/>
  <c r="AX39" i="26"/>
  <c r="BF39" i="26"/>
  <c r="BN39" i="26"/>
  <c r="BV39" i="26"/>
  <c r="CD39" i="26"/>
  <c r="AR39" i="26"/>
  <c r="AZ39" i="26"/>
  <c r="BH39" i="26"/>
  <c r="BP39" i="26"/>
  <c r="BX39" i="26"/>
  <c r="AS39" i="26"/>
  <c r="BA39" i="26"/>
  <c r="BI39" i="26"/>
  <c r="BQ39" i="26"/>
  <c r="BY39" i="26"/>
  <c r="AL39" i="26"/>
  <c r="AT39" i="26"/>
  <c r="BB39" i="26"/>
  <c r="BJ39" i="26"/>
  <c r="BR39" i="26"/>
  <c r="BZ39" i="26"/>
  <c r="BC39" i="26"/>
  <c r="BG39" i="26"/>
  <c r="BK39" i="26"/>
  <c r="BO39" i="26"/>
  <c r="AM39" i="26"/>
  <c r="BS39" i="26"/>
  <c r="AQ39" i="26"/>
  <c r="BW39" i="26"/>
  <c r="AU39" i="26"/>
  <c r="CA39" i="26"/>
  <c r="AN35" i="26"/>
  <c r="AV35" i="26"/>
  <c r="BD35" i="26"/>
  <c r="BL35" i="26"/>
  <c r="BT35" i="26"/>
  <c r="CB35" i="26"/>
  <c r="AO35" i="26"/>
  <c r="AW35" i="26"/>
  <c r="BE35" i="26"/>
  <c r="BM35" i="26"/>
  <c r="BU35" i="26"/>
  <c r="CC35" i="26"/>
  <c r="AP35" i="26"/>
  <c r="AX35" i="26"/>
  <c r="BF35" i="26"/>
  <c r="BN35" i="26"/>
  <c r="BV35" i="26"/>
  <c r="CD35" i="26"/>
  <c r="AR35" i="26"/>
  <c r="AZ35" i="26"/>
  <c r="BH35" i="26"/>
  <c r="BP35" i="26"/>
  <c r="BX35" i="26"/>
  <c r="AS35" i="26"/>
  <c r="BA35" i="26"/>
  <c r="BI35" i="26"/>
  <c r="BQ35" i="26"/>
  <c r="BY35" i="26"/>
  <c r="AL35" i="26"/>
  <c r="AT35" i="26"/>
  <c r="BB35" i="26"/>
  <c r="BJ35" i="26"/>
  <c r="BR35" i="26"/>
  <c r="BZ35" i="26"/>
  <c r="AU35" i="26"/>
  <c r="CA35" i="26"/>
  <c r="AY35" i="26"/>
  <c r="CE35" i="26"/>
  <c r="BC35" i="26"/>
  <c r="BG35" i="26"/>
  <c r="BK35" i="26"/>
  <c r="BO35" i="26"/>
  <c r="AM35" i="26"/>
  <c r="BS35" i="26"/>
  <c r="CB52" i="26"/>
  <c r="BF52" i="26"/>
  <c r="CD51" i="26"/>
  <c r="BJ51" i="26"/>
  <c r="AN51" i="26"/>
  <c r="BT48" i="26"/>
  <c r="BB47" i="26"/>
  <c r="BG45" i="26"/>
  <c r="BA32" i="26"/>
  <c r="CD49" i="26"/>
  <c r="AS50" i="26"/>
  <c r="BA50" i="26"/>
  <c r="BI50" i="26"/>
  <c r="BQ50" i="26"/>
  <c r="BY50" i="26"/>
  <c r="AL50" i="26"/>
  <c r="BB50" i="26"/>
  <c r="BR50" i="26"/>
  <c r="AT50" i="26"/>
  <c r="BJ50" i="26"/>
  <c r="AM50" i="26"/>
  <c r="AU50" i="26"/>
  <c r="BC50" i="26"/>
  <c r="BK50" i="26"/>
  <c r="BS50" i="26"/>
  <c r="CA50" i="26"/>
  <c r="AN50" i="26"/>
  <c r="BD50" i="26"/>
  <c r="BT50" i="26"/>
  <c r="AV50" i="26"/>
  <c r="BL50" i="26"/>
  <c r="AO50" i="26"/>
  <c r="AW50" i="26"/>
  <c r="BE50" i="26"/>
  <c r="BM50" i="26"/>
  <c r="BU50" i="26"/>
  <c r="CC50" i="26"/>
  <c r="AX50" i="26"/>
  <c r="BN50" i="26"/>
  <c r="CD50" i="26"/>
  <c r="AP50" i="26"/>
  <c r="BF50" i="26"/>
  <c r="BV50" i="26"/>
  <c r="AQ50" i="26"/>
  <c r="AY50" i="26"/>
  <c r="BG50" i="26"/>
  <c r="BO50" i="26"/>
  <c r="BW50" i="26"/>
  <c r="CE50" i="26"/>
  <c r="AL38" i="26"/>
  <c r="AT38" i="26"/>
  <c r="BB38" i="26"/>
  <c r="BJ38" i="26"/>
  <c r="BR38" i="26"/>
  <c r="BZ38" i="26"/>
  <c r="AM38" i="26"/>
  <c r="AU38" i="26"/>
  <c r="BC38" i="26"/>
  <c r="BK38" i="26"/>
  <c r="BS38" i="26"/>
  <c r="CA38" i="26"/>
  <c r="AN38" i="26"/>
  <c r="AV38" i="26"/>
  <c r="BD38" i="26"/>
  <c r="BL38" i="26"/>
  <c r="BT38" i="26"/>
  <c r="CB38" i="26"/>
  <c r="AP38" i="26"/>
  <c r="AX38" i="26"/>
  <c r="BF38" i="26"/>
  <c r="BN38" i="26"/>
  <c r="BV38" i="26"/>
  <c r="CD38" i="26"/>
  <c r="AQ38" i="26"/>
  <c r="AY38" i="26"/>
  <c r="BG38" i="26"/>
  <c r="BO38" i="26"/>
  <c r="BW38" i="26"/>
  <c r="CE38" i="26"/>
  <c r="AR38" i="26"/>
  <c r="AZ38" i="26"/>
  <c r="BH38" i="26"/>
  <c r="BP38" i="26"/>
  <c r="BX38" i="26"/>
  <c r="BQ38" i="26"/>
  <c r="AO38" i="26"/>
  <c r="BU38" i="26"/>
  <c r="AS38" i="26"/>
  <c r="BY38" i="26"/>
  <c r="AW38" i="26"/>
  <c r="CC38" i="26"/>
  <c r="BA38" i="26"/>
  <c r="BE38" i="26"/>
  <c r="BI38" i="26"/>
  <c r="CB50" i="26"/>
  <c r="BV49" i="26"/>
  <c r="CA41" i="26"/>
  <c r="AL46" i="26"/>
  <c r="AT46" i="26"/>
  <c r="BB46" i="26"/>
  <c r="BJ46" i="26"/>
  <c r="BR46" i="26"/>
  <c r="AN46" i="26"/>
  <c r="AV46" i="26"/>
  <c r="BD46" i="26"/>
  <c r="BL46" i="26"/>
  <c r="BT46" i="26"/>
  <c r="AR46" i="26"/>
  <c r="AZ46" i="26"/>
  <c r="BH46" i="26"/>
  <c r="BP46" i="26"/>
  <c r="AO46" i="26"/>
  <c r="BA46" i="26"/>
  <c r="BN46" i="26"/>
  <c r="BY46" i="26"/>
  <c r="BC46" i="26"/>
  <c r="AP46" i="26"/>
  <c r="BO46" i="26"/>
  <c r="BZ46" i="26"/>
  <c r="AQ46" i="26"/>
  <c r="BE46" i="26"/>
  <c r="BQ46" i="26"/>
  <c r="CA46" i="26"/>
  <c r="AS46" i="26"/>
  <c r="BS46" i="26"/>
  <c r="BF46" i="26"/>
  <c r="CB46" i="26"/>
  <c r="AU46" i="26"/>
  <c r="BG46" i="26"/>
  <c r="BU46" i="26"/>
  <c r="CC46" i="26"/>
  <c r="AW46" i="26"/>
  <c r="BI46" i="26"/>
  <c r="BV46" i="26"/>
  <c r="CD46" i="26"/>
  <c r="AX46" i="26"/>
  <c r="BK46" i="26"/>
  <c r="BW46" i="26"/>
  <c r="CE46" i="26"/>
  <c r="BZ50" i="26"/>
  <c r="BX46" i="26"/>
  <c r="AQ49" i="26"/>
  <c r="AY49" i="26"/>
  <c r="BG49" i="26"/>
  <c r="BO49" i="26"/>
  <c r="BW49" i="26"/>
  <c r="CE49" i="26"/>
  <c r="AR49" i="26"/>
  <c r="AZ49" i="26"/>
  <c r="BP49" i="26"/>
  <c r="BH49" i="26"/>
  <c r="BX49" i="26"/>
  <c r="AS49" i="26"/>
  <c r="BA49" i="26"/>
  <c r="BI49" i="26"/>
  <c r="BQ49" i="26"/>
  <c r="BY49" i="26"/>
  <c r="AT49" i="26"/>
  <c r="BB49" i="26"/>
  <c r="BR49" i="26"/>
  <c r="AL49" i="26"/>
  <c r="BJ49" i="26"/>
  <c r="BZ49" i="26"/>
  <c r="AM49" i="26"/>
  <c r="AU49" i="26"/>
  <c r="BC49" i="26"/>
  <c r="BK49" i="26"/>
  <c r="BS49" i="26"/>
  <c r="CA49" i="26"/>
  <c r="AN49" i="26"/>
  <c r="AV49" i="26"/>
  <c r="BD49" i="26"/>
  <c r="BL49" i="26"/>
  <c r="BT49" i="26"/>
  <c r="CB49" i="26"/>
  <c r="AO49" i="26"/>
  <c r="AW49" i="26"/>
  <c r="BE49" i="26"/>
  <c r="BM49" i="26"/>
  <c r="BU49" i="26"/>
  <c r="CC49" i="26"/>
  <c r="AR45" i="26"/>
  <c r="AZ45" i="26"/>
  <c r="BH45" i="26"/>
  <c r="BP45" i="26"/>
  <c r="BX45" i="26"/>
  <c r="AL45" i="26"/>
  <c r="AT45" i="26"/>
  <c r="BB45" i="26"/>
  <c r="BJ45" i="26"/>
  <c r="BR45" i="26"/>
  <c r="BZ45" i="26"/>
  <c r="AN45" i="26"/>
  <c r="AV45" i="26"/>
  <c r="AP45" i="26"/>
  <c r="AX45" i="26"/>
  <c r="BF45" i="26"/>
  <c r="BN45" i="26"/>
  <c r="BV45" i="26"/>
  <c r="CD45" i="26"/>
  <c r="AU45" i="26"/>
  <c r="BI45" i="26"/>
  <c r="BU45" i="26"/>
  <c r="AW45" i="26"/>
  <c r="BK45" i="26"/>
  <c r="BW45" i="26"/>
  <c r="AY45" i="26"/>
  <c r="BL45" i="26"/>
  <c r="BY45" i="26"/>
  <c r="BM45" i="26"/>
  <c r="BA45" i="26"/>
  <c r="CA45" i="26"/>
  <c r="AM45" i="26"/>
  <c r="BC45" i="26"/>
  <c r="BO45" i="26"/>
  <c r="CB45" i="26"/>
  <c r="AO45" i="26"/>
  <c r="BD45" i="26"/>
  <c r="BQ45" i="26"/>
  <c r="CC45" i="26"/>
  <c r="AQ45" i="26"/>
  <c r="BE45" i="26"/>
  <c r="BS45" i="26"/>
  <c r="CE45" i="26"/>
  <c r="AR41" i="26"/>
  <c r="AZ41" i="26"/>
  <c r="BH41" i="26"/>
  <c r="BP41" i="26"/>
  <c r="BX41" i="26"/>
  <c r="AS41" i="26"/>
  <c r="BA41" i="26"/>
  <c r="BI41" i="26"/>
  <c r="AL41" i="26"/>
  <c r="AT41" i="26"/>
  <c r="BB41" i="26"/>
  <c r="BJ41" i="26"/>
  <c r="BR41" i="26"/>
  <c r="BZ41" i="26"/>
  <c r="AN41" i="26"/>
  <c r="AV41" i="26"/>
  <c r="BD41" i="26"/>
  <c r="BL41" i="26"/>
  <c r="BT41" i="26"/>
  <c r="CB41" i="26"/>
  <c r="AO41" i="26"/>
  <c r="AW41" i="26"/>
  <c r="BE41" i="26"/>
  <c r="BM41" i="26"/>
  <c r="BU41" i="26"/>
  <c r="CC41" i="26"/>
  <c r="AX41" i="26"/>
  <c r="BF41" i="26"/>
  <c r="BN41" i="26"/>
  <c r="BV41" i="26"/>
  <c r="CD41" i="26"/>
  <c r="BG41" i="26"/>
  <c r="CE41" i="26"/>
  <c r="BK41" i="26"/>
  <c r="BO41" i="26"/>
  <c r="AM41" i="26"/>
  <c r="BQ41" i="26"/>
  <c r="AQ41" i="26"/>
  <c r="BS41" i="26"/>
  <c r="AU41" i="26"/>
  <c r="BW41" i="26"/>
  <c r="AY41" i="26"/>
  <c r="BY41" i="26"/>
  <c r="BX50" i="26"/>
  <c r="BF49" i="26"/>
  <c r="BM46" i="26"/>
  <c r="BW37" i="26"/>
  <c r="BO33" i="26"/>
  <c r="AR37" i="26"/>
  <c r="AZ37" i="26"/>
  <c r="BH37" i="26"/>
  <c r="BP37" i="26"/>
  <c r="BX37" i="26"/>
  <c r="AS37" i="26"/>
  <c r="BA37" i="26"/>
  <c r="BI37" i="26"/>
  <c r="BQ37" i="26"/>
  <c r="BY37" i="26"/>
  <c r="AL37" i="26"/>
  <c r="AT37" i="26"/>
  <c r="BB37" i="26"/>
  <c r="BJ37" i="26"/>
  <c r="BR37" i="26"/>
  <c r="BZ37" i="26"/>
  <c r="AN37" i="26"/>
  <c r="AV37" i="26"/>
  <c r="BD37" i="26"/>
  <c r="BL37" i="26"/>
  <c r="BT37" i="26"/>
  <c r="CB37" i="26"/>
  <c r="AO37" i="26"/>
  <c r="AW37" i="26"/>
  <c r="BE37" i="26"/>
  <c r="BM37" i="26"/>
  <c r="BU37" i="26"/>
  <c r="CC37" i="26"/>
  <c r="AP37" i="26"/>
  <c r="AX37" i="26"/>
  <c r="BF37" i="26"/>
  <c r="BN37" i="26"/>
  <c r="BV37" i="26"/>
  <c r="CD37" i="26"/>
  <c r="BS37" i="26"/>
  <c r="AM37" i="26"/>
  <c r="AR33" i="26"/>
  <c r="AZ33" i="26"/>
  <c r="BH33" i="26"/>
  <c r="BP33" i="26"/>
  <c r="BX33" i="26"/>
  <c r="AS33" i="26"/>
  <c r="BA33" i="26"/>
  <c r="BI33" i="26"/>
  <c r="BQ33" i="26"/>
  <c r="BY33" i="26"/>
  <c r="AL33" i="26"/>
  <c r="AT33" i="26"/>
  <c r="BB33" i="26"/>
  <c r="BJ33" i="26"/>
  <c r="BR33" i="26"/>
  <c r="BZ33" i="26"/>
  <c r="AN33" i="26"/>
  <c r="AV33" i="26"/>
  <c r="BD33" i="26"/>
  <c r="BL33" i="26"/>
  <c r="BT33" i="26"/>
  <c r="CB33" i="26"/>
  <c r="AO33" i="26"/>
  <c r="AW33" i="26"/>
  <c r="BE33" i="26"/>
  <c r="BM33" i="26"/>
  <c r="BU33" i="26"/>
  <c r="CC33" i="26"/>
  <c r="AP33" i="26"/>
  <c r="AX33" i="26"/>
  <c r="BF33" i="26"/>
  <c r="BN33" i="26"/>
  <c r="BV33" i="26"/>
  <c r="CD33" i="26"/>
  <c r="BO37" i="26"/>
  <c r="BG33" i="26"/>
  <c r="BK37" i="26"/>
  <c r="BC33" i="26"/>
  <c r="BG37" i="26"/>
  <c r="CE33" i="26"/>
  <c r="AY33" i="26"/>
  <c r="BC37" i="26"/>
  <c r="CA33" i="26"/>
  <c r="AU33" i="26"/>
  <c r="CE37" i="26"/>
  <c r="AY37" i="26"/>
  <c r="BW33" i="26"/>
  <c r="AQ33" i="26"/>
  <c r="C73" i="15"/>
  <c r="AI19" i="24" s="1"/>
  <c r="D73" i="15"/>
  <c r="AI19" i="25" s="1"/>
  <c r="E73" i="15"/>
  <c r="C74" i="15"/>
  <c r="AI20" i="24" s="1"/>
  <c r="D74" i="15"/>
  <c r="AI20" i="25" s="1"/>
  <c r="E74" i="15"/>
  <c r="C75" i="15"/>
  <c r="AI21" i="24" s="1"/>
  <c r="D75" i="15"/>
  <c r="AI21" i="25" s="1"/>
  <c r="E75" i="15"/>
  <c r="C76" i="15"/>
  <c r="AI22" i="24" s="1"/>
  <c r="D76" i="15"/>
  <c r="AI22" i="25" s="1"/>
  <c r="E76" i="15"/>
  <c r="C72" i="15"/>
  <c r="D72" i="15"/>
  <c r="AI18" i="25" s="1"/>
  <c r="E72" i="15"/>
  <c r="AI18" i="26" s="1"/>
  <c r="B72" i="15"/>
  <c r="BJ125" i="33" l="1"/>
  <c r="BJ171" i="33" s="1"/>
  <c r="BQ136" i="33"/>
  <c r="BG124" i="33"/>
  <c r="BG170" i="33" s="1"/>
  <c r="BI160" i="33"/>
  <c r="BI161" i="33" s="1"/>
  <c r="BI162" i="33" s="1"/>
  <c r="BS135" i="33"/>
  <c r="BF135" i="33"/>
  <c r="AW136" i="33"/>
  <c r="BO135" i="33"/>
  <c r="BK160" i="33"/>
  <c r="BK161" i="33" s="1"/>
  <c r="BK162" i="33" s="1"/>
  <c r="BL160" i="33"/>
  <c r="BL161" i="33" s="1"/>
  <c r="BL162" i="33" s="1"/>
  <c r="BH136" i="33"/>
  <c r="AZ160" i="33"/>
  <c r="AZ161" i="33" s="1"/>
  <c r="AZ162" i="33" s="1"/>
  <c r="BF160" i="33"/>
  <c r="BF161" i="33" s="1"/>
  <c r="BF162" i="33" s="1"/>
  <c r="AY136" i="33"/>
  <c r="BL135" i="33"/>
  <c r="BG160" i="33"/>
  <c r="BG161" i="33" s="1"/>
  <c r="BG162" i="33" s="1"/>
  <c r="BH160" i="33"/>
  <c r="BH161" i="33" s="1"/>
  <c r="BH162" i="33" s="1"/>
  <c r="BD160" i="33"/>
  <c r="BD161" i="33" s="1"/>
  <c r="BD162" i="33" s="1"/>
  <c r="AY135" i="33"/>
  <c r="BJ160" i="33"/>
  <c r="BJ161" i="33" s="1"/>
  <c r="BJ162" i="33" s="1"/>
  <c r="BO160" i="33"/>
  <c r="BO161" i="33" s="1"/>
  <c r="BO162" i="33" s="1"/>
  <c r="BC160" i="33"/>
  <c r="BC161" i="33" s="1"/>
  <c r="BC162" i="33" s="1"/>
  <c r="D207" i="33"/>
  <c r="T208" i="33"/>
  <c r="X207" i="33" s="1"/>
  <c r="AV160" i="33"/>
  <c r="AV161" i="33" s="1"/>
  <c r="AV162" i="33" s="1"/>
  <c r="D277" i="33"/>
  <c r="C290" i="33"/>
  <c r="CE178" i="33"/>
  <c r="CB178" i="33"/>
  <c r="DP178" i="33"/>
  <c r="BA160" i="33"/>
  <c r="BA161" i="33" s="1"/>
  <c r="BA162" i="33" s="1"/>
  <c r="CH178" i="33"/>
  <c r="BR160" i="33"/>
  <c r="BR161" i="33" s="1"/>
  <c r="BR162" i="33" s="1"/>
  <c r="DN178" i="33"/>
  <c r="O257" i="33"/>
  <c r="BJ123" i="33"/>
  <c r="BJ169" i="33" s="1"/>
  <c r="BJ134" i="33"/>
  <c r="BJ144" i="33" s="1"/>
  <c r="BQ122" i="33"/>
  <c r="BQ168" i="33" s="1"/>
  <c r="BQ133" i="33"/>
  <c r="CH143" i="33"/>
  <c r="CH145" i="33"/>
  <c r="CH142" i="33"/>
  <c r="CH144" i="33"/>
  <c r="BR121" i="33"/>
  <c r="BR167" i="33" s="1"/>
  <c r="BR132" i="33"/>
  <c r="DN145" i="33"/>
  <c r="DN143" i="33"/>
  <c r="DN142" i="33"/>
  <c r="DN144" i="33"/>
  <c r="CE145" i="33"/>
  <c r="CE142" i="33"/>
  <c r="CE144" i="33"/>
  <c r="CE143" i="33"/>
  <c r="CB142" i="33"/>
  <c r="CB143" i="33"/>
  <c r="CB145" i="33"/>
  <c r="CB144" i="33"/>
  <c r="DP144" i="33"/>
  <c r="DP142" i="33"/>
  <c r="DP143" i="33"/>
  <c r="DP145" i="33"/>
  <c r="DZ178" i="33"/>
  <c r="CS145" i="33"/>
  <c r="CS143" i="33"/>
  <c r="CS144" i="33"/>
  <c r="CS142" i="33"/>
  <c r="AY122" i="33"/>
  <c r="AY168" i="33" s="1"/>
  <c r="AY133" i="33"/>
  <c r="BH123" i="33"/>
  <c r="BH134" i="33"/>
  <c r="CL142" i="33"/>
  <c r="CL143" i="33"/>
  <c r="CL144" i="33"/>
  <c r="CL145" i="33"/>
  <c r="DF145" i="33"/>
  <c r="DF143" i="33"/>
  <c r="DF142" i="33"/>
  <c r="DF144" i="33"/>
  <c r="CP145" i="33"/>
  <c r="CP144" i="33"/>
  <c r="CP143" i="33"/>
  <c r="CP142" i="33"/>
  <c r="BI123" i="33"/>
  <c r="BI169" i="33" s="1"/>
  <c r="BI134" i="33"/>
  <c r="BI143" i="33" s="1"/>
  <c r="DK145" i="33"/>
  <c r="DK143" i="33"/>
  <c r="DK142" i="33"/>
  <c r="DK144" i="33"/>
  <c r="BS123" i="33"/>
  <c r="BS169" i="33" s="1"/>
  <c r="BS134" i="33"/>
  <c r="CM145" i="33"/>
  <c r="CM143" i="33"/>
  <c r="CM142" i="33"/>
  <c r="CM144" i="33"/>
  <c r="DY144" i="33"/>
  <c r="DY142" i="33"/>
  <c r="DY145" i="33"/>
  <c r="DY143" i="33"/>
  <c r="BS122" i="33"/>
  <c r="BS168" i="33" s="1"/>
  <c r="BS133" i="33"/>
  <c r="AY121" i="33"/>
  <c r="AY167" i="33" s="1"/>
  <c r="AY132" i="33"/>
  <c r="BD123" i="33"/>
  <c r="BD134" i="33"/>
  <c r="BD145" i="33" s="1"/>
  <c r="BA122" i="33"/>
  <c r="BA168" i="33" s="1"/>
  <c r="BA133" i="33"/>
  <c r="CJ178" i="33"/>
  <c r="BQ121" i="33"/>
  <c r="BQ167" i="33" s="1"/>
  <c r="BQ132" i="33"/>
  <c r="CM178" i="33"/>
  <c r="DW144" i="33"/>
  <c r="DW143" i="33"/>
  <c r="DW142" i="33"/>
  <c r="DW145" i="33"/>
  <c r="AV121" i="33"/>
  <c r="AV167" i="33" s="1"/>
  <c r="AV132" i="33"/>
  <c r="DH145" i="33"/>
  <c r="DH142" i="33"/>
  <c r="DH144" i="33"/>
  <c r="DH143" i="33"/>
  <c r="CW143" i="33"/>
  <c r="CW142" i="33"/>
  <c r="CW144" i="33"/>
  <c r="CW145" i="33"/>
  <c r="DU144" i="33"/>
  <c r="DU145" i="33"/>
  <c r="DU142" i="33"/>
  <c r="DU143" i="33"/>
  <c r="D265" i="33"/>
  <c r="D289" i="33" s="1"/>
  <c r="DT144" i="33"/>
  <c r="DT145" i="33"/>
  <c r="DT143" i="33"/>
  <c r="DT142" i="33"/>
  <c r="DM144" i="33"/>
  <c r="DM142" i="33"/>
  <c r="DM145" i="33"/>
  <c r="DM143" i="33"/>
  <c r="BE123" i="33"/>
  <c r="BE169" i="33" s="1"/>
  <c r="BE134" i="33"/>
  <c r="BE145" i="33" s="1"/>
  <c r="DQ178" i="33"/>
  <c r="DR178" i="33"/>
  <c r="DO178" i="33"/>
  <c r="BQ160" i="33"/>
  <c r="BQ161" i="33" s="1"/>
  <c r="BQ162" i="33" s="1"/>
  <c r="BA123" i="33"/>
  <c r="BA169" i="33" s="1"/>
  <c r="BA134" i="33"/>
  <c r="CI145" i="33"/>
  <c r="CI142" i="33"/>
  <c r="CI144" i="33"/>
  <c r="CI143" i="33"/>
  <c r="AW122" i="33"/>
  <c r="AW168" i="33" s="1"/>
  <c r="AW133" i="33"/>
  <c r="BP121" i="33"/>
  <c r="BP167" i="33" s="1"/>
  <c r="BP132" i="33"/>
  <c r="CY145" i="33"/>
  <c r="CY144" i="33"/>
  <c r="CY143" i="33"/>
  <c r="CY142" i="33"/>
  <c r="BM123" i="33"/>
  <c r="BM169" i="33" s="1"/>
  <c r="BM134" i="33"/>
  <c r="BM145" i="33" s="1"/>
  <c r="BO123" i="33"/>
  <c r="BO169" i="33" s="1"/>
  <c r="BO134" i="33"/>
  <c r="DI142" i="33"/>
  <c r="DI144" i="33"/>
  <c r="DI143" i="33"/>
  <c r="DI145" i="33"/>
  <c r="AX121" i="33"/>
  <c r="AX167" i="33" s="1"/>
  <c r="AX132" i="33"/>
  <c r="BS121" i="33"/>
  <c r="BS167" i="33" s="1"/>
  <c r="BS132" i="33"/>
  <c r="DW178" i="33"/>
  <c r="DH178" i="33"/>
  <c r="CW178" i="33"/>
  <c r="DU178" i="33"/>
  <c r="DT178" i="33"/>
  <c r="DM178" i="33"/>
  <c r="DG145" i="33"/>
  <c r="DG142" i="33"/>
  <c r="DG144" i="33"/>
  <c r="DG143" i="33"/>
  <c r="CV142" i="33"/>
  <c r="CV144" i="33"/>
  <c r="CV145" i="33"/>
  <c r="CV143" i="33"/>
  <c r="CI178" i="33"/>
  <c r="BP160" i="33"/>
  <c r="BP161" i="33" s="1"/>
  <c r="BP162" i="33" s="1"/>
  <c r="CY178" i="33"/>
  <c r="DI178" i="33"/>
  <c r="AX160" i="33"/>
  <c r="AX161" i="33" s="1"/>
  <c r="AX162" i="33" s="1"/>
  <c r="BS160" i="33"/>
  <c r="BS161" i="33" s="1"/>
  <c r="BS162" i="33" s="1"/>
  <c r="BC123" i="33"/>
  <c r="BC169" i="33" s="1"/>
  <c r="BC134" i="33"/>
  <c r="BC143" i="33" s="1"/>
  <c r="DQ144" i="33"/>
  <c r="DQ143" i="33"/>
  <c r="DQ142" i="33"/>
  <c r="DQ145" i="33"/>
  <c r="CL178" i="33"/>
  <c r="BG123" i="33"/>
  <c r="BG169" i="33" s="1"/>
  <c r="BG134" i="33"/>
  <c r="BG142" i="33" s="1"/>
  <c r="BP122" i="33"/>
  <c r="BP168" i="33" s="1"/>
  <c r="BP133" i="33"/>
  <c r="DS143" i="33"/>
  <c r="DS142" i="33"/>
  <c r="DS145" i="33"/>
  <c r="DS144" i="33"/>
  <c r="CT144" i="33"/>
  <c r="CT143" i="33"/>
  <c r="CT142" i="33"/>
  <c r="CT145" i="33"/>
  <c r="BR123" i="33"/>
  <c r="BR169" i="33" s="1"/>
  <c r="BR134" i="33"/>
  <c r="DG178" i="33"/>
  <c r="CV178" i="33"/>
  <c r="AY123" i="33"/>
  <c r="AY169" i="33" s="1"/>
  <c r="AY134" i="33"/>
  <c r="BQ123" i="33"/>
  <c r="BQ169" i="33" s="1"/>
  <c r="BQ134" i="33"/>
  <c r="CO145" i="33"/>
  <c r="CO143" i="33"/>
  <c r="CO142" i="33"/>
  <c r="CO144" i="33"/>
  <c r="AW123" i="33"/>
  <c r="AW169" i="33" s="1"/>
  <c r="AW134" i="33"/>
  <c r="EB144" i="33"/>
  <c r="EB143" i="33"/>
  <c r="EB142" i="33"/>
  <c r="EB145" i="33"/>
  <c r="AV123" i="33"/>
  <c r="AV169" i="33" s="1"/>
  <c r="AV134" i="33"/>
  <c r="AW121" i="33"/>
  <c r="AW167" i="33" s="1"/>
  <c r="AW132" i="33"/>
  <c r="BN123" i="33"/>
  <c r="BN169" i="33" s="1"/>
  <c r="BN134" i="33"/>
  <c r="BN142" i="33" s="1"/>
  <c r="CN143" i="33"/>
  <c r="CN145" i="33"/>
  <c r="CN144" i="33"/>
  <c r="CN142" i="33"/>
  <c r="DE144" i="33"/>
  <c r="DE142" i="33"/>
  <c r="DE145" i="33"/>
  <c r="DE143" i="33"/>
  <c r="CK145" i="33"/>
  <c r="CK143" i="33"/>
  <c r="CK144" i="33"/>
  <c r="CK142" i="33"/>
  <c r="BB123" i="33"/>
  <c r="BB169" i="33" s="1"/>
  <c r="BB134" i="33"/>
  <c r="BB142" i="33" s="1"/>
  <c r="DF178" i="33"/>
  <c r="DK178" i="33"/>
  <c r="DS178" i="33"/>
  <c r="CT178" i="33"/>
  <c r="CC145" i="33"/>
  <c r="CC143" i="33"/>
  <c r="CC142" i="33"/>
  <c r="CC144" i="33"/>
  <c r="CU144" i="33"/>
  <c r="CU145" i="33"/>
  <c r="CU142" i="33"/>
  <c r="CU143" i="33"/>
  <c r="CQ144" i="33"/>
  <c r="CQ143" i="33"/>
  <c r="CQ142" i="33"/>
  <c r="CQ145" i="33"/>
  <c r="CO178" i="33"/>
  <c r="EB178" i="33"/>
  <c r="AW160" i="33"/>
  <c r="AW161" i="33" s="1"/>
  <c r="AW162" i="33" s="1"/>
  <c r="CN178" i="33"/>
  <c r="DE178" i="33"/>
  <c r="CK178" i="33"/>
  <c r="CD142" i="33"/>
  <c r="CD143" i="33"/>
  <c r="CD145" i="33"/>
  <c r="CD144" i="33"/>
  <c r="DO143" i="33"/>
  <c r="DO145" i="33"/>
  <c r="DO144" i="33"/>
  <c r="DO142" i="33"/>
  <c r="CS178" i="33"/>
  <c r="DY178" i="33"/>
  <c r="DJ145" i="33"/>
  <c r="DJ144" i="33"/>
  <c r="DJ143" i="33"/>
  <c r="DJ142" i="33"/>
  <c r="CF143" i="33"/>
  <c r="CF142" i="33"/>
  <c r="CF145" i="33"/>
  <c r="CF144" i="33"/>
  <c r="CX142" i="33"/>
  <c r="CX145" i="33"/>
  <c r="CX144" i="33"/>
  <c r="CX143" i="33"/>
  <c r="AZ122" i="33"/>
  <c r="AZ168" i="33" s="1"/>
  <c r="AZ133" i="33"/>
  <c r="AZ123" i="33"/>
  <c r="AZ169" i="33" s="1"/>
  <c r="AZ134" i="33"/>
  <c r="BF123" i="33"/>
  <c r="BF169" i="33" s="1"/>
  <c r="BF134" i="33"/>
  <c r="BF143" i="33" s="1"/>
  <c r="CC178" i="33"/>
  <c r="CU178" i="33"/>
  <c r="CQ178" i="33"/>
  <c r="BP123" i="33"/>
  <c r="BP169" i="33" s="1"/>
  <c r="BP134" i="33"/>
  <c r="CG145" i="33"/>
  <c r="CG143" i="33"/>
  <c r="CG142" i="33"/>
  <c r="CG144" i="33"/>
  <c r="DV142" i="33"/>
  <c r="DV144" i="33"/>
  <c r="DV145" i="33"/>
  <c r="DV143" i="33"/>
  <c r="AX123" i="33"/>
  <c r="AX169" i="33" s="1"/>
  <c r="AX134" i="33"/>
  <c r="BR122" i="33"/>
  <c r="BR168" i="33" s="1"/>
  <c r="BR133" i="33"/>
  <c r="BK123" i="33"/>
  <c r="BK169" i="33" s="1"/>
  <c r="BK134" i="33"/>
  <c r="BK143" i="33" s="1"/>
  <c r="CR142" i="33"/>
  <c r="CR145" i="33"/>
  <c r="CR143" i="33"/>
  <c r="CR144" i="33"/>
  <c r="EA145" i="33"/>
  <c r="EA144" i="33"/>
  <c r="EA143" i="33"/>
  <c r="EA142" i="33"/>
  <c r="DX144" i="33"/>
  <c r="DX145" i="33"/>
  <c r="DX142" i="33"/>
  <c r="DX143" i="33"/>
  <c r="DL145" i="33"/>
  <c r="DL144" i="33"/>
  <c r="DL142" i="33"/>
  <c r="DL143" i="33"/>
  <c r="AV122" i="33"/>
  <c r="AV168" i="33" s="1"/>
  <c r="AV133" i="33"/>
  <c r="BL123" i="33"/>
  <c r="BL169" i="33" s="1"/>
  <c r="BL134" i="33"/>
  <c r="BL143" i="33" s="1"/>
  <c r="AX122" i="33"/>
  <c r="AX168" i="33" s="1"/>
  <c r="AX133" i="33"/>
  <c r="CD178" i="33"/>
  <c r="DR145" i="33"/>
  <c r="DR144" i="33"/>
  <c r="DR143" i="33"/>
  <c r="DR142" i="33"/>
  <c r="CP178" i="33"/>
  <c r="AY160" i="33"/>
  <c r="AY161" i="33" s="1"/>
  <c r="AY162" i="33" s="1"/>
  <c r="DJ178" i="33"/>
  <c r="CF178" i="33"/>
  <c r="CX178" i="33"/>
  <c r="DZ145" i="33"/>
  <c r="DZ144" i="33"/>
  <c r="DZ143" i="33"/>
  <c r="DZ142" i="33"/>
  <c r="CG178" i="33"/>
  <c r="DV178" i="33"/>
  <c r="CR178" i="33"/>
  <c r="EA178" i="33"/>
  <c r="DX178" i="33"/>
  <c r="DL178" i="33"/>
  <c r="CJ144" i="33"/>
  <c r="CJ142" i="33"/>
  <c r="CJ145" i="33"/>
  <c r="CJ143" i="33"/>
  <c r="B39" i="18"/>
  <c r="AH47" i="31" s="1"/>
  <c r="AH69" i="31" s="1"/>
  <c r="BO145" i="33" l="1"/>
  <c r="BH144" i="33"/>
  <c r="BH169" i="33"/>
  <c r="BH178" i="33" s="1"/>
  <c r="BD169" i="33"/>
  <c r="BD178" i="33" s="1"/>
  <c r="X209" i="33"/>
  <c r="Z209" i="33" s="1"/>
  <c r="X208" i="33"/>
  <c r="BJ178" i="33"/>
  <c r="BL178" i="33"/>
  <c r="BF178" i="33"/>
  <c r="BN178" i="33"/>
  <c r="BO178" i="33"/>
  <c r="BI178" i="33"/>
  <c r="BE178" i="33"/>
  <c r="BB178" i="33"/>
  <c r="BG178" i="33"/>
  <c r="BC178" i="33"/>
  <c r="BM178" i="33"/>
  <c r="BK178" i="33"/>
  <c r="BH145" i="33"/>
  <c r="BI144" i="33"/>
  <c r="BG143" i="33"/>
  <c r="BI145" i="33"/>
  <c r="BJ142" i="33"/>
  <c r="BJ143" i="33"/>
  <c r="BJ145" i="33"/>
  <c r="BA178" i="33"/>
  <c r="BN145" i="33"/>
  <c r="BH143" i="33"/>
  <c r="BH142" i="33"/>
  <c r="BN143" i="33"/>
  <c r="BI142" i="33"/>
  <c r="BA143" i="33"/>
  <c r="BS178" i="33"/>
  <c r="DT146" i="33"/>
  <c r="AW178" i="33"/>
  <c r="AZ178" i="33"/>
  <c r="BN144" i="33"/>
  <c r="DY146" i="33"/>
  <c r="BC144" i="33"/>
  <c r="BC145" i="33"/>
  <c r="BA142" i="33"/>
  <c r="BG144" i="33"/>
  <c r="AZ145" i="33"/>
  <c r="BG145" i="33"/>
  <c r="BD143" i="33"/>
  <c r="CJ146" i="33"/>
  <c r="BC142" i="33"/>
  <c r="BC146" i="33" s="1"/>
  <c r="DL146" i="33"/>
  <c r="DV146" i="33"/>
  <c r="CX146" i="33"/>
  <c r="BA144" i="33"/>
  <c r="CQ146" i="33"/>
  <c r="BD142" i="33"/>
  <c r="DE146" i="33"/>
  <c r="DS146" i="33"/>
  <c r="BO142" i="33"/>
  <c r="CP146" i="33"/>
  <c r="CS146" i="33"/>
  <c r="CB146" i="33"/>
  <c r="CH146" i="33"/>
  <c r="BA145" i="33"/>
  <c r="BD144" i="33"/>
  <c r="EB146" i="33"/>
  <c r="DQ146" i="33"/>
  <c r="CV146" i="33"/>
  <c r="BO143" i="33"/>
  <c r="CI146" i="33"/>
  <c r="BO144" i="33"/>
  <c r="DN146" i="33"/>
  <c r="BL145" i="33"/>
  <c r="AZ144" i="33"/>
  <c r="BK142" i="33"/>
  <c r="AX143" i="33"/>
  <c r="AX142" i="33"/>
  <c r="AX145" i="33"/>
  <c r="BM142" i="33"/>
  <c r="DP146" i="33"/>
  <c r="CE146" i="33"/>
  <c r="DX146" i="33"/>
  <c r="DR146" i="33"/>
  <c r="CK146" i="33"/>
  <c r="CN146" i="33"/>
  <c r="AZ142" i="33"/>
  <c r="BB145" i="33"/>
  <c r="BP144" i="33"/>
  <c r="BK144" i="33"/>
  <c r="AX178" i="33"/>
  <c r="BM144" i="33"/>
  <c r="DU146" i="33"/>
  <c r="CR146" i="33"/>
  <c r="CO146" i="33"/>
  <c r="AZ143" i="33"/>
  <c r="BB143" i="33"/>
  <c r="BB146" i="33" s="1"/>
  <c r="CT146" i="33"/>
  <c r="BK145" i="33"/>
  <c r="BM143" i="33"/>
  <c r="BP143" i="33"/>
  <c r="BP142" i="33"/>
  <c r="BP146" i="33" s="1"/>
  <c r="BP145" i="33"/>
  <c r="DH146" i="33"/>
  <c r="AY145" i="33"/>
  <c r="AY142" i="33"/>
  <c r="AY146" i="33" s="1"/>
  <c r="AY144" i="33"/>
  <c r="AY143" i="33"/>
  <c r="BF144" i="33"/>
  <c r="BE142" i="33"/>
  <c r="EA146" i="33"/>
  <c r="CF146" i="33"/>
  <c r="DO146" i="33"/>
  <c r="CD146" i="33"/>
  <c r="CU146" i="33"/>
  <c r="CC146" i="33"/>
  <c r="BB144" i="33"/>
  <c r="BP178" i="33"/>
  <c r="BQ145" i="33"/>
  <c r="BQ142" i="33"/>
  <c r="BQ143" i="33"/>
  <c r="BQ144" i="33"/>
  <c r="AY178" i="33"/>
  <c r="BF142" i="33"/>
  <c r="BE144" i="33"/>
  <c r="AW142" i="33"/>
  <c r="AV144" i="33"/>
  <c r="AV143" i="33"/>
  <c r="AV142" i="33"/>
  <c r="AV145" i="33"/>
  <c r="BQ178" i="33"/>
  <c r="BS144" i="33"/>
  <c r="DK146" i="33"/>
  <c r="CL146" i="33"/>
  <c r="BF145" i="33"/>
  <c r="BE143" i="33"/>
  <c r="DZ146" i="33"/>
  <c r="DJ146" i="33"/>
  <c r="DI146" i="33"/>
  <c r="AV178" i="33"/>
  <c r="B113" i="30"/>
  <c r="B125" i="30" s="1"/>
  <c r="CG146" i="33"/>
  <c r="BL144" i="33"/>
  <c r="BS142" i="33"/>
  <c r="BS145" i="33"/>
  <c r="BS143" i="33"/>
  <c r="CY146" i="33"/>
  <c r="DM146" i="33"/>
  <c r="CW146" i="33"/>
  <c r="CM146" i="33"/>
  <c r="DF146" i="33"/>
  <c r="BR142" i="33"/>
  <c r="BR144" i="33"/>
  <c r="BR143" i="33"/>
  <c r="BR145" i="33"/>
  <c r="AX144" i="33"/>
  <c r="BL142" i="33"/>
  <c r="AW145" i="33"/>
  <c r="AW143" i="33"/>
  <c r="AW144" i="33"/>
  <c r="DG146" i="33"/>
  <c r="DW146" i="33"/>
  <c r="BR178" i="33"/>
  <c r="I64" i="7"/>
  <c r="J64" i="7"/>
  <c r="O64" i="7"/>
  <c r="P64" i="7"/>
  <c r="Q64" i="7"/>
  <c r="G64" i="7"/>
  <c r="DM148" i="33" l="1"/>
  <c r="DM147" i="33"/>
  <c r="DR148" i="33"/>
  <c r="DR147" i="33"/>
  <c r="DQ148" i="33"/>
  <c r="DQ147" i="33"/>
  <c r="DL148" i="33"/>
  <c r="DL147" i="33"/>
  <c r="DL163" i="33" s="1"/>
  <c r="CY148" i="33"/>
  <c r="CY147" i="33"/>
  <c r="DI148" i="33"/>
  <c r="DI147" i="33"/>
  <c r="CU148" i="33"/>
  <c r="CU147" i="33"/>
  <c r="DX148" i="33"/>
  <c r="DX147" i="33"/>
  <c r="EB148" i="33"/>
  <c r="EB147" i="33"/>
  <c r="DS147" i="33"/>
  <c r="DS148" i="33"/>
  <c r="BC148" i="33"/>
  <c r="BC147" i="33"/>
  <c r="DJ148" i="33"/>
  <c r="DJ147" i="33"/>
  <c r="CD148" i="33"/>
  <c r="CD147" i="33"/>
  <c r="AY148" i="33"/>
  <c r="AY147" i="33"/>
  <c r="CT148" i="33"/>
  <c r="CT147" i="33"/>
  <c r="CE148" i="33"/>
  <c r="CE147" i="33"/>
  <c r="DE148" i="33"/>
  <c r="DE147" i="33"/>
  <c r="CJ148" i="33"/>
  <c r="CJ147" i="33"/>
  <c r="DY148" i="33"/>
  <c r="DY147" i="33"/>
  <c r="DG148" i="33"/>
  <c r="DG147" i="33"/>
  <c r="DO148" i="33"/>
  <c r="DO147" i="33"/>
  <c r="BB147" i="33"/>
  <c r="BB148" i="33"/>
  <c r="DP148" i="33"/>
  <c r="DP147" i="33"/>
  <c r="DN148" i="33"/>
  <c r="DN147" i="33"/>
  <c r="CF148" i="33"/>
  <c r="CF147" i="33"/>
  <c r="DH148" i="33"/>
  <c r="DH147" i="33"/>
  <c r="CH147" i="33"/>
  <c r="CH148" i="33"/>
  <c r="CQ148" i="33"/>
  <c r="CQ147" i="33"/>
  <c r="CC148" i="33"/>
  <c r="CC147" i="33"/>
  <c r="DW148" i="33"/>
  <c r="DW147" i="33"/>
  <c r="DZ148" i="33"/>
  <c r="DZ147" i="33"/>
  <c r="DF148" i="33"/>
  <c r="DF147" i="33"/>
  <c r="EA147" i="33"/>
  <c r="EA148" i="33"/>
  <c r="CO148" i="33"/>
  <c r="CO147" i="33"/>
  <c r="CI148" i="33"/>
  <c r="CI147" i="33"/>
  <c r="CB148" i="33"/>
  <c r="CB147" i="33"/>
  <c r="CM148" i="33"/>
  <c r="CM147" i="33"/>
  <c r="CG148" i="33"/>
  <c r="CG147" i="33"/>
  <c r="CL148" i="33"/>
  <c r="CL147" i="33"/>
  <c r="BP148" i="33"/>
  <c r="BP147" i="33"/>
  <c r="CR148" i="33"/>
  <c r="CR147" i="33"/>
  <c r="CN148" i="33"/>
  <c r="CN147" i="33"/>
  <c r="CS148" i="33"/>
  <c r="CS147" i="33"/>
  <c r="CX147" i="33"/>
  <c r="CX148" i="33"/>
  <c r="DT148" i="33"/>
  <c r="DT147" i="33"/>
  <c r="CW148" i="33"/>
  <c r="CW147" i="33"/>
  <c r="DK147" i="33"/>
  <c r="DK148" i="33"/>
  <c r="DU148" i="33"/>
  <c r="DU147" i="33"/>
  <c r="CK148" i="33"/>
  <c r="CK147" i="33"/>
  <c r="CV148" i="33"/>
  <c r="CV147" i="33"/>
  <c r="CP147" i="33"/>
  <c r="CP148" i="33"/>
  <c r="DV148" i="33"/>
  <c r="DV147" i="33"/>
  <c r="AV146" i="33"/>
  <c r="BS146" i="33"/>
  <c r="BQ146" i="33"/>
  <c r="BR146" i="33"/>
  <c r="AW146" i="33"/>
  <c r="AX146" i="33"/>
  <c r="BI146" i="33"/>
  <c r="BJ146" i="33"/>
  <c r="BG146" i="33"/>
  <c r="BH146" i="33"/>
  <c r="BA146" i="33"/>
  <c r="BN146" i="33"/>
  <c r="AZ146" i="33"/>
  <c r="BO146" i="33"/>
  <c r="BD146" i="33"/>
  <c r="BL146" i="33"/>
  <c r="BM146" i="33"/>
  <c r="BK146" i="33"/>
  <c r="BF146" i="33"/>
  <c r="D193" i="33"/>
  <c r="BE146" i="33"/>
  <c r="K57" i="7"/>
  <c r="L57" i="7" s="1"/>
  <c r="N57" i="7"/>
  <c r="R57" i="7"/>
  <c r="S57" i="7"/>
  <c r="U57" i="7"/>
  <c r="K58" i="7"/>
  <c r="L58" i="7" s="1"/>
  <c r="N58" i="7"/>
  <c r="R58" i="7"/>
  <c r="S58" i="7"/>
  <c r="U58" i="7"/>
  <c r="K59" i="7"/>
  <c r="L59" i="7" s="1"/>
  <c r="N59" i="7"/>
  <c r="R59" i="7"/>
  <c r="S59" i="7"/>
  <c r="U59" i="7"/>
  <c r="K60" i="7"/>
  <c r="L60" i="7" s="1"/>
  <c r="N60" i="7"/>
  <c r="R60" i="7"/>
  <c r="S60" i="7"/>
  <c r="U60" i="7"/>
  <c r="K61" i="7"/>
  <c r="L61" i="7" s="1"/>
  <c r="N61" i="7"/>
  <c r="R61" i="7"/>
  <c r="S61" i="7"/>
  <c r="U61" i="7"/>
  <c r="K62" i="7"/>
  <c r="L62" i="7" s="1"/>
  <c r="N62" i="7"/>
  <c r="R62" i="7"/>
  <c r="S62" i="7"/>
  <c r="U62" i="7"/>
  <c r="K63" i="7"/>
  <c r="L63" i="7" s="1"/>
  <c r="N63" i="7"/>
  <c r="R63" i="7"/>
  <c r="S63" i="7"/>
  <c r="U63" i="7"/>
  <c r="R29" i="7"/>
  <c r="S29" i="7"/>
  <c r="R30" i="7"/>
  <c r="S30" i="7"/>
  <c r="R5" i="7"/>
  <c r="S5" i="7"/>
  <c r="R34" i="7"/>
  <c r="S34" i="7"/>
  <c r="K51" i="7"/>
  <c r="L51" i="7" s="1"/>
  <c r="N51" i="7"/>
  <c r="R51" i="7"/>
  <c r="S51" i="7"/>
  <c r="U51" i="7"/>
  <c r="K52" i="7"/>
  <c r="L52" i="7" s="1"/>
  <c r="N52" i="7"/>
  <c r="R52" i="7"/>
  <c r="S52" i="7"/>
  <c r="U52" i="7"/>
  <c r="K53" i="7"/>
  <c r="L53" i="7" s="1"/>
  <c r="N53" i="7"/>
  <c r="R53" i="7"/>
  <c r="S53" i="7"/>
  <c r="U53" i="7"/>
  <c r="K54" i="7"/>
  <c r="L54" i="7" s="1"/>
  <c r="N54" i="7"/>
  <c r="R54" i="7"/>
  <c r="S54" i="7"/>
  <c r="U54" i="7"/>
  <c r="K55" i="7"/>
  <c r="L55" i="7" s="1"/>
  <c r="N55" i="7"/>
  <c r="R55" i="7"/>
  <c r="S55" i="7"/>
  <c r="U55" i="7"/>
  <c r="K56" i="7"/>
  <c r="L56" i="7" s="1"/>
  <c r="N56" i="7"/>
  <c r="R56" i="7"/>
  <c r="S56" i="7"/>
  <c r="U56" i="7"/>
  <c r="Y210" i="26"/>
  <c r="X210" i="26"/>
  <c r="W210" i="26"/>
  <c r="V210" i="26"/>
  <c r="U210" i="26"/>
  <c r="T210" i="26"/>
  <c r="S210" i="26"/>
  <c r="R210" i="26"/>
  <c r="Q210" i="26"/>
  <c r="P210" i="26"/>
  <c r="O210" i="26"/>
  <c r="N210" i="26"/>
  <c r="M210" i="26"/>
  <c r="L210" i="26"/>
  <c r="K210" i="26"/>
  <c r="J210" i="26"/>
  <c r="I210" i="26"/>
  <c r="H210" i="26"/>
  <c r="G210" i="26"/>
  <c r="F210" i="26"/>
  <c r="E210" i="26"/>
  <c r="D210" i="26"/>
  <c r="C210" i="26"/>
  <c r="B210" i="26"/>
  <c r="A210" i="26"/>
  <c r="Y209" i="26"/>
  <c r="X209" i="26"/>
  <c r="W209" i="26"/>
  <c r="V209" i="26"/>
  <c r="U209" i="26"/>
  <c r="T209" i="26"/>
  <c r="S209" i="26"/>
  <c r="R209" i="26"/>
  <c r="Q209" i="26"/>
  <c r="P209" i="26"/>
  <c r="O209" i="26"/>
  <c r="N209" i="26"/>
  <c r="M209" i="26"/>
  <c r="L209" i="26"/>
  <c r="K209" i="26"/>
  <c r="J209" i="26"/>
  <c r="I209" i="26"/>
  <c r="H209" i="26"/>
  <c r="G209" i="26"/>
  <c r="F209" i="26"/>
  <c r="E209" i="26"/>
  <c r="D209" i="26"/>
  <c r="C209" i="26"/>
  <c r="B209" i="26"/>
  <c r="A209" i="26"/>
  <c r="Y208" i="26"/>
  <c r="X208" i="26"/>
  <c r="W208" i="26"/>
  <c r="V208" i="26"/>
  <c r="U208" i="26"/>
  <c r="T208" i="26"/>
  <c r="S208" i="26"/>
  <c r="R208" i="26"/>
  <c r="Q208" i="26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C208" i="26"/>
  <c r="B208" i="26"/>
  <c r="A208" i="26"/>
  <c r="Y207" i="26"/>
  <c r="X207" i="26"/>
  <c r="W207" i="26"/>
  <c r="V207" i="26"/>
  <c r="U207" i="26"/>
  <c r="T207" i="26"/>
  <c r="S207" i="26"/>
  <c r="R207" i="26"/>
  <c r="Q207" i="26"/>
  <c r="P207" i="26"/>
  <c r="O207" i="26"/>
  <c r="N207" i="26"/>
  <c r="M207" i="26"/>
  <c r="L207" i="26"/>
  <c r="K207" i="26"/>
  <c r="J207" i="26"/>
  <c r="I207" i="26"/>
  <c r="H207" i="26"/>
  <c r="G207" i="26"/>
  <c r="F207" i="26"/>
  <c r="E207" i="26"/>
  <c r="D207" i="26"/>
  <c r="C207" i="26"/>
  <c r="B207" i="26"/>
  <c r="A207" i="26"/>
  <c r="Y206" i="26"/>
  <c r="X206" i="26"/>
  <c r="W206" i="26"/>
  <c r="V206" i="26"/>
  <c r="U206" i="26"/>
  <c r="T206" i="26"/>
  <c r="S206" i="26"/>
  <c r="R206" i="26"/>
  <c r="Q206" i="26"/>
  <c r="P206" i="26"/>
  <c r="O206" i="26"/>
  <c r="N206" i="26"/>
  <c r="M206" i="26"/>
  <c r="L206" i="26"/>
  <c r="K206" i="26"/>
  <c r="J206" i="26"/>
  <c r="I206" i="26"/>
  <c r="H206" i="26"/>
  <c r="G206" i="26"/>
  <c r="F206" i="26"/>
  <c r="E206" i="26"/>
  <c r="D206" i="26"/>
  <c r="C206" i="26"/>
  <c r="B206" i="26"/>
  <c r="A206" i="26"/>
  <c r="Y205" i="26"/>
  <c r="X205" i="26"/>
  <c r="W205" i="26"/>
  <c r="V205" i="26"/>
  <c r="U205" i="26"/>
  <c r="T205" i="26"/>
  <c r="S205" i="26"/>
  <c r="R205" i="26"/>
  <c r="Q205" i="26"/>
  <c r="P205" i="26"/>
  <c r="O205" i="26"/>
  <c r="N205" i="26"/>
  <c r="M205" i="26"/>
  <c r="L205" i="26"/>
  <c r="K205" i="26"/>
  <c r="J205" i="26"/>
  <c r="I205" i="26"/>
  <c r="H205" i="26"/>
  <c r="G205" i="26"/>
  <c r="F205" i="26"/>
  <c r="E205" i="26"/>
  <c r="D205" i="26"/>
  <c r="C205" i="26"/>
  <c r="B205" i="26"/>
  <c r="A205" i="26"/>
  <c r="Y204" i="26"/>
  <c r="X204" i="26"/>
  <c r="W204" i="26"/>
  <c r="V204" i="26"/>
  <c r="U204" i="26"/>
  <c r="T204" i="26"/>
  <c r="S204" i="26"/>
  <c r="R204" i="26"/>
  <c r="Q204" i="26"/>
  <c r="P204" i="26"/>
  <c r="O204" i="26"/>
  <c r="N204" i="26"/>
  <c r="M204" i="26"/>
  <c r="L204" i="26"/>
  <c r="K204" i="26"/>
  <c r="J204" i="26"/>
  <c r="I204" i="26"/>
  <c r="H204" i="26"/>
  <c r="G204" i="26"/>
  <c r="F204" i="26"/>
  <c r="E204" i="26"/>
  <c r="D204" i="26"/>
  <c r="C204" i="26"/>
  <c r="B204" i="26"/>
  <c r="A204" i="26"/>
  <c r="Y203" i="26"/>
  <c r="X203" i="26"/>
  <c r="W203" i="26"/>
  <c r="V203" i="26"/>
  <c r="U203" i="26"/>
  <c r="T203" i="26"/>
  <c r="S203" i="26"/>
  <c r="R203" i="26"/>
  <c r="Q203" i="26"/>
  <c r="P203" i="26"/>
  <c r="O203" i="26"/>
  <c r="N203" i="26"/>
  <c r="M203" i="26"/>
  <c r="L203" i="26"/>
  <c r="K203" i="26"/>
  <c r="J203" i="26"/>
  <c r="I203" i="26"/>
  <c r="H203" i="26"/>
  <c r="G203" i="26"/>
  <c r="F203" i="26"/>
  <c r="E203" i="26"/>
  <c r="D203" i="26"/>
  <c r="C203" i="26"/>
  <c r="B203" i="26"/>
  <c r="A203" i="26"/>
  <c r="Y202" i="26"/>
  <c r="X202" i="26"/>
  <c r="W202" i="26"/>
  <c r="V202" i="26"/>
  <c r="U202" i="26"/>
  <c r="T202" i="26"/>
  <c r="S202" i="26"/>
  <c r="R202" i="26"/>
  <c r="Q202" i="26"/>
  <c r="P202" i="26"/>
  <c r="O202" i="26"/>
  <c r="N202" i="26"/>
  <c r="M202" i="26"/>
  <c r="L202" i="26"/>
  <c r="K202" i="26"/>
  <c r="J202" i="26"/>
  <c r="I202" i="26"/>
  <c r="H202" i="26"/>
  <c r="G202" i="26"/>
  <c r="F202" i="26"/>
  <c r="E202" i="26"/>
  <c r="D202" i="26"/>
  <c r="C202" i="26"/>
  <c r="B202" i="26"/>
  <c r="A202" i="26"/>
  <c r="Y201" i="26"/>
  <c r="X201" i="26"/>
  <c r="W201" i="26"/>
  <c r="V201" i="26"/>
  <c r="U201" i="26"/>
  <c r="T201" i="26"/>
  <c r="S201" i="26"/>
  <c r="K201" i="26"/>
  <c r="J201" i="26"/>
  <c r="I201" i="26"/>
  <c r="H201" i="26"/>
  <c r="G201" i="26"/>
  <c r="F201" i="26"/>
  <c r="E201" i="26"/>
  <c r="D201" i="26"/>
  <c r="C201" i="26"/>
  <c r="B201" i="26"/>
  <c r="A201" i="26"/>
  <c r="Y197" i="26"/>
  <c r="X197" i="26"/>
  <c r="W197" i="26"/>
  <c r="V197" i="26"/>
  <c r="U197" i="26"/>
  <c r="T197" i="26"/>
  <c r="S197" i="26"/>
  <c r="R197" i="26"/>
  <c r="Q197" i="26"/>
  <c r="P197" i="26"/>
  <c r="O197" i="26"/>
  <c r="N197" i="26"/>
  <c r="M197" i="26"/>
  <c r="L197" i="26"/>
  <c r="K197" i="26"/>
  <c r="J197" i="26"/>
  <c r="I197" i="26"/>
  <c r="H197" i="26"/>
  <c r="G197" i="26"/>
  <c r="F197" i="26"/>
  <c r="E197" i="26"/>
  <c r="D197" i="26"/>
  <c r="C197" i="26"/>
  <c r="B197" i="26"/>
  <c r="A197" i="26"/>
  <c r="Y196" i="26"/>
  <c r="X196" i="26"/>
  <c r="W196" i="26"/>
  <c r="V196" i="26"/>
  <c r="U196" i="26"/>
  <c r="T196" i="26"/>
  <c r="S196" i="26"/>
  <c r="R196" i="26"/>
  <c r="Q196" i="26"/>
  <c r="P196" i="26"/>
  <c r="O196" i="26"/>
  <c r="N196" i="26"/>
  <c r="M196" i="26"/>
  <c r="L196" i="26"/>
  <c r="K196" i="26"/>
  <c r="J196" i="26"/>
  <c r="I196" i="26"/>
  <c r="H196" i="26"/>
  <c r="G196" i="26"/>
  <c r="F196" i="26"/>
  <c r="E196" i="26"/>
  <c r="D196" i="26"/>
  <c r="C196" i="26"/>
  <c r="B196" i="26"/>
  <c r="A196" i="26"/>
  <c r="Y195" i="26"/>
  <c r="X195" i="26"/>
  <c r="W195" i="26"/>
  <c r="V195" i="26"/>
  <c r="U195" i="26"/>
  <c r="T195" i="26"/>
  <c r="S195" i="26"/>
  <c r="R195" i="26"/>
  <c r="Q195" i="26"/>
  <c r="P195" i="26"/>
  <c r="O195" i="26"/>
  <c r="N195" i="26"/>
  <c r="M195" i="26"/>
  <c r="L195" i="26"/>
  <c r="K195" i="26"/>
  <c r="J195" i="26"/>
  <c r="I195" i="26"/>
  <c r="H195" i="26"/>
  <c r="G195" i="26"/>
  <c r="F195" i="26"/>
  <c r="E195" i="26"/>
  <c r="D195" i="26"/>
  <c r="C195" i="26"/>
  <c r="B195" i="26"/>
  <c r="A195" i="26"/>
  <c r="Y194" i="26"/>
  <c r="X194" i="26"/>
  <c r="W194" i="26"/>
  <c r="V194" i="26"/>
  <c r="U194" i="26"/>
  <c r="T194" i="26"/>
  <c r="S194" i="26"/>
  <c r="R194" i="26"/>
  <c r="Q194" i="26"/>
  <c r="P194" i="26"/>
  <c r="O194" i="26"/>
  <c r="N194" i="26"/>
  <c r="M194" i="26"/>
  <c r="L194" i="26"/>
  <c r="K194" i="26"/>
  <c r="J194" i="26"/>
  <c r="I194" i="26"/>
  <c r="H194" i="26"/>
  <c r="G194" i="26"/>
  <c r="F194" i="26"/>
  <c r="E194" i="26"/>
  <c r="D194" i="26"/>
  <c r="C194" i="26"/>
  <c r="B194" i="26"/>
  <c r="A194" i="26"/>
  <c r="Y193" i="26"/>
  <c r="X193" i="26"/>
  <c r="W193" i="26"/>
  <c r="V193" i="26"/>
  <c r="U193" i="26"/>
  <c r="T193" i="26"/>
  <c r="S193" i="26"/>
  <c r="R193" i="26"/>
  <c r="Q193" i="26"/>
  <c r="P193" i="26"/>
  <c r="O193" i="26"/>
  <c r="N193" i="26"/>
  <c r="M193" i="26"/>
  <c r="L193" i="26"/>
  <c r="K193" i="26"/>
  <c r="J193" i="26"/>
  <c r="I193" i="26"/>
  <c r="H193" i="26"/>
  <c r="G193" i="26"/>
  <c r="F193" i="26"/>
  <c r="E193" i="26"/>
  <c r="D193" i="26"/>
  <c r="C193" i="26"/>
  <c r="B193" i="26"/>
  <c r="A193" i="26"/>
  <c r="Y192" i="26"/>
  <c r="X192" i="26"/>
  <c r="W192" i="26"/>
  <c r="V192" i="26"/>
  <c r="U192" i="26"/>
  <c r="T192" i="26"/>
  <c r="S192" i="26"/>
  <c r="R192" i="26"/>
  <c r="Q192" i="26"/>
  <c r="P192" i="26"/>
  <c r="O192" i="26"/>
  <c r="N192" i="26"/>
  <c r="M192" i="26"/>
  <c r="L192" i="26"/>
  <c r="K192" i="26"/>
  <c r="J192" i="26"/>
  <c r="I192" i="26"/>
  <c r="H192" i="26"/>
  <c r="G192" i="26"/>
  <c r="F192" i="26"/>
  <c r="E192" i="26"/>
  <c r="D192" i="26"/>
  <c r="C192" i="26"/>
  <c r="B192" i="26"/>
  <c r="A192" i="26"/>
  <c r="Y191" i="26"/>
  <c r="X191" i="26"/>
  <c r="W191" i="26"/>
  <c r="V191" i="26"/>
  <c r="U191" i="26"/>
  <c r="T191" i="26"/>
  <c r="S191" i="26"/>
  <c r="R191" i="26"/>
  <c r="Q191" i="26"/>
  <c r="P191" i="26"/>
  <c r="O191" i="26"/>
  <c r="N191" i="26"/>
  <c r="M191" i="26"/>
  <c r="L191" i="26"/>
  <c r="K191" i="26"/>
  <c r="J191" i="26"/>
  <c r="I191" i="26"/>
  <c r="H191" i="26"/>
  <c r="G191" i="26"/>
  <c r="F191" i="26"/>
  <c r="E191" i="26"/>
  <c r="D191" i="26"/>
  <c r="C191" i="26"/>
  <c r="B191" i="26"/>
  <c r="A191" i="26"/>
  <c r="Y190" i="26"/>
  <c r="X190" i="26"/>
  <c r="W190" i="26"/>
  <c r="V190" i="26"/>
  <c r="U190" i="26"/>
  <c r="T190" i="26"/>
  <c r="S190" i="26"/>
  <c r="R190" i="26"/>
  <c r="Q190" i="26"/>
  <c r="P190" i="26"/>
  <c r="O190" i="26"/>
  <c r="N190" i="26"/>
  <c r="M190" i="26"/>
  <c r="L190" i="26"/>
  <c r="K190" i="26"/>
  <c r="J190" i="26"/>
  <c r="I190" i="26"/>
  <c r="H190" i="26"/>
  <c r="G190" i="26"/>
  <c r="F190" i="26"/>
  <c r="E190" i="26"/>
  <c r="D190" i="26"/>
  <c r="C190" i="26"/>
  <c r="B190" i="26"/>
  <c r="A190" i="26"/>
  <c r="Y189" i="26"/>
  <c r="X189" i="26"/>
  <c r="W189" i="26"/>
  <c r="V189" i="26"/>
  <c r="U189" i="26"/>
  <c r="T189" i="26"/>
  <c r="S189" i="26"/>
  <c r="R189" i="26"/>
  <c r="Q189" i="26"/>
  <c r="P189" i="26"/>
  <c r="O189" i="26"/>
  <c r="N189" i="26"/>
  <c r="M189" i="26"/>
  <c r="L189" i="26"/>
  <c r="K189" i="26"/>
  <c r="J189" i="26"/>
  <c r="I189" i="26"/>
  <c r="H189" i="26"/>
  <c r="G189" i="26"/>
  <c r="F189" i="26"/>
  <c r="E189" i="26"/>
  <c r="D189" i="26"/>
  <c r="C189" i="26"/>
  <c r="B189" i="26"/>
  <c r="A189" i="26"/>
  <c r="Y188" i="26"/>
  <c r="X188" i="26"/>
  <c r="W188" i="26"/>
  <c r="V188" i="26"/>
  <c r="U188" i="26"/>
  <c r="T188" i="26"/>
  <c r="S188" i="26"/>
  <c r="R188" i="26"/>
  <c r="Q188" i="26"/>
  <c r="P188" i="26"/>
  <c r="O188" i="26"/>
  <c r="N188" i="26"/>
  <c r="M188" i="26"/>
  <c r="L188" i="26"/>
  <c r="K188" i="26"/>
  <c r="J188" i="26"/>
  <c r="I188" i="26"/>
  <c r="H188" i="26"/>
  <c r="G188" i="26"/>
  <c r="F188" i="26"/>
  <c r="E188" i="26"/>
  <c r="D188" i="26"/>
  <c r="C188" i="26"/>
  <c r="B188" i="26"/>
  <c r="A188" i="26"/>
  <c r="Y184" i="26"/>
  <c r="X184" i="26"/>
  <c r="W184" i="26"/>
  <c r="V184" i="26"/>
  <c r="U184" i="26"/>
  <c r="T184" i="26"/>
  <c r="S184" i="26"/>
  <c r="R184" i="26"/>
  <c r="Q184" i="26"/>
  <c r="P184" i="26"/>
  <c r="O184" i="26"/>
  <c r="N184" i="26"/>
  <c r="M184" i="26"/>
  <c r="L184" i="26"/>
  <c r="K184" i="26"/>
  <c r="J184" i="26"/>
  <c r="I184" i="26"/>
  <c r="H184" i="26"/>
  <c r="G184" i="26"/>
  <c r="F184" i="26"/>
  <c r="E184" i="26"/>
  <c r="D184" i="26"/>
  <c r="C184" i="26"/>
  <c r="B184" i="26"/>
  <c r="A184" i="26"/>
  <c r="Y183" i="26"/>
  <c r="X183" i="26"/>
  <c r="W183" i="26"/>
  <c r="V183" i="26"/>
  <c r="U183" i="26"/>
  <c r="T183" i="26"/>
  <c r="S183" i="26"/>
  <c r="R183" i="26"/>
  <c r="Q183" i="26"/>
  <c r="P183" i="26"/>
  <c r="O183" i="26"/>
  <c r="N183" i="26"/>
  <c r="M183" i="26"/>
  <c r="L183" i="26"/>
  <c r="K183" i="26"/>
  <c r="J183" i="26"/>
  <c r="I183" i="26"/>
  <c r="H183" i="26"/>
  <c r="G183" i="26"/>
  <c r="F183" i="26"/>
  <c r="E183" i="26"/>
  <c r="D183" i="26"/>
  <c r="C183" i="26"/>
  <c r="B183" i="26"/>
  <c r="A183" i="26"/>
  <c r="Y182" i="26"/>
  <c r="X182" i="26"/>
  <c r="W182" i="26"/>
  <c r="V182" i="26"/>
  <c r="U182" i="26"/>
  <c r="T182" i="26"/>
  <c r="S182" i="26"/>
  <c r="R182" i="26"/>
  <c r="Q182" i="26"/>
  <c r="P182" i="26"/>
  <c r="O182" i="26"/>
  <c r="N182" i="26"/>
  <c r="M182" i="26"/>
  <c r="L182" i="26"/>
  <c r="K182" i="26"/>
  <c r="J182" i="26"/>
  <c r="I182" i="26"/>
  <c r="H182" i="26"/>
  <c r="G182" i="26"/>
  <c r="F182" i="26"/>
  <c r="E182" i="26"/>
  <c r="D182" i="26"/>
  <c r="C182" i="26"/>
  <c r="B182" i="26"/>
  <c r="A182" i="26"/>
  <c r="Y181" i="26"/>
  <c r="X181" i="26"/>
  <c r="W181" i="26"/>
  <c r="V181" i="26"/>
  <c r="U181" i="26"/>
  <c r="T181" i="26"/>
  <c r="S181" i="26"/>
  <c r="R181" i="26"/>
  <c r="Q181" i="26"/>
  <c r="P181" i="26"/>
  <c r="O181" i="26"/>
  <c r="N181" i="26"/>
  <c r="M181" i="26"/>
  <c r="L181" i="26"/>
  <c r="K181" i="26"/>
  <c r="J181" i="26"/>
  <c r="I181" i="26"/>
  <c r="H181" i="26"/>
  <c r="G181" i="26"/>
  <c r="F181" i="26"/>
  <c r="E181" i="26"/>
  <c r="D181" i="26"/>
  <c r="C181" i="26"/>
  <c r="B181" i="26"/>
  <c r="A181" i="26"/>
  <c r="Y180" i="26"/>
  <c r="X180" i="26"/>
  <c r="W180" i="26"/>
  <c r="V180" i="26"/>
  <c r="U180" i="26"/>
  <c r="T180" i="26"/>
  <c r="S180" i="26"/>
  <c r="R180" i="26"/>
  <c r="Q180" i="26"/>
  <c r="P180" i="26"/>
  <c r="O180" i="26"/>
  <c r="N180" i="26"/>
  <c r="M180" i="26"/>
  <c r="L180" i="26"/>
  <c r="K180" i="26"/>
  <c r="J180" i="26"/>
  <c r="I180" i="26"/>
  <c r="H180" i="26"/>
  <c r="G180" i="26"/>
  <c r="F180" i="26"/>
  <c r="E180" i="26"/>
  <c r="D180" i="26"/>
  <c r="C180" i="26"/>
  <c r="B180" i="26"/>
  <c r="A180" i="26"/>
  <c r="Y179" i="26"/>
  <c r="X179" i="26"/>
  <c r="W179" i="26"/>
  <c r="V179" i="26"/>
  <c r="U179" i="26"/>
  <c r="T179" i="26"/>
  <c r="S179" i="26"/>
  <c r="R179" i="26"/>
  <c r="Q179" i="26"/>
  <c r="P179" i="26"/>
  <c r="O179" i="26"/>
  <c r="N179" i="26"/>
  <c r="M179" i="26"/>
  <c r="L179" i="26"/>
  <c r="K179" i="26"/>
  <c r="J179" i="26"/>
  <c r="I179" i="26"/>
  <c r="H179" i="26"/>
  <c r="G179" i="26"/>
  <c r="F179" i="26"/>
  <c r="E179" i="26"/>
  <c r="D179" i="26"/>
  <c r="C179" i="26"/>
  <c r="B179" i="26"/>
  <c r="A179" i="26"/>
  <c r="Y178" i="26"/>
  <c r="X178" i="26"/>
  <c r="W178" i="26"/>
  <c r="V178" i="26"/>
  <c r="U178" i="26"/>
  <c r="T178" i="26"/>
  <c r="S178" i="26"/>
  <c r="R178" i="26"/>
  <c r="Q178" i="26"/>
  <c r="P178" i="26"/>
  <c r="O178" i="26"/>
  <c r="N178" i="26"/>
  <c r="M178" i="26"/>
  <c r="L178" i="26"/>
  <c r="K178" i="26"/>
  <c r="J178" i="26"/>
  <c r="I178" i="26"/>
  <c r="H178" i="26"/>
  <c r="G178" i="26"/>
  <c r="F178" i="26"/>
  <c r="E178" i="26"/>
  <c r="D178" i="26"/>
  <c r="C178" i="26"/>
  <c r="B178" i="26"/>
  <c r="A178" i="26"/>
  <c r="Y177" i="26"/>
  <c r="X177" i="26"/>
  <c r="W177" i="26"/>
  <c r="V177" i="26"/>
  <c r="U177" i="26"/>
  <c r="T177" i="26"/>
  <c r="S177" i="26"/>
  <c r="R177" i="26"/>
  <c r="Q177" i="26"/>
  <c r="P177" i="26"/>
  <c r="O177" i="26"/>
  <c r="N177" i="26"/>
  <c r="M177" i="26"/>
  <c r="L177" i="26"/>
  <c r="K177" i="26"/>
  <c r="J177" i="26"/>
  <c r="I177" i="26"/>
  <c r="H177" i="26"/>
  <c r="G177" i="26"/>
  <c r="F177" i="26"/>
  <c r="E177" i="26"/>
  <c r="D177" i="26"/>
  <c r="C177" i="26"/>
  <c r="B177" i="26"/>
  <c r="A177" i="26"/>
  <c r="Y176" i="26"/>
  <c r="X176" i="26"/>
  <c r="W176" i="26"/>
  <c r="V176" i="26"/>
  <c r="U176" i="26"/>
  <c r="T176" i="26"/>
  <c r="S176" i="26"/>
  <c r="R176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C176" i="26"/>
  <c r="B176" i="26"/>
  <c r="A176" i="26"/>
  <c r="R175" i="26"/>
  <c r="Q175" i="26"/>
  <c r="P175" i="26"/>
  <c r="O175" i="26"/>
  <c r="N175" i="26"/>
  <c r="M175" i="26"/>
  <c r="L175" i="26"/>
  <c r="I175" i="26"/>
  <c r="H175" i="26"/>
  <c r="G175" i="26"/>
  <c r="F175" i="26"/>
  <c r="E175" i="26"/>
  <c r="D175" i="26"/>
  <c r="C175" i="26"/>
  <c r="B175" i="26"/>
  <c r="A175" i="26"/>
  <c r="Y171" i="26"/>
  <c r="X171" i="26"/>
  <c r="W171" i="26"/>
  <c r="V171" i="26"/>
  <c r="U171" i="26"/>
  <c r="T171" i="26"/>
  <c r="S171" i="26"/>
  <c r="R171" i="26"/>
  <c r="Q171" i="26"/>
  <c r="P171" i="26"/>
  <c r="O171" i="26"/>
  <c r="N171" i="26"/>
  <c r="M171" i="26"/>
  <c r="L171" i="26"/>
  <c r="K171" i="26"/>
  <c r="J171" i="26"/>
  <c r="I171" i="26"/>
  <c r="H171" i="26"/>
  <c r="G171" i="26"/>
  <c r="F171" i="26"/>
  <c r="E171" i="26"/>
  <c r="D171" i="26"/>
  <c r="C171" i="26"/>
  <c r="B171" i="26"/>
  <c r="A171" i="26"/>
  <c r="Y170" i="26"/>
  <c r="X170" i="26"/>
  <c r="W170" i="26"/>
  <c r="V170" i="26"/>
  <c r="U170" i="26"/>
  <c r="T170" i="26"/>
  <c r="S170" i="26"/>
  <c r="R170" i="26"/>
  <c r="Q170" i="26"/>
  <c r="P170" i="26"/>
  <c r="O170" i="26"/>
  <c r="N170" i="26"/>
  <c r="M170" i="26"/>
  <c r="L170" i="26"/>
  <c r="K170" i="26"/>
  <c r="J170" i="26"/>
  <c r="I170" i="26"/>
  <c r="H170" i="26"/>
  <c r="G170" i="26"/>
  <c r="F170" i="26"/>
  <c r="E170" i="26"/>
  <c r="D170" i="26"/>
  <c r="C170" i="26"/>
  <c r="B170" i="26"/>
  <c r="A170" i="26"/>
  <c r="Y169" i="26"/>
  <c r="X169" i="26"/>
  <c r="W169" i="26"/>
  <c r="V169" i="26"/>
  <c r="U169" i="26"/>
  <c r="T169" i="26"/>
  <c r="S169" i="26"/>
  <c r="R169" i="26"/>
  <c r="Q169" i="26"/>
  <c r="P169" i="26"/>
  <c r="O169" i="26"/>
  <c r="N169" i="26"/>
  <c r="M169" i="26"/>
  <c r="L169" i="26"/>
  <c r="K169" i="26"/>
  <c r="J169" i="26"/>
  <c r="I169" i="26"/>
  <c r="H169" i="26"/>
  <c r="G169" i="26"/>
  <c r="F169" i="26"/>
  <c r="E169" i="26"/>
  <c r="D169" i="26"/>
  <c r="C169" i="26"/>
  <c r="B169" i="26"/>
  <c r="A169" i="26"/>
  <c r="Y168" i="26"/>
  <c r="X168" i="26"/>
  <c r="W168" i="26"/>
  <c r="V168" i="26"/>
  <c r="U168" i="26"/>
  <c r="T168" i="26"/>
  <c r="S168" i="26"/>
  <c r="R168" i="26"/>
  <c r="Q168" i="26"/>
  <c r="P168" i="26"/>
  <c r="O168" i="26"/>
  <c r="N168" i="26"/>
  <c r="M168" i="26"/>
  <c r="L168" i="26"/>
  <c r="K168" i="26"/>
  <c r="J168" i="26"/>
  <c r="I168" i="26"/>
  <c r="H168" i="26"/>
  <c r="G168" i="26"/>
  <c r="F168" i="26"/>
  <c r="E168" i="26"/>
  <c r="D168" i="26"/>
  <c r="C168" i="26"/>
  <c r="B168" i="26"/>
  <c r="A168" i="26"/>
  <c r="Y167" i="26"/>
  <c r="X167" i="26"/>
  <c r="W167" i="26"/>
  <c r="V167" i="26"/>
  <c r="U167" i="26"/>
  <c r="T167" i="26"/>
  <c r="S167" i="26"/>
  <c r="R167" i="26"/>
  <c r="Q167" i="26"/>
  <c r="P167" i="26"/>
  <c r="O167" i="26"/>
  <c r="N167" i="26"/>
  <c r="M167" i="26"/>
  <c r="L167" i="26"/>
  <c r="K167" i="26"/>
  <c r="J167" i="26"/>
  <c r="I167" i="26"/>
  <c r="H167" i="26"/>
  <c r="G167" i="26"/>
  <c r="F167" i="26"/>
  <c r="E167" i="26"/>
  <c r="D167" i="26"/>
  <c r="C167" i="26"/>
  <c r="B167" i="26"/>
  <c r="A167" i="26"/>
  <c r="Y166" i="26"/>
  <c r="X166" i="26"/>
  <c r="W166" i="26"/>
  <c r="V166" i="26"/>
  <c r="U166" i="26"/>
  <c r="T166" i="26"/>
  <c r="S166" i="26"/>
  <c r="R166" i="26"/>
  <c r="Q166" i="26"/>
  <c r="P166" i="26"/>
  <c r="O166" i="26"/>
  <c r="N166" i="26"/>
  <c r="M166" i="26"/>
  <c r="L166" i="26"/>
  <c r="K166" i="26"/>
  <c r="J166" i="26"/>
  <c r="I166" i="26"/>
  <c r="H166" i="26"/>
  <c r="G166" i="26"/>
  <c r="F166" i="26"/>
  <c r="E166" i="26"/>
  <c r="D166" i="26"/>
  <c r="C166" i="26"/>
  <c r="B166" i="26"/>
  <c r="A166" i="26"/>
  <c r="Y165" i="26"/>
  <c r="X165" i="26"/>
  <c r="W165" i="26"/>
  <c r="V165" i="26"/>
  <c r="U165" i="26"/>
  <c r="T165" i="26"/>
  <c r="S165" i="26"/>
  <c r="R165" i="26"/>
  <c r="Q165" i="26"/>
  <c r="P165" i="26"/>
  <c r="O165" i="26"/>
  <c r="N165" i="26"/>
  <c r="M165" i="26"/>
  <c r="L165" i="26"/>
  <c r="K165" i="26"/>
  <c r="J165" i="26"/>
  <c r="I165" i="26"/>
  <c r="H165" i="26"/>
  <c r="G165" i="26"/>
  <c r="F165" i="26"/>
  <c r="E165" i="26"/>
  <c r="D165" i="26"/>
  <c r="C165" i="26"/>
  <c r="B165" i="26"/>
  <c r="A165" i="26"/>
  <c r="Y164" i="26"/>
  <c r="X164" i="26"/>
  <c r="W164" i="26"/>
  <c r="V164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4" i="26"/>
  <c r="B164" i="26"/>
  <c r="A164" i="26"/>
  <c r="Y163" i="26"/>
  <c r="X163" i="26"/>
  <c r="W163" i="26"/>
  <c r="V163" i="26"/>
  <c r="U163" i="26"/>
  <c r="T163" i="26"/>
  <c r="S163" i="26"/>
  <c r="R163" i="26"/>
  <c r="Q163" i="26"/>
  <c r="P163" i="26"/>
  <c r="O163" i="26"/>
  <c r="N163" i="26"/>
  <c r="M163" i="26"/>
  <c r="L163" i="26"/>
  <c r="K163" i="26"/>
  <c r="J163" i="26"/>
  <c r="I163" i="26"/>
  <c r="H163" i="26"/>
  <c r="G163" i="26"/>
  <c r="F163" i="26"/>
  <c r="E163" i="26"/>
  <c r="D163" i="26"/>
  <c r="C163" i="26"/>
  <c r="B163" i="26"/>
  <c r="A163" i="26"/>
  <c r="Y162" i="26"/>
  <c r="X162" i="26"/>
  <c r="W162" i="26"/>
  <c r="V162" i="26"/>
  <c r="U162" i="26"/>
  <c r="T162" i="26"/>
  <c r="S162" i="26"/>
  <c r="R162" i="26"/>
  <c r="Q162" i="26"/>
  <c r="P162" i="26"/>
  <c r="O162" i="26"/>
  <c r="N162" i="26"/>
  <c r="M162" i="26"/>
  <c r="L162" i="26"/>
  <c r="K162" i="26"/>
  <c r="J162" i="26"/>
  <c r="G162" i="26"/>
  <c r="F162" i="26"/>
  <c r="E162" i="26"/>
  <c r="D162" i="26"/>
  <c r="C162" i="26"/>
  <c r="B162" i="26"/>
  <c r="A162" i="26"/>
  <c r="A158" i="26"/>
  <c r="A157" i="26"/>
  <c r="A156" i="26"/>
  <c r="A155" i="26"/>
  <c r="A154" i="26"/>
  <c r="A153" i="26"/>
  <c r="A152" i="26"/>
  <c r="A151" i="26"/>
  <c r="A150" i="26"/>
  <c r="A149" i="26"/>
  <c r="A145" i="26"/>
  <c r="A144" i="26"/>
  <c r="A143" i="26"/>
  <c r="A142" i="26"/>
  <c r="A141" i="26"/>
  <c r="A140" i="26"/>
  <c r="A139" i="26"/>
  <c r="A138" i="26"/>
  <c r="A137" i="26"/>
  <c r="A136" i="26"/>
  <c r="A132" i="26"/>
  <c r="A131" i="26"/>
  <c r="A130" i="26"/>
  <c r="A129" i="26"/>
  <c r="A128" i="26"/>
  <c r="A127" i="26"/>
  <c r="A126" i="26"/>
  <c r="A125" i="26"/>
  <c r="A124" i="26"/>
  <c r="A123" i="26"/>
  <c r="A119" i="26"/>
  <c r="A118" i="26"/>
  <c r="A117" i="26"/>
  <c r="A116" i="26"/>
  <c r="A115" i="26"/>
  <c r="A114" i="26"/>
  <c r="A113" i="26"/>
  <c r="A112" i="26"/>
  <c r="A111" i="26"/>
  <c r="A110" i="26"/>
  <c r="A108" i="26"/>
  <c r="A107" i="26"/>
  <c r="A106" i="26"/>
  <c r="A105" i="26"/>
  <c r="A104" i="26"/>
  <c r="A103" i="26"/>
  <c r="A102" i="26"/>
  <c r="A101" i="26"/>
  <c r="A100" i="26"/>
  <c r="A99" i="26"/>
  <c r="A97" i="26"/>
  <c r="A96" i="26"/>
  <c r="A95" i="26"/>
  <c r="A94" i="26"/>
  <c r="A93" i="26"/>
  <c r="A92" i="26"/>
  <c r="A91" i="26"/>
  <c r="A90" i="26"/>
  <c r="A89" i="26"/>
  <c r="A88" i="26"/>
  <c r="A85" i="26"/>
  <c r="A84" i="26"/>
  <c r="A83" i="26"/>
  <c r="A82" i="26"/>
  <c r="A81" i="26"/>
  <c r="A80" i="26"/>
  <c r="A79" i="26"/>
  <c r="A78" i="26"/>
  <c r="A77" i="26"/>
  <c r="A76" i="26"/>
  <c r="A72" i="26"/>
  <c r="A71" i="26"/>
  <c r="A70" i="26"/>
  <c r="A69" i="26"/>
  <c r="A68" i="26"/>
  <c r="A67" i="26"/>
  <c r="A66" i="26"/>
  <c r="A65" i="26"/>
  <c r="A64" i="26"/>
  <c r="A63" i="26"/>
  <c r="A61" i="26"/>
  <c r="A60" i="26"/>
  <c r="A59" i="26"/>
  <c r="A58" i="26"/>
  <c r="A57" i="26"/>
  <c r="A56" i="26"/>
  <c r="A55" i="26"/>
  <c r="A54" i="26"/>
  <c r="A53" i="26"/>
  <c r="A52" i="26"/>
  <c r="Y48" i="26"/>
  <c r="EJ56" i="31" s="1"/>
  <c r="EJ78" i="31" s="1"/>
  <c r="X48" i="26"/>
  <c r="EI56" i="31" s="1"/>
  <c r="EI78" i="31" s="1"/>
  <c r="W48" i="26"/>
  <c r="EH56" i="31" s="1"/>
  <c r="EH78" i="31" s="1"/>
  <c r="V48" i="26"/>
  <c r="U48" i="26"/>
  <c r="EF56" i="31" s="1"/>
  <c r="EF78" i="31" s="1"/>
  <c r="T48" i="26"/>
  <c r="EE56" i="31" s="1"/>
  <c r="EE78" i="31" s="1"/>
  <c r="S48" i="26"/>
  <c r="R48" i="26"/>
  <c r="EC56" i="31" s="1"/>
  <c r="EC78" i="31" s="1"/>
  <c r="Q48" i="26"/>
  <c r="EB56" i="31" s="1"/>
  <c r="EB78" i="31" s="1"/>
  <c r="P48" i="26"/>
  <c r="EA56" i="31" s="1"/>
  <c r="EA78" i="31" s="1"/>
  <c r="O48" i="26"/>
  <c r="N48" i="26"/>
  <c r="M48" i="26"/>
  <c r="L48" i="26"/>
  <c r="DW56" i="31" s="1"/>
  <c r="DW78" i="31" s="1"/>
  <c r="K48" i="26"/>
  <c r="DV56" i="31" s="1"/>
  <c r="DV78" i="31" s="1"/>
  <c r="J48" i="26"/>
  <c r="DU56" i="31" s="1"/>
  <c r="DU78" i="31" s="1"/>
  <c r="I48" i="26"/>
  <c r="DT56" i="31" s="1"/>
  <c r="DT78" i="31" s="1"/>
  <c r="H48" i="26"/>
  <c r="DS56" i="31" s="1"/>
  <c r="DS78" i="31" s="1"/>
  <c r="G48" i="26"/>
  <c r="F48" i="26"/>
  <c r="E48" i="26"/>
  <c r="D48" i="26"/>
  <c r="DO56" i="31" s="1"/>
  <c r="DO78" i="31" s="1"/>
  <c r="C48" i="26"/>
  <c r="B48" i="26"/>
  <c r="A48" i="26"/>
  <c r="DL56" i="31" s="1"/>
  <c r="DL67" i="31" s="1"/>
  <c r="DL78" i="31" s="1"/>
  <c r="Y47" i="26"/>
  <c r="EJ55" i="31" s="1"/>
  <c r="EJ77" i="31" s="1"/>
  <c r="X47" i="26"/>
  <c r="EI55" i="31" s="1"/>
  <c r="EI77" i="31" s="1"/>
  <c r="W47" i="26"/>
  <c r="V47" i="26"/>
  <c r="U47" i="26"/>
  <c r="EF55" i="31" s="1"/>
  <c r="EF77" i="31" s="1"/>
  <c r="T47" i="26"/>
  <c r="EE55" i="31" s="1"/>
  <c r="EE77" i="31" s="1"/>
  <c r="S47" i="26"/>
  <c r="R47" i="26"/>
  <c r="EC55" i="31" s="1"/>
  <c r="EC77" i="31" s="1"/>
  <c r="Q47" i="26"/>
  <c r="EB55" i="31" s="1"/>
  <c r="EB77" i="31" s="1"/>
  <c r="P47" i="26"/>
  <c r="EA55" i="31" s="1"/>
  <c r="EA77" i="31" s="1"/>
  <c r="O47" i="26"/>
  <c r="DZ55" i="31" s="1"/>
  <c r="DZ77" i="31" s="1"/>
  <c r="N47" i="26"/>
  <c r="DY55" i="31" s="1"/>
  <c r="DY77" i="31" s="1"/>
  <c r="M47" i="26"/>
  <c r="DX55" i="31" s="1"/>
  <c r="DX77" i="31" s="1"/>
  <c r="L47" i="26"/>
  <c r="DW55" i="31" s="1"/>
  <c r="DW77" i="31" s="1"/>
  <c r="K47" i="26"/>
  <c r="J47" i="26"/>
  <c r="DU55" i="31" s="1"/>
  <c r="DU77" i="31" s="1"/>
  <c r="I47" i="26"/>
  <c r="DT55" i="31" s="1"/>
  <c r="DT77" i="31" s="1"/>
  <c r="H47" i="26"/>
  <c r="G47" i="26"/>
  <c r="F47" i="26"/>
  <c r="E47" i="26"/>
  <c r="DP55" i="31" s="1"/>
  <c r="DP77" i="31" s="1"/>
  <c r="D47" i="26"/>
  <c r="DO55" i="31" s="1"/>
  <c r="DO77" i="31" s="1"/>
  <c r="C47" i="26"/>
  <c r="DN55" i="31" s="1"/>
  <c r="DN77" i="31" s="1"/>
  <c r="B47" i="26"/>
  <c r="DM55" i="31" s="1"/>
  <c r="DM77" i="31" s="1"/>
  <c r="A47" i="26"/>
  <c r="DL55" i="31" s="1"/>
  <c r="DL66" i="31" s="1"/>
  <c r="DL77" i="31" s="1"/>
  <c r="Y46" i="26"/>
  <c r="X46" i="26"/>
  <c r="W46" i="26"/>
  <c r="V46" i="26"/>
  <c r="EG54" i="31" s="1"/>
  <c r="EG76" i="31" s="1"/>
  <c r="U46" i="26"/>
  <c r="T46" i="26"/>
  <c r="EE54" i="31" s="1"/>
  <c r="EE76" i="31" s="1"/>
  <c r="S46" i="26"/>
  <c r="ED54" i="31" s="1"/>
  <c r="ED76" i="31" s="1"/>
  <c r="R46" i="26"/>
  <c r="EC54" i="31" s="1"/>
  <c r="EC76" i="31" s="1"/>
  <c r="Q46" i="26"/>
  <c r="EB54" i="31" s="1"/>
  <c r="EB76" i="31" s="1"/>
  <c r="P46" i="26"/>
  <c r="O46" i="26"/>
  <c r="N46" i="26"/>
  <c r="DY54" i="31" s="1"/>
  <c r="DY76" i="31" s="1"/>
  <c r="M46" i="26"/>
  <c r="L46" i="26"/>
  <c r="K46" i="26"/>
  <c r="DV54" i="31" s="1"/>
  <c r="DV76" i="31" s="1"/>
  <c r="J46" i="26"/>
  <c r="DU54" i="31" s="1"/>
  <c r="DU76" i="31" s="1"/>
  <c r="I46" i="26"/>
  <c r="DT54" i="31" s="1"/>
  <c r="DT76" i="31" s="1"/>
  <c r="H46" i="26"/>
  <c r="DS54" i="31" s="1"/>
  <c r="DS76" i="31" s="1"/>
  <c r="G46" i="26"/>
  <c r="DR54" i="31" s="1"/>
  <c r="DR76" i="31" s="1"/>
  <c r="F46" i="26"/>
  <c r="DQ54" i="31" s="1"/>
  <c r="DQ76" i="31" s="1"/>
  <c r="E46" i="26"/>
  <c r="D46" i="26"/>
  <c r="C46" i="26"/>
  <c r="DN54" i="31" s="1"/>
  <c r="DN76" i="31" s="1"/>
  <c r="B46" i="26"/>
  <c r="DM54" i="31" s="1"/>
  <c r="DM76" i="31" s="1"/>
  <c r="A46" i="26"/>
  <c r="DL54" i="31" s="1"/>
  <c r="DL65" i="31" s="1"/>
  <c r="DL76" i="31" s="1"/>
  <c r="Y45" i="26"/>
  <c r="X45" i="26"/>
  <c r="W45" i="26"/>
  <c r="EH53" i="31" s="1"/>
  <c r="EH75" i="31" s="1"/>
  <c r="V45" i="26"/>
  <c r="EG53" i="31" s="1"/>
  <c r="EG75" i="31" s="1"/>
  <c r="U45" i="26"/>
  <c r="EF53" i="31" s="1"/>
  <c r="EF75" i="31" s="1"/>
  <c r="T45" i="26"/>
  <c r="EE53" i="31" s="1"/>
  <c r="EE75" i="31" s="1"/>
  <c r="S45" i="26"/>
  <c r="R45" i="26"/>
  <c r="Q45" i="26"/>
  <c r="P45" i="26"/>
  <c r="O45" i="26"/>
  <c r="DZ53" i="31" s="1"/>
  <c r="DZ75" i="31" s="1"/>
  <c r="N45" i="26"/>
  <c r="M45" i="26"/>
  <c r="DX53" i="31" s="1"/>
  <c r="DX75" i="31" s="1"/>
  <c r="L45" i="26"/>
  <c r="DW53" i="31" s="1"/>
  <c r="DW75" i="31" s="1"/>
  <c r="K45" i="26"/>
  <c r="DV53" i="31" s="1"/>
  <c r="DV75" i="31" s="1"/>
  <c r="J45" i="26"/>
  <c r="DU53" i="31" s="1"/>
  <c r="DU75" i="31" s="1"/>
  <c r="I45" i="26"/>
  <c r="H45" i="26"/>
  <c r="G45" i="26"/>
  <c r="DR53" i="31" s="1"/>
  <c r="DR75" i="31" s="1"/>
  <c r="F45" i="26"/>
  <c r="DQ53" i="31" s="1"/>
  <c r="DQ75" i="31" s="1"/>
  <c r="E45" i="26"/>
  <c r="D45" i="26"/>
  <c r="DO53" i="31" s="1"/>
  <c r="DO75" i="31" s="1"/>
  <c r="C45" i="26"/>
  <c r="DN53" i="31" s="1"/>
  <c r="DN75" i="31" s="1"/>
  <c r="B45" i="26"/>
  <c r="DM53" i="31" s="1"/>
  <c r="DM75" i="31" s="1"/>
  <c r="A45" i="26"/>
  <c r="DL53" i="31" s="1"/>
  <c r="DL64" i="31" s="1"/>
  <c r="DL75" i="31" s="1"/>
  <c r="Y44" i="26"/>
  <c r="EJ52" i="31" s="1"/>
  <c r="EJ74" i="31" s="1"/>
  <c r="X44" i="26"/>
  <c r="EI52" i="31" s="1"/>
  <c r="EI74" i="31" s="1"/>
  <c r="W44" i="26"/>
  <c r="V44" i="26"/>
  <c r="U44" i="26"/>
  <c r="EF52" i="31" s="1"/>
  <c r="EF74" i="31" s="1"/>
  <c r="T44" i="26"/>
  <c r="EE52" i="31" s="1"/>
  <c r="EE74" i="31" s="1"/>
  <c r="S44" i="26"/>
  <c r="R44" i="26"/>
  <c r="Q44" i="26"/>
  <c r="P44" i="26"/>
  <c r="EA52" i="31" s="1"/>
  <c r="EA74" i="31" s="1"/>
  <c r="O44" i="26"/>
  <c r="DZ52" i="31" s="1"/>
  <c r="DZ74" i="31" s="1"/>
  <c r="N44" i="26"/>
  <c r="DY52" i="31" s="1"/>
  <c r="DY74" i="31" s="1"/>
  <c r="M44" i="26"/>
  <c r="DX52" i="31" s="1"/>
  <c r="DX74" i="31" s="1"/>
  <c r="L44" i="26"/>
  <c r="DW52" i="31" s="1"/>
  <c r="DW74" i="31" s="1"/>
  <c r="K44" i="26"/>
  <c r="J44" i="26"/>
  <c r="I44" i="26"/>
  <c r="H44" i="26"/>
  <c r="DS52" i="31" s="1"/>
  <c r="DS74" i="31" s="1"/>
  <c r="G44" i="26"/>
  <c r="F44" i="26"/>
  <c r="DQ52" i="31" s="1"/>
  <c r="DQ74" i="31" s="1"/>
  <c r="E44" i="26"/>
  <c r="DP52" i="31" s="1"/>
  <c r="DP74" i="31" s="1"/>
  <c r="D44" i="26"/>
  <c r="DO52" i="31" s="1"/>
  <c r="DO74" i="31" s="1"/>
  <c r="C44" i="26"/>
  <c r="DN52" i="31" s="1"/>
  <c r="DN74" i="31" s="1"/>
  <c r="B44" i="26"/>
  <c r="A44" i="26"/>
  <c r="DL52" i="31" s="1"/>
  <c r="DL63" i="31" s="1"/>
  <c r="DL74" i="31" s="1"/>
  <c r="Y43" i="26"/>
  <c r="EJ51" i="31" s="1"/>
  <c r="EJ73" i="31" s="1"/>
  <c r="X43" i="26"/>
  <c r="W43" i="26"/>
  <c r="V43" i="26"/>
  <c r="EG51" i="31" s="1"/>
  <c r="EG73" i="31" s="1"/>
  <c r="U43" i="26"/>
  <c r="EF51" i="31" s="1"/>
  <c r="EF73" i="31" s="1"/>
  <c r="T43" i="26"/>
  <c r="EE51" i="31" s="1"/>
  <c r="EE73" i="31" s="1"/>
  <c r="S43" i="26"/>
  <c r="ED51" i="31" s="1"/>
  <c r="ED73" i="31" s="1"/>
  <c r="R43" i="26"/>
  <c r="EC51" i="31" s="1"/>
  <c r="EC73" i="31" s="1"/>
  <c r="Q43" i="26"/>
  <c r="EB51" i="31" s="1"/>
  <c r="EB73" i="31" s="1"/>
  <c r="P43" i="26"/>
  <c r="O43" i="26"/>
  <c r="N43" i="26"/>
  <c r="DY51" i="31" s="1"/>
  <c r="DY73" i="31" s="1"/>
  <c r="M43" i="26"/>
  <c r="DX51" i="31" s="1"/>
  <c r="DX73" i="31" s="1"/>
  <c r="L43" i="26"/>
  <c r="K43" i="26"/>
  <c r="J43" i="26"/>
  <c r="I43" i="26"/>
  <c r="DT51" i="31" s="1"/>
  <c r="DT73" i="31" s="1"/>
  <c r="H43" i="26"/>
  <c r="DS51" i="31" s="1"/>
  <c r="DS73" i="31" s="1"/>
  <c r="G43" i="26"/>
  <c r="DR51" i="31" s="1"/>
  <c r="DR73" i="31" s="1"/>
  <c r="F43" i="26"/>
  <c r="DQ51" i="31" s="1"/>
  <c r="DQ73" i="31" s="1"/>
  <c r="E43" i="26"/>
  <c r="D43" i="26"/>
  <c r="C43" i="26"/>
  <c r="B43" i="26"/>
  <c r="A43" i="26"/>
  <c r="DL51" i="31" s="1"/>
  <c r="DL62" i="31" s="1"/>
  <c r="DL73" i="31" s="1"/>
  <c r="Y42" i="26"/>
  <c r="EJ50" i="31" s="1"/>
  <c r="EJ72" i="31" s="1"/>
  <c r="X42" i="26"/>
  <c r="EI50" i="31" s="1"/>
  <c r="EI72" i="31" s="1"/>
  <c r="W42" i="26"/>
  <c r="EH50" i="31" s="1"/>
  <c r="EH72" i="31" s="1"/>
  <c r="V42" i="26"/>
  <c r="EG50" i="31" s="1"/>
  <c r="EG72" i="31" s="1"/>
  <c r="U42" i="26"/>
  <c r="EF50" i="31" s="1"/>
  <c r="EF72" i="31" s="1"/>
  <c r="T42" i="26"/>
  <c r="S42" i="26"/>
  <c r="R42" i="26"/>
  <c r="EC50" i="31" s="1"/>
  <c r="EC72" i="31" s="1"/>
  <c r="Q42" i="26"/>
  <c r="P42" i="26"/>
  <c r="O42" i="26"/>
  <c r="DZ50" i="31" s="1"/>
  <c r="DZ72" i="31" s="1"/>
  <c r="N42" i="26"/>
  <c r="DY50" i="31" s="1"/>
  <c r="DY72" i="31" s="1"/>
  <c r="M42" i="26"/>
  <c r="DX50" i="31" s="1"/>
  <c r="DX72" i="31" s="1"/>
  <c r="L42" i="26"/>
  <c r="DW50" i="31" s="1"/>
  <c r="DW72" i="31" s="1"/>
  <c r="K42" i="26"/>
  <c r="J42" i="26"/>
  <c r="DU50" i="31" s="1"/>
  <c r="DU72" i="31" s="1"/>
  <c r="I42" i="26"/>
  <c r="H42" i="26"/>
  <c r="G42" i="26"/>
  <c r="DR50" i="31" s="1"/>
  <c r="DR72" i="31" s="1"/>
  <c r="F42" i="26"/>
  <c r="DQ50" i="31" s="1"/>
  <c r="DQ72" i="31" s="1"/>
  <c r="E42" i="26"/>
  <c r="D42" i="26"/>
  <c r="DO50" i="31" s="1"/>
  <c r="DO72" i="31" s="1"/>
  <c r="C42" i="26"/>
  <c r="B42" i="26"/>
  <c r="DM50" i="31" s="1"/>
  <c r="DM72" i="31" s="1"/>
  <c r="A42" i="26"/>
  <c r="DL50" i="31" s="1"/>
  <c r="DL61" i="31" s="1"/>
  <c r="DL72" i="31" s="1"/>
  <c r="Y41" i="26"/>
  <c r="X41" i="26"/>
  <c r="EI49" i="31" s="1"/>
  <c r="EI71" i="31" s="1"/>
  <c r="W41" i="26"/>
  <c r="EH49" i="31" s="1"/>
  <c r="EH71" i="31" s="1"/>
  <c r="V41" i="26"/>
  <c r="EG49" i="31" s="1"/>
  <c r="EG71" i="31" s="1"/>
  <c r="U41" i="26"/>
  <c r="T41" i="26"/>
  <c r="S41" i="26"/>
  <c r="ED49" i="31" s="1"/>
  <c r="ED71" i="31" s="1"/>
  <c r="R41" i="26"/>
  <c r="EC49" i="31" s="1"/>
  <c r="EC71" i="31" s="1"/>
  <c r="Q41" i="26"/>
  <c r="P41" i="26"/>
  <c r="EA49" i="31" s="1"/>
  <c r="EA71" i="31" s="1"/>
  <c r="O41" i="26"/>
  <c r="DZ49" i="31" s="1"/>
  <c r="DZ71" i="31" s="1"/>
  <c r="N41" i="26"/>
  <c r="DY49" i="31" s="1"/>
  <c r="DY71" i="31" s="1"/>
  <c r="M41" i="26"/>
  <c r="DX49" i="31" s="1"/>
  <c r="DX71" i="31" s="1"/>
  <c r="L41" i="26"/>
  <c r="K41" i="26"/>
  <c r="DV49" i="31" s="1"/>
  <c r="DV71" i="31" s="1"/>
  <c r="J41" i="26"/>
  <c r="DU49" i="31" s="1"/>
  <c r="DU71" i="31" s="1"/>
  <c r="I41" i="26"/>
  <c r="H41" i="26"/>
  <c r="DS49" i="31" s="1"/>
  <c r="DS71" i="31" s="1"/>
  <c r="G41" i="26"/>
  <c r="DR49" i="31" s="1"/>
  <c r="DR71" i="31" s="1"/>
  <c r="F41" i="26"/>
  <c r="DQ49" i="31" s="1"/>
  <c r="DQ71" i="31" s="1"/>
  <c r="E41" i="26"/>
  <c r="DP49" i="31" s="1"/>
  <c r="DP71" i="31" s="1"/>
  <c r="D41" i="26"/>
  <c r="C41" i="26"/>
  <c r="DN49" i="31" s="1"/>
  <c r="DN71" i="31" s="1"/>
  <c r="B41" i="26"/>
  <c r="DM49" i="31" s="1"/>
  <c r="DM71" i="31" s="1"/>
  <c r="A41" i="26"/>
  <c r="DL49" i="31" s="1"/>
  <c r="DL60" i="31" s="1"/>
  <c r="DL71" i="31" s="1"/>
  <c r="Y40" i="26"/>
  <c r="EJ48" i="31" s="1"/>
  <c r="EJ70" i="31" s="1"/>
  <c r="X40" i="26"/>
  <c r="EI48" i="31" s="1"/>
  <c r="EI70" i="31" s="1"/>
  <c r="W40" i="26"/>
  <c r="EH48" i="31" s="1"/>
  <c r="EH70" i="31" s="1"/>
  <c r="V40" i="26"/>
  <c r="EG48" i="31" s="1"/>
  <c r="EG70" i="31" s="1"/>
  <c r="U40" i="26"/>
  <c r="T40" i="26"/>
  <c r="EE48" i="31" s="1"/>
  <c r="EE70" i="31" s="1"/>
  <c r="S40" i="26"/>
  <c r="ED48" i="31" s="1"/>
  <c r="ED70" i="31" s="1"/>
  <c r="R40" i="26"/>
  <c r="Q40" i="26"/>
  <c r="EB48" i="31" s="1"/>
  <c r="EB70" i="31" s="1"/>
  <c r="P40" i="26"/>
  <c r="EA48" i="31" s="1"/>
  <c r="EA70" i="31" s="1"/>
  <c r="O40" i="26"/>
  <c r="DZ48" i="31" s="1"/>
  <c r="DZ70" i="31" s="1"/>
  <c r="N40" i="26"/>
  <c r="M40" i="26"/>
  <c r="L40" i="26"/>
  <c r="DW48" i="31" s="1"/>
  <c r="DW70" i="31" s="1"/>
  <c r="K40" i="26"/>
  <c r="DV48" i="31" s="1"/>
  <c r="DV70" i="31" s="1"/>
  <c r="J40" i="26"/>
  <c r="DU48" i="31" s="1"/>
  <c r="DU70" i="31" s="1"/>
  <c r="I40" i="26"/>
  <c r="DT48" i="31" s="1"/>
  <c r="DT70" i="31" s="1"/>
  <c r="H40" i="26"/>
  <c r="DS48" i="31" s="1"/>
  <c r="DS70" i="31" s="1"/>
  <c r="G40" i="26"/>
  <c r="DR48" i="31" s="1"/>
  <c r="DR70" i="31" s="1"/>
  <c r="F40" i="26"/>
  <c r="DQ48" i="31" s="1"/>
  <c r="DQ70" i="31" s="1"/>
  <c r="E40" i="26"/>
  <c r="D40" i="26"/>
  <c r="C40" i="26"/>
  <c r="DN48" i="31" s="1"/>
  <c r="DN70" i="31" s="1"/>
  <c r="B40" i="26"/>
  <c r="DM48" i="31" s="1"/>
  <c r="DM70" i="31" s="1"/>
  <c r="A40" i="26"/>
  <c r="DL48" i="31" s="1"/>
  <c r="DL59" i="31" s="1"/>
  <c r="DL70" i="31" s="1"/>
  <c r="Y39" i="26"/>
  <c r="EJ47" i="31" s="1"/>
  <c r="EJ69" i="31" s="1"/>
  <c r="X39" i="26"/>
  <c r="EI47" i="31" s="1"/>
  <c r="EI69" i="31" s="1"/>
  <c r="W39" i="26"/>
  <c r="EH47" i="31" s="1"/>
  <c r="EH69" i="31" s="1"/>
  <c r="V39" i="26"/>
  <c r="U39" i="26"/>
  <c r="EF47" i="31" s="1"/>
  <c r="EF69" i="31" s="1"/>
  <c r="T39" i="26"/>
  <c r="EE47" i="31" s="1"/>
  <c r="EE69" i="31" s="1"/>
  <c r="S39" i="26"/>
  <c r="ED47" i="31" s="1"/>
  <c r="ED69" i="31" s="1"/>
  <c r="R39" i="26"/>
  <c r="EC47" i="31" s="1"/>
  <c r="EC69" i="31" s="1"/>
  <c r="Q39" i="26"/>
  <c r="EB47" i="31" s="1"/>
  <c r="EB69" i="31" s="1"/>
  <c r="P39" i="26"/>
  <c r="O39" i="26"/>
  <c r="N39" i="26"/>
  <c r="M39" i="26"/>
  <c r="DX47" i="31" s="1"/>
  <c r="DX69" i="31" s="1"/>
  <c r="L39" i="26"/>
  <c r="DW47" i="31" s="1"/>
  <c r="DW69" i="31" s="1"/>
  <c r="K39" i="26"/>
  <c r="DV47" i="31" s="1"/>
  <c r="DV69" i="31" s="1"/>
  <c r="J39" i="26"/>
  <c r="DU47" i="31" s="1"/>
  <c r="DU69" i="31" s="1"/>
  <c r="I39" i="26"/>
  <c r="DT47" i="31" s="1"/>
  <c r="DT69" i="31" s="1"/>
  <c r="H39" i="26"/>
  <c r="DS47" i="31" s="1"/>
  <c r="DS69" i="31" s="1"/>
  <c r="G39" i="26"/>
  <c r="DR47" i="31" s="1"/>
  <c r="DR69" i="31" s="1"/>
  <c r="F39" i="26"/>
  <c r="E39" i="26"/>
  <c r="DP47" i="31" s="1"/>
  <c r="DP69" i="31" s="1"/>
  <c r="D39" i="26"/>
  <c r="DO47" i="31" s="1"/>
  <c r="DO69" i="31" s="1"/>
  <c r="C39" i="26"/>
  <c r="DN47" i="31" s="1"/>
  <c r="DN69" i="31" s="1"/>
  <c r="B39" i="26"/>
  <c r="DM47" i="31" s="1"/>
  <c r="DM69" i="31" s="1"/>
  <c r="A39" i="26"/>
  <c r="DL47" i="31" s="1"/>
  <c r="DL58" i="31" s="1"/>
  <c r="DL69" i="31" s="1"/>
  <c r="A36" i="26"/>
  <c r="A35" i="26"/>
  <c r="A34" i="26"/>
  <c r="A33" i="26"/>
  <c r="A32" i="26"/>
  <c r="AH31" i="26"/>
  <c r="AK31" i="26" s="1"/>
  <c r="A31" i="26"/>
  <c r="AH30" i="26"/>
  <c r="A30" i="26"/>
  <c r="AH29" i="26"/>
  <c r="A29" i="26"/>
  <c r="AH28" i="26"/>
  <c r="AK28" i="26" s="1"/>
  <c r="A28" i="26"/>
  <c r="AH27" i="26"/>
  <c r="AK27" i="26" s="1"/>
  <c r="A27" i="26"/>
  <c r="AH26" i="26"/>
  <c r="AH25" i="26"/>
  <c r="AH24" i="26"/>
  <c r="AH23" i="26"/>
  <c r="AH22" i="26"/>
  <c r="AK22" i="26" s="1"/>
  <c r="AH21" i="26"/>
  <c r="AK21" i="26" s="1"/>
  <c r="AH20" i="26"/>
  <c r="AK20" i="26" s="1"/>
  <c r="AH19" i="26"/>
  <c r="AK19" i="26" s="1"/>
  <c r="AH18" i="26"/>
  <c r="AA3" i="26"/>
  <c r="Y210" i="25"/>
  <c r="X210" i="25"/>
  <c r="W210" i="25"/>
  <c r="V210" i="25"/>
  <c r="U210" i="25"/>
  <c r="T210" i="25"/>
  <c r="S210" i="25"/>
  <c r="R210" i="25"/>
  <c r="Q210" i="25"/>
  <c r="P210" i="25"/>
  <c r="O210" i="25"/>
  <c r="N210" i="25"/>
  <c r="M210" i="25"/>
  <c r="L210" i="25"/>
  <c r="K210" i="25"/>
  <c r="J210" i="25"/>
  <c r="I210" i="25"/>
  <c r="H210" i="25"/>
  <c r="G210" i="25"/>
  <c r="F210" i="25"/>
  <c r="E210" i="25"/>
  <c r="D210" i="25"/>
  <c r="C210" i="25"/>
  <c r="B210" i="25"/>
  <c r="A210" i="25"/>
  <c r="Y209" i="25"/>
  <c r="X209" i="25"/>
  <c r="W209" i="25"/>
  <c r="V209" i="25"/>
  <c r="U209" i="25"/>
  <c r="T209" i="25"/>
  <c r="S209" i="25"/>
  <c r="R209" i="25"/>
  <c r="Q209" i="25"/>
  <c r="P209" i="25"/>
  <c r="O209" i="25"/>
  <c r="N209" i="25"/>
  <c r="M209" i="25"/>
  <c r="L209" i="25"/>
  <c r="K209" i="25"/>
  <c r="J209" i="25"/>
  <c r="I209" i="25"/>
  <c r="H209" i="25"/>
  <c r="G209" i="25"/>
  <c r="F209" i="25"/>
  <c r="E209" i="25"/>
  <c r="D209" i="25"/>
  <c r="C209" i="25"/>
  <c r="B209" i="25"/>
  <c r="A209" i="25"/>
  <c r="Y208" i="25"/>
  <c r="X208" i="25"/>
  <c r="W208" i="25"/>
  <c r="V208" i="25"/>
  <c r="U208" i="25"/>
  <c r="T208" i="25"/>
  <c r="S208" i="25"/>
  <c r="R208" i="25"/>
  <c r="Q208" i="25"/>
  <c r="P208" i="25"/>
  <c r="O208" i="25"/>
  <c r="N208" i="25"/>
  <c r="M208" i="25"/>
  <c r="L208" i="25"/>
  <c r="K208" i="25"/>
  <c r="J208" i="25"/>
  <c r="I208" i="25"/>
  <c r="H208" i="25"/>
  <c r="G208" i="25"/>
  <c r="F208" i="25"/>
  <c r="E208" i="25"/>
  <c r="D208" i="25"/>
  <c r="C208" i="25"/>
  <c r="B208" i="25"/>
  <c r="A208" i="25"/>
  <c r="Y207" i="25"/>
  <c r="X207" i="25"/>
  <c r="W207" i="25"/>
  <c r="V207" i="25"/>
  <c r="U207" i="25"/>
  <c r="T207" i="25"/>
  <c r="S207" i="25"/>
  <c r="R207" i="25"/>
  <c r="Q207" i="25"/>
  <c r="P207" i="25"/>
  <c r="O207" i="25"/>
  <c r="N207" i="25"/>
  <c r="M207" i="25"/>
  <c r="L207" i="25"/>
  <c r="K207" i="25"/>
  <c r="J207" i="25"/>
  <c r="I207" i="25"/>
  <c r="H207" i="25"/>
  <c r="G207" i="25"/>
  <c r="F207" i="25"/>
  <c r="E207" i="25"/>
  <c r="D207" i="25"/>
  <c r="C207" i="25"/>
  <c r="B207" i="25"/>
  <c r="A207" i="25"/>
  <c r="Y206" i="25"/>
  <c r="X206" i="25"/>
  <c r="W206" i="25"/>
  <c r="V206" i="25"/>
  <c r="U206" i="25"/>
  <c r="T206" i="25"/>
  <c r="S206" i="25"/>
  <c r="R206" i="25"/>
  <c r="Q206" i="25"/>
  <c r="P206" i="25"/>
  <c r="O206" i="25"/>
  <c r="N206" i="25"/>
  <c r="M206" i="25"/>
  <c r="L206" i="25"/>
  <c r="K206" i="25"/>
  <c r="J206" i="25"/>
  <c r="I206" i="25"/>
  <c r="H206" i="25"/>
  <c r="G206" i="25"/>
  <c r="F206" i="25"/>
  <c r="E206" i="25"/>
  <c r="D206" i="25"/>
  <c r="C206" i="25"/>
  <c r="B206" i="25"/>
  <c r="A206" i="25"/>
  <c r="Y205" i="25"/>
  <c r="X205" i="25"/>
  <c r="W205" i="25"/>
  <c r="V205" i="25"/>
  <c r="U205" i="25"/>
  <c r="T205" i="25"/>
  <c r="S205" i="25"/>
  <c r="R205" i="25"/>
  <c r="Q205" i="25"/>
  <c r="P205" i="25"/>
  <c r="O205" i="25"/>
  <c r="N205" i="25"/>
  <c r="M205" i="25"/>
  <c r="L205" i="25"/>
  <c r="K205" i="25"/>
  <c r="J205" i="25"/>
  <c r="I205" i="25"/>
  <c r="H205" i="25"/>
  <c r="G205" i="25"/>
  <c r="F205" i="25"/>
  <c r="E205" i="25"/>
  <c r="D205" i="25"/>
  <c r="C205" i="25"/>
  <c r="B205" i="25"/>
  <c r="A205" i="25"/>
  <c r="Y204" i="25"/>
  <c r="X204" i="25"/>
  <c r="W204" i="25"/>
  <c r="V204" i="25"/>
  <c r="U204" i="25"/>
  <c r="T204" i="25"/>
  <c r="S204" i="25"/>
  <c r="R204" i="25"/>
  <c r="Q204" i="25"/>
  <c r="P204" i="25"/>
  <c r="O204" i="25"/>
  <c r="N204" i="25"/>
  <c r="M204" i="25"/>
  <c r="L204" i="25"/>
  <c r="K204" i="25"/>
  <c r="J204" i="25"/>
  <c r="I204" i="25"/>
  <c r="H204" i="25"/>
  <c r="G204" i="25"/>
  <c r="F204" i="25"/>
  <c r="E204" i="25"/>
  <c r="D204" i="25"/>
  <c r="C204" i="25"/>
  <c r="B204" i="25"/>
  <c r="A204" i="25"/>
  <c r="Y203" i="25"/>
  <c r="X203" i="25"/>
  <c r="W203" i="25"/>
  <c r="V203" i="25"/>
  <c r="U203" i="25"/>
  <c r="T203" i="25"/>
  <c r="S203" i="25"/>
  <c r="R203" i="25"/>
  <c r="Q203" i="25"/>
  <c r="P203" i="25"/>
  <c r="O203" i="25"/>
  <c r="N203" i="25"/>
  <c r="M203" i="25"/>
  <c r="L203" i="25"/>
  <c r="K203" i="25"/>
  <c r="J203" i="25"/>
  <c r="I203" i="25"/>
  <c r="H203" i="25"/>
  <c r="G203" i="25"/>
  <c r="F203" i="25"/>
  <c r="E203" i="25"/>
  <c r="D203" i="25"/>
  <c r="C203" i="25"/>
  <c r="B203" i="25"/>
  <c r="A203" i="25"/>
  <c r="Y202" i="25"/>
  <c r="X202" i="25"/>
  <c r="W202" i="25"/>
  <c r="V202" i="25"/>
  <c r="U202" i="25"/>
  <c r="T202" i="25"/>
  <c r="S202" i="25"/>
  <c r="R202" i="25"/>
  <c r="Q202" i="25"/>
  <c r="P202" i="25"/>
  <c r="O202" i="25"/>
  <c r="N202" i="25"/>
  <c r="M202" i="25"/>
  <c r="L202" i="25"/>
  <c r="K202" i="25"/>
  <c r="J202" i="25"/>
  <c r="I202" i="25"/>
  <c r="H202" i="25"/>
  <c r="G202" i="25"/>
  <c r="F202" i="25"/>
  <c r="E202" i="25"/>
  <c r="D202" i="25"/>
  <c r="C202" i="25"/>
  <c r="B202" i="25"/>
  <c r="A202" i="25"/>
  <c r="Y201" i="25"/>
  <c r="X201" i="25"/>
  <c r="W201" i="25"/>
  <c r="V201" i="25"/>
  <c r="U201" i="25"/>
  <c r="T201" i="25"/>
  <c r="S201" i="25"/>
  <c r="K201" i="25"/>
  <c r="J201" i="25"/>
  <c r="I201" i="25"/>
  <c r="H201" i="25"/>
  <c r="G201" i="25"/>
  <c r="F201" i="25"/>
  <c r="E201" i="25"/>
  <c r="D201" i="25"/>
  <c r="C201" i="25"/>
  <c r="B201" i="25"/>
  <c r="A201" i="25"/>
  <c r="Y197" i="25"/>
  <c r="X197" i="25"/>
  <c r="W197" i="25"/>
  <c r="V197" i="25"/>
  <c r="U197" i="25"/>
  <c r="T197" i="25"/>
  <c r="S197" i="25"/>
  <c r="R197" i="25"/>
  <c r="Q197" i="25"/>
  <c r="P197" i="25"/>
  <c r="O197" i="25"/>
  <c r="N197" i="25"/>
  <c r="M197" i="25"/>
  <c r="L197" i="25"/>
  <c r="K197" i="25"/>
  <c r="J197" i="25"/>
  <c r="I197" i="25"/>
  <c r="H197" i="25"/>
  <c r="G197" i="25"/>
  <c r="F197" i="25"/>
  <c r="E197" i="25"/>
  <c r="D197" i="25"/>
  <c r="C197" i="25"/>
  <c r="B197" i="25"/>
  <c r="A197" i="25"/>
  <c r="Y196" i="25"/>
  <c r="X196" i="25"/>
  <c r="W196" i="25"/>
  <c r="V196" i="25"/>
  <c r="U196" i="25"/>
  <c r="T196" i="25"/>
  <c r="S196" i="25"/>
  <c r="R196" i="25"/>
  <c r="Q196" i="25"/>
  <c r="P196" i="25"/>
  <c r="O196" i="25"/>
  <c r="N196" i="25"/>
  <c r="M196" i="25"/>
  <c r="L196" i="25"/>
  <c r="K196" i="25"/>
  <c r="J196" i="25"/>
  <c r="I196" i="25"/>
  <c r="H196" i="25"/>
  <c r="G196" i="25"/>
  <c r="F196" i="25"/>
  <c r="E196" i="25"/>
  <c r="D196" i="25"/>
  <c r="C196" i="25"/>
  <c r="B196" i="25"/>
  <c r="A196" i="25"/>
  <c r="Y195" i="25"/>
  <c r="X195" i="25"/>
  <c r="W195" i="25"/>
  <c r="V195" i="25"/>
  <c r="U195" i="25"/>
  <c r="T195" i="25"/>
  <c r="S195" i="25"/>
  <c r="R195" i="25"/>
  <c r="Q195" i="25"/>
  <c r="P195" i="25"/>
  <c r="O195" i="25"/>
  <c r="N195" i="25"/>
  <c r="M195" i="25"/>
  <c r="L195" i="25"/>
  <c r="K195" i="25"/>
  <c r="J195" i="25"/>
  <c r="I195" i="25"/>
  <c r="H195" i="25"/>
  <c r="G195" i="25"/>
  <c r="F195" i="25"/>
  <c r="E195" i="25"/>
  <c r="D195" i="25"/>
  <c r="C195" i="25"/>
  <c r="B195" i="25"/>
  <c r="A195" i="25"/>
  <c r="Y194" i="25"/>
  <c r="X194" i="25"/>
  <c r="W194" i="25"/>
  <c r="V194" i="25"/>
  <c r="U194" i="25"/>
  <c r="T194" i="25"/>
  <c r="S194" i="25"/>
  <c r="R194" i="25"/>
  <c r="Q194" i="25"/>
  <c r="P194" i="25"/>
  <c r="O194" i="25"/>
  <c r="N194" i="25"/>
  <c r="M194" i="25"/>
  <c r="L194" i="25"/>
  <c r="K194" i="25"/>
  <c r="J194" i="25"/>
  <c r="I194" i="25"/>
  <c r="H194" i="25"/>
  <c r="G194" i="25"/>
  <c r="F194" i="25"/>
  <c r="E194" i="25"/>
  <c r="D194" i="25"/>
  <c r="C194" i="25"/>
  <c r="B194" i="25"/>
  <c r="A194" i="25"/>
  <c r="Y193" i="25"/>
  <c r="X193" i="25"/>
  <c r="W193" i="25"/>
  <c r="V193" i="25"/>
  <c r="U193" i="25"/>
  <c r="T193" i="25"/>
  <c r="S193" i="25"/>
  <c r="R193" i="25"/>
  <c r="Q193" i="25"/>
  <c r="P193" i="25"/>
  <c r="O193" i="25"/>
  <c r="N193" i="25"/>
  <c r="M193" i="25"/>
  <c r="L193" i="25"/>
  <c r="K193" i="25"/>
  <c r="J193" i="25"/>
  <c r="I193" i="25"/>
  <c r="H193" i="25"/>
  <c r="G193" i="25"/>
  <c r="F193" i="25"/>
  <c r="E193" i="25"/>
  <c r="D193" i="25"/>
  <c r="C193" i="25"/>
  <c r="B193" i="25"/>
  <c r="A193" i="25"/>
  <c r="Y192" i="25"/>
  <c r="X192" i="25"/>
  <c r="W192" i="25"/>
  <c r="V192" i="25"/>
  <c r="U192" i="25"/>
  <c r="T192" i="25"/>
  <c r="S192" i="25"/>
  <c r="R192" i="25"/>
  <c r="Q192" i="25"/>
  <c r="P192" i="25"/>
  <c r="O192" i="25"/>
  <c r="N192" i="25"/>
  <c r="M192" i="25"/>
  <c r="L192" i="25"/>
  <c r="K192" i="25"/>
  <c r="J192" i="25"/>
  <c r="I192" i="25"/>
  <c r="H192" i="25"/>
  <c r="G192" i="25"/>
  <c r="F192" i="25"/>
  <c r="E192" i="25"/>
  <c r="D192" i="25"/>
  <c r="C192" i="25"/>
  <c r="B192" i="25"/>
  <c r="A192" i="25"/>
  <c r="Y191" i="25"/>
  <c r="X191" i="25"/>
  <c r="W191" i="25"/>
  <c r="V191" i="25"/>
  <c r="U191" i="25"/>
  <c r="T191" i="25"/>
  <c r="S191" i="25"/>
  <c r="R191" i="25"/>
  <c r="Q191" i="25"/>
  <c r="P191" i="25"/>
  <c r="O191" i="25"/>
  <c r="N191" i="25"/>
  <c r="M191" i="25"/>
  <c r="L191" i="25"/>
  <c r="K191" i="25"/>
  <c r="J191" i="25"/>
  <c r="I191" i="25"/>
  <c r="H191" i="25"/>
  <c r="G191" i="25"/>
  <c r="F191" i="25"/>
  <c r="E191" i="25"/>
  <c r="D191" i="25"/>
  <c r="C191" i="25"/>
  <c r="B191" i="25"/>
  <c r="A191" i="25"/>
  <c r="Y190" i="25"/>
  <c r="X190" i="25"/>
  <c r="W190" i="25"/>
  <c r="V190" i="25"/>
  <c r="U190" i="25"/>
  <c r="T190" i="25"/>
  <c r="S190" i="25"/>
  <c r="R190" i="25"/>
  <c r="Q190" i="25"/>
  <c r="P190" i="25"/>
  <c r="O190" i="25"/>
  <c r="N190" i="25"/>
  <c r="M190" i="25"/>
  <c r="L190" i="25"/>
  <c r="K190" i="25"/>
  <c r="J190" i="25"/>
  <c r="I190" i="25"/>
  <c r="H190" i="25"/>
  <c r="G190" i="25"/>
  <c r="F190" i="25"/>
  <c r="E190" i="25"/>
  <c r="D190" i="25"/>
  <c r="C190" i="25"/>
  <c r="B190" i="25"/>
  <c r="A190" i="25"/>
  <c r="Y189" i="25"/>
  <c r="X189" i="25"/>
  <c r="W189" i="25"/>
  <c r="V189" i="25"/>
  <c r="U189" i="25"/>
  <c r="T189" i="25"/>
  <c r="S189" i="25"/>
  <c r="R189" i="25"/>
  <c r="Q189" i="25"/>
  <c r="P189" i="25"/>
  <c r="O189" i="25"/>
  <c r="N189" i="25"/>
  <c r="M189" i="25"/>
  <c r="L189" i="25"/>
  <c r="K189" i="25"/>
  <c r="J189" i="25"/>
  <c r="I189" i="25"/>
  <c r="H189" i="25"/>
  <c r="G189" i="25"/>
  <c r="F189" i="25"/>
  <c r="E189" i="25"/>
  <c r="D189" i="25"/>
  <c r="C189" i="25"/>
  <c r="B189" i="25"/>
  <c r="A189" i="25"/>
  <c r="Y188" i="25"/>
  <c r="X188" i="25"/>
  <c r="W188" i="25"/>
  <c r="V188" i="25"/>
  <c r="U188" i="25"/>
  <c r="T188" i="25"/>
  <c r="S188" i="25"/>
  <c r="R188" i="25"/>
  <c r="Q188" i="25"/>
  <c r="P188" i="25"/>
  <c r="O188" i="25"/>
  <c r="N188" i="25"/>
  <c r="M188" i="25"/>
  <c r="L188" i="25"/>
  <c r="K188" i="25"/>
  <c r="J188" i="25"/>
  <c r="I188" i="25"/>
  <c r="H188" i="25"/>
  <c r="G188" i="25"/>
  <c r="F188" i="25"/>
  <c r="E188" i="25"/>
  <c r="D188" i="25"/>
  <c r="C188" i="25"/>
  <c r="B188" i="25"/>
  <c r="A188" i="25"/>
  <c r="Y184" i="25"/>
  <c r="X184" i="25"/>
  <c r="W184" i="25"/>
  <c r="V184" i="25"/>
  <c r="U184" i="25"/>
  <c r="T184" i="25"/>
  <c r="S184" i="25"/>
  <c r="R184" i="25"/>
  <c r="Q184" i="25"/>
  <c r="P184" i="25"/>
  <c r="O184" i="25"/>
  <c r="N184" i="25"/>
  <c r="M184" i="25"/>
  <c r="L184" i="25"/>
  <c r="K184" i="25"/>
  <c r="J184" i="25"/>
  <c r="I184" i="25"/>
  <c r="H184" i="25"/>
  <c r="G184" i="25"/>
  <c r="F184" i="25"/>
  <c r="E184" i="25"/>
  <c r="D184" i="25"/>
  <c r="C184" i="25"/>
  <c r="B184" i="25"/>
  <c r="A184" i="25"/>
  <c r="Y183" i="25"/>
  <c r="X183" i="25"/>
  <c r="W183" i="25"/>
  <c r="V183" i="25"/>
  <c r="U183" i="25"/>
  <c r="T183" i="25"/>
  <c r="S183" i="25"/>
  <c r="R183" i="25"/>
  <c r="Q183" i="25"/>
  <c r="P183" i="25"/>
  <c r="O183" i="25"/>
  <c r="N183" i="25"/>
  <c r="M183" i="25"/>
  <c r="L183" i="25"/>
  <c r="K183" i="25"/>
  <c r="J183" i="25"/>
  <c r="I183" i="25"/>
  <c r="H183" i="25"/>
  <c r="G183" i="25"/>
  <c r="F183" i="25"/>
  <c r="E183" i="25"/>
  <c r="D183" i="25"/>
  <c r="C183" i="25"/>
  <c r="B183" i="25"/>
  <c r="A183" i="25"/>
  <c r="Y182" i="25"/>
  <c r="X182" i="25"/>
  <c r="W182" i="25"/>
  <c r="V182" i="25"/>
  <c r="U182" i="25"/>
  <c r="T182" i="25"/>
  <c r="S182" i="25"/>
  <c r="R182" i="25"/>
  <c r="Q182" i="25"/>
  <c r="P182" i="25"/>
  <c r="O182" i="25"/>
  <c r="N182" i="25"/>
  <c r="M182" i="25"/>
  <c r="L182" i="25"/>
  <c r="K182" i="25"/>
  <c r="J182" i="25"/>
  <c r="I182" i="25"/>
  <c r="H182" i="25"/>
  <c r="G182" i="25"/>
  <c r="F182" i="25"/>
  <c r="E182" i="25"/>
  <c r="D182" i="25"/>
  <c r="C182" i="25"/>
  <c r="B182" i="25"/>
  <c r="A182" i="25"/>
  <c r="Y181" i="25"/>
  <c r="X181" i="25"/>
  <c r="W181" i="25"/>
  <c r="V181" i="25"/>
  <c r="U181" i="25"/>
  <c r="T181" i="25"/>
  <c r="S181" i="25"/>
  <c r="R181" i="25"/>
  <c r="Q181" i="25"/>
  <c r="P181" i="25"/>
  <c r="O181" i="25"/>
  <c r="N181" i="25"/>
  <c r="M181" i="25"/>
  <c r="L181" i="25"/>
  <c r="K181" i="25"/>
  <c r="J181" i="25"/>
  <c r="I181" i="25"/>
  <c r="H181" i="25"/>
  <c r="G181" i="25"/>
  <c r="F181" i="25"/>
  <c r="E181" i="25"/>
  <c r="D181" i="25"/>
  <c r="C181" i="25"/>
  <c r="B181" i="25"/>
  <c r="A181" i="25"/>
  <c r="Y180" i="25"/>
  <c r="X180" i="25"/>
  <c r="W180" i="25"/>
  <c r="V180" i="25"/>
  <c r="U180" i="25"/>
  <c r="T180" i="25"/>
  <c r="S180" i="25"/>
  <c r="R180" i="25"/>
  <c r="Q180" i="25"/>
  <c r="P180" i="25"/>
  <c r="O180" i="25"/>
  <c r="N180" i="25"/>
  <c r="M180" i="25"/>
  <c r="L180" i="25"/>
  <c r="K180" i="25"/>
  <c r="J180" i="25"/>
  <c r="I180" i="25"/>
  <c r="H180" i="25"/>
  <c r="G180" i="25"/>
  <c r="F180" i="25"/>
  <c r="E180" i="25"/>
  <c r="D180" i="25"/>
  <c r="C180" i="25"/>
  <c r="B180" i="25"/>
  <c r="A180" i="25"/>
  <c r="Y179" i="25"/>
  <c r="X179" i="25"/>
  <c r="W179" i="25"/>
  <c r="V179" i="25"/>
  <c r="U179" i="25"/>
  <c r="T179" i="25"/>
  <c r="S179" i="25"/>
  <c r="R179" i="25"/>
  <c r="Q179" i="25"/>
  <c r="P179" i="25"/>
  <c r="O179" i="25"/>
  <c r="N179" i="25"/>
  <c r="M179" i="25"/>
  <c r="L179" i="25"/>
  <c r="K179" i="25"/>
  <c r="J179" i="25"/>
  <c r="I179" i="25"/>
  <c r="H179" i="25"/>
  <c r="G179" i="25"/>
  <c r="F179" i="25"/>
  <c r="E179" i="25"/>
  <c r="D179" i="25"/>
  <c r="C179" i="25"/>
  <c r="B179" i="25"/>
  <c r="A179" i="25"/>
  <c r="Y178" i="25"/>
  <c r="X178" i="25"/>
  <c r="W178" i="25"/>
  <c r="V178" i="25"/>
  <c r="U178" i="25"/>
  <c r="T178" i="25"/>
  <c r="S178" i="25"/>
  <c r="R178" i="25"/>
  <c r="Q178" i="25"/>
  <c r="P178" i="25"/>
  <c r="O178" i="25"/>
  <c r="N178" i="25"/>
  <c r="M178" i="25"/>
  <c r="L178" i="25"/>
  <c r="K178" i="25"/>
  <c r="J178" i="25"/>
  <c r="I178" i="25"/>
  <c r="H178" i="25"/>
  <c r="G178" i="25"/>
  <c r="F178" i="25"/>
  <c r="E178" i="25"/>
  <c r="D178" i="25"/>
  <c r="C178" i="25"/>
  <c r="B178" i="25"/>
  <c r="A178" i="25"/>
  <c r="Y177" i="25"/>
  <c r="X177" i="25"/>
  <c r="W177" i="25"/>
  <c r="V177" i="25"/>
  <c r="U177" i="25"/>
  <c r="T177" i="25"/>
  <c r="S177" i="25"/>
  <c r="R177" i="25"/>
  <c r="Q177" i="25"/>
  <c r="P177" i="25"/>
  <c r="O177" i="25"/>
  <c r="N177" i="25"/>
  <c r="M177" i="25"/>
  <c r="L177" i="25"/>
  <c r="K177" i="25"/>
  <c r="J177" i="25"/>
  <c r="I177" i="25"/>
  <c r="H177" i="25"/>
  <c r="G177" i="25"/>
  <c r="F177" i="25"/>
  <c r="E177" i="25"/>
  <c r="D177" i="25"/>
  <c r="C177" i="25"/>
  <c r="B177" i="25"/>
  <c r="A177" i="25"/>
  <c r="Y176" i="25"/>
  <c r="X176" i="25"/>
  <c r="W176" i="25"/>
  <c r="V176" i="25"/>
  <c r="U176" i="25"/>
  <c r="T176" i="25"/>
  <c r="S176" i="25"/>
  <c r="R176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C176" i="25"/>
  <c r="B176" i="25"/>
  <c r="A176" i="25"/>
  <c r="R175" i="25"/>
  <c r="Q175" i="25"/>
  <c r="P175" i="25"/>
  <c r="O175" i="25"/>
  <c r="N175" i="25"/>
  <c r="M175" i="25"/>
  <c r="L175" i="25"/>
  <c r="I175" i="25"/>
  <c r="H175" i="25"/>
  <c r="G175" i="25"/>
  <c r="F175" i="25"/>
  <c r="E175" i="25"/>
  <c r="D175" i="25"/>
  <c r="C175" i="25"/>
  <c r="B175" i="25"/>
  <c r="A175" i="25"/>
  <c r="Y171" i="25"/>
  <c r="X171" i="25"/>
  <c r="W171" i="25"/>
  <c r="V171" i="25"/>
  <c r="U171" i="25"/>
  <c r="T171" i="25"/>
  <c r="S171" i="25"/>
  <c r="R171" i="25"/>
  <c r="Q171" i="25"/>
  <c r="P171" i="25"/>
  <c r="O171" i="25"/>
  <c r="N171" i="25"/>
  <c r="M171" i="25"/>
  <c r="L171" i="25"/>
  <c r="K171" i="25"/>
  <c r="J171" i="25"/>
  <c r="I171" i="25"/>
  <c r="H171" i="25"/>
  <c r="G171" i="25"/>
  <c r="F171" i="25"/>
  <c r="E171" i="25"/>
  <c r="D171" i="25"/>
  <c r="C171" i="25"/>
  <c r="B171" i="25"/>
  <c r="A171" i="25"/>
  <c r="Y170" i="25"/>
  <c r="X170" i="25"/>
  <c r="W170" i="25"/>
  <c r="V170" i="25"/>
  <c r="U170" i="25"/>
  <c r="T170" i="25"/>
  <c r="S170" i="25"/>
  <c r="R170" i="25"/>
  <c r="Q170" i="25"/>
  <c r="P170" i="25"/>
  <c r="O170" i="25"/>
  <c r="N170" i="25"/>
  <c r="M170" i="25"/>
  <c r="L170" i="25"/>
  <c r="K170" i="25"/>
  <c r="J170" i="25"/>
  <c r="I170" i="25"/>
  <c r="H170" i="25"/>
  <c r="G170" i="25"/>
  <c r="F170" i="25"/>
  <c r="E170" i="25"/>
  <c r="D170" i="25"/>
  <c r="C170" i="25"/>
  <c r="B170" i="25"/>
  <c r="A170" i="25"/>
  <c r="Y169" i="25"/>
  <c r="X169" i="25"/>
  <c r="W169" i="25"/>
  <c r="V169" i="25"/>
  <c r="U169" i="25"/>
  <c r="T169" i="25"/>
  <c r="S169" i="25"/>
  <c r="R169" i="25"/>
  <c r="Q169" i="25"/>
  <c r="P169" i="25"/>
  <c r="O169" i="25"/>
  <c r="N169" i="25"/>
  <c r="M169" i="25"/>
  <c r="L169" i="25"/>
  <c r="K169" i="25"/>
  <c r="J169" i="25"/>
  <c r="I169" i="25"/>
  <c r="H169" i="25"/>
  <c r="G169" i="25"/>
  <c r="F169" i="25"/>
  <c r="E169" i="25"/>
  <c r="D169" i="25"/>
  <c r="C169" i="25"/>
  <c r="B169" i="25"/>
  <c r="A169" i="25"/>
  <c r="Y168" i="25"/>
  <c r="X168" i="25"/>
  <c r="W168" i="25"/>
  <c r="V168" i="25"/>
  <c r="U168" i="25"/>
  <c r="T168" i="25"/>
  <c r="S168" i="25"/>
  <c r="R168" i="25"/>
  <c r="Q168" i="25"/>
  <c r="P168" i="25"/>
  <c r="O168" i="25"/>
  <c r="N168" i="25"/>
  <c r="M168" i="25"/>
  <c r="L168" i="25"/>
  <c r="K168" i="25"/>
  <c r="J168" i="25"/>
  <c r="I168" i="25"/>
  <c r="H168" i="25"/>
  <c r="G168" i="25"/>
  <c r="F168" i="25"/>
  <c r="E168" i="25"/>
  <c r="D168" i="25"/>
  <c r="C168" i="25"/>
  <c r="B168" i="25"/>
  <c r="A168" i="25"/>
  <c r="Y167" i="25"/>
  <c r="X167" i="25"/>
  <c r="W167" i="25"/>
  <c r="V167" i="25"/>
  <c r="U167" i="25"/>
  <c r="T167" i="25"/>
  <c r="S167" i="25"/>
  <c r="R167" i="25"/>
  <c r="Q167" i="25"/>
  <c r="P167" i="25"/>
  <c r="O167" i="25"/>
  <c r="N167" i="25"/>
  <c r="M167" i="25"/>
  <c r="L167" i="25"/>
  <c r="K167" i="25"/>
  <c r="J167" i="25"/>
  <c r="I167" i="25"/>
  <c r="H167" i="25"/>
  <c r="G167" i="25"/>
  <c r="F167" i="25"/>
  <c r="E167" i="25"/>
  <c r="D167" i="25"/>
  <c r="C167" i="25"/>
  <c r="B167" i="25"/>
  <c r="A167" i="25"/>
  <c r="Y166" i="25"/>
  <c r="X166" i="25"/>
  <c r="W166" i="25"/>
  <c r="V166" i="25"/>
  <c r="U166" i="25"/>
  <c r="T166" i="25"/>
  <c r="S166" i="25"/>
  <c r="R166" i="25"/>
  <c r="Q166" i="25"/>
  <c r="P166" i="25"/>
  <c r="O166" i="25"/>
  <c r="N166" i="25"/>
  <c r="M166" i="25"/>
  <c r="L166" i="25"/>
  <c r="K166" i="25"/>
  <c r="J166" i="25"/>
  <c r="I166" i="25"/>
  <c r="H166" i="25"/>
  <c r="G166" i="25"/>
  <c r="F166" i="25"/>
  <c r="E166" i="25"/>
  <c r="D166" i="25"/>
  <c r="C166" i="25"/>
  <c r="B166" i="25"/>
  <c r="A166" i="25"/>
  <c r="Y165" i="25"/>
  <c r="X165" i="25"/>
  <c r="W165" i="25"/>
  <c r="V165" i="25"/>
  <c r="U165" i="25"/>
  <c r="T165" i="25"/>
  <c r="S165" i="25"/>
  <c r="R165" i="25"/>
  <c r="Q165" i="25"/>
  <c r="P165" i="25"/>
  <c r="O165" i="25"/>
  <c r="N165" i="25"/>
  <c r="M165" i="25"/>
  <c r="L165" i="25"/>
  <c r="K165" i="25"/>
  <c r="J165" i="25"/>
  <c r="I165" i="25"/>
  <c r="H165" i="25"/>
  <c r="G165" i="25"/>
  <c r="F165" i="25"/>
  <c r="E165" i="25"/>
  <c r="D165" i="25"/>
  <c r="C165" i="25"/>
  <c r="B165" i="25"/>
  <c r="A165" i="25"/>
  <c r="Y164" i="25"/>
  <c r="X164" i="25"/>
  <c r="W164" i="25"/>
  <c r="V164" i="25"/>
  <c r="U164" i="25"/>
  <c r="T164" i="25"/>
  <c r="S164" i="25"/>
  <c r="R164" i="25"/>
  <c r="Q164" i="25"/>
  <c r="P164" i="25"/>
  <c r="O164" i="25"/>
  <c r="N164" i="25"/>
  <c r="M164" i="25"/>
  <c r="L164" i="25"/>
  <c r="K164" i="25"/>
  <c r="J164" i="25"/>
  <c r="I164" i="25"/>
  <c r="H164" i="25"/>
  <c r="G164" i="25"/>
  <c r="F164" i="25"/>
  <c r="E164" i="25"/>
  <c r="D164" i="25"/>
  <c r="C164" i="25"/>
  <c r="B164" i="25"/>
  <c r="A164" i="25"/>
  <c r="Y163" i="25"/>
  <c r="X163" i="25"/>
  <c r="W163" i="25"/>
  <c r="V163" i="25"/>
  <c r="U163" i="25"/>
  <c r="T163" i="25"/>
  <c r="S163" i="25"/>
  <c r="R163" i="25"/>
  <c r="Q163" i="25"/>
  <c r="P163" i="25"/>
  <c r="O163" i="25"/>
  <c r="N163" i="25"/>
  <c r="M163" i="25"/>
  <c r="L163" i="25"/>
  <c r="K163" i="25"/>
  <c r="J163" i="25"/>
  <c r="I163" i="25"/>
  <c r="H163" i="25"/>
  <c r="G163" i="25"/>
  <c r="F163" i="25"/>
  <c r="E163" i="25"/>
  <c r="D163" i="25"/>
  <c r="C163" i="25"/>
  <c r="B163" i="25"/>
  <c r="A163" i="25"/>
  <c r="Y162" i="25"/>
  <c r="X162" i="25"/>
  <c r="W162" i="25"/>
  <c r="V162" i="25"/>
  <c r="U162" i="25"/>
  <c r="T162" i="25"/>
  <c r="S162" i="25"/>
  <c r="R162" i="25"/>
  <c r="Q162" i="25"/>
  <c r="P162" i="25"/>
  <c r="O162" i="25"/>
  <c r="N162" i="25"/>
  <c r="M162" i="25"/>
  <c r="L162" i="25"/>
  <c r="K162" i="25"/>
  <c r="J162" i="25"/>
  <c r="G162" i="25"/>
  <c r="F162" i="25"/>
  <c r="E162" i="25"/>
  <c r="D162" i="25"/>
  <c r="C162" i="25"/>
  <c r="B162" i="25"/>
  <c r="A162" i="25"/>
  <c r="A158" i="25"/>
  <c r="A157" i="25"/>
  <c r="A156" i="25"/>
  <c r="A155" i="25"/>
  <c r="A154" i="25"/>
  <c r="A153" i="25"/>
  <c r="A152" i="25"/>
  <c r="A151" i="25"/>
  <c r="A150" i="25"/>
  <c r="A149" i="25"/>
  <c r="A145" i="25"/>
  <c r="A144" i="25"/>
  <c r="A143" i="25"/>
  <c r="A142" i="25"/>
  <c r="A141" i="25"/>
  <c r="A140" i="25"/>
  <c r="A139" i="25"/>
  <c r="A138" i="25"/>
  <c r="A137" i="25"/>
  <c r="A136" i="25"/>
  <c r="A132" i="25"/>
  <c r="A131" i="25"/>
  <c r="A130" i="25"/>
  <c r="A129" i="25"/>
  <c r="A128" i="25"/>
  <c r="A127" i="25"/>
  <c r="A126" i="25"/>
  <c r="A125" i="25"/>
  <c r="A124" i="25"/>
  <c r="A123" i="25"/>
  <c r="A119" i="25"/>
  <c r="A118" i="25"/>
  <c r="A117" i="25"/>
  <c r="A116" i="25"/>
  <c r="A115" i="25"/>
  <c r="A114" i="25"/>
  <c r="A113" i="25"/>
  <c r="A112" i="25"/>
  <c r="A111" i="25"/>
  <c r="A110" i="25"/>
  <c r="A108" i="25"/>
  <c r="A107" i="25"/>
  <c r="A106" i="25"/>
  <c r="A105" i="25"/>
  <c r="A104" i="25"/>
  <c r="A103" i="25"/>
  <c r="A102" i="25"/>
  <c r="A101" i="25"/>
  <c r="A100" i="25"/>
  <c r="A99" i="25"/>
  <c r="A97" i="25"/>
  <c r="A96" i="25"/>
  <c r="A95" i="25"/>
  <c r="A94" i="25"/>
  <c r="A93" i="25"/>
  <c r="A92" i="25"/>
  <c r="A91" i="25"/>
  <c r="A90" i="25"/>
  <c r="A89" i="25"/>
  <c r="A88" i="25"/>
  <c r="A85" i="25"/>
  <c r="G125" i="33" s="1"/>
  <c r="A84" i="25"/>
  <c r="G124" i="33" s="1"/>
  <c r="A83" i="25"/>
  <c r="G123" i="33" s="1"/>
  <c r="A82" i="25"/>
  <c r="G122" i="33" s="1"/>
  <c r="A81" i="25"/>
  <c r="G121" i="33" s="1"/>
  <c r="A80" i="25"/>
  <c r="G120" i="33" s="1"/>
  <c r="A79" i="25"/>
  <c r="G119" i="33" s="1"/>
  <c r="A78" i="25"/>
  <c r="G118" i="33" s="1"/>
  <c r="A77" i="25"/>
  <c r="G117" i="33" s="1"/>
  <c r="A76" i="25"/>
  <c r="G116" i="33" s="1"/>
  <c r="A72" i="25"/>
  <c r="A71" i="25"/>
  <c r="A70" i="25"/>
  <c r="A69" i="25"/>
  <c r="A68" i="25"/>
  <c r="A67" i="25"/>
  <c r="A66" i="25"/>
  <c r="A65" i="25"/>
  <c r="A64" i="25"/>
  <c r="A63" i="25"/>
  <c r="A61" i="25"/>
  <c r="B162" i="29" s="1"/>
  <c r="A60" i="25"/>
  <c r="B161" i="29" s="1"/>
  <c r="A59" i="25"/>
  <c r="B160" i="29" s="1"/>
  <c r="A58" i="25"/>
  <c r="B159" i="29" s="1"/>
  <c r="A57" i="25"/>
  <c r="B158" i="29" s="1"/>
  <c r="A56" i="25"/>
  <c r="B157" i="29" s="1"/>
  <c r="A55" i="25"/>
  <c r="B156" i="29" s="1"/>
  <c r="AD57" i="25"/>
  <c r="A54" i="25"/>
  <c r="B155" i="29" s="1"/>
  <c r="A53" i="25"/>
  <c r="B154" i="29" s="1"/>
  <c r="A52" i="25"/>
  <c r="B153" i="29" s="1"/>
  <c r="Y48" i="25"/>
  <c r="DH56" i="31" s="1"/>
  <c r="DH78" i="31" s="1"/>
  <c r="X48" i="25"/>
  <c r="DG56" i="31" s="1"/>
  <c r="DG78" i="31" s="1"/>
  <c r="W48" i="25"/>
  <c r="DF56" i="31" s="1"/>
  <c r="DF78" i="31" s="1"/>
  <c r="V48" i="25"/>
  <c r="DE56" i="31" s="1"/>
  <c r="DE78" i="31" s="1"/>
  <c r="U48" i="25"/>
  <c r="DD56" i="31" s="1"/>
  <c r="DD78" i="31" s="1"/>
  <c r="T48" i="25"/>
  <c r="DC56" i="31" s="1"/>
  <c r="DC78" i="31" s="1"/>
  <c r="S48" i="25"/>
  <c r="DB56" i="31" s="1"/>
  <c r="DB78" i="31" s="1"/>
  <c r="R48" i="25"/>
  <c r="DA56" i="31" s="1"/>
  <c r="DA78" i="31" s="1"/>
  <c r="Q48" i="25"/>
  <c r="CZ56" i="31" s="1"/>
  <c r="CZ78" i="31" s="1"/>
  <c r="P48" i="25"/>
  <c r="CY56" i="31" s="1"/>
  <c r="CY78" i="31" s="1"/>
  <c r="O48" i="25"/>
  <c r="CX56" i="31" s="1"/>
  <c r="CX78" i="31" s="1"/>
  <c r="N48" i="25"/>
  <c r="CW56" i="31" s="1"/>
  <c r="CW78" i="31" s="1"/>
  <c r="M48" i="25"/>
  <c r="CV56" i="31" s="1"/>
  <c r="CV78" i="31" s="1"/>
  <c r="L48" i="25"/>
  <c r="CU56" i="31" s="1"/>
  <c r="CU78" i="31" s="1"/>
  <c r="K48" i="25"/>
  <c r="CT56" i="31" s="1"/>
  <c r="CT78" i="31" s="1"/>
  <c r="J48" i="25"/>
  <c r="CS56" i="31" s="1"/>
  <c r="CS78" i="31" s="1"/>
  <c r="I48" i="25"/>
  <c r="CR56" i="31" s="1"/>
  <c r="CR78" i="31" s="1"/>
  <c r="H48" i="25"/>
  <c r="CQ56" i="31" s="1"/>
  <c r="CQ78" i="31" s="1"/>
  <c r="G48" i="25"/>
  <c r="CP56" i="31" s="1"/>
  <c r="CP78" i="31" s="1"/>
  <c r="F48" i="25"/>
  <c r="CO56" i="31" s="1"/>
  <c r="CO78" i="31" s="1"/>
  <c r="E48" i="25"/>
  <c r="CN56" i="31" s="1"/>
  <c r="CN78" i="31" s="1"/>
  <c r="D48" i="25"/>
  <c r="CM56" i="31" s="1"/>
  <c r="CM78" i="31" s="1"/>
  <c r="C48" i="25"/>
  <c r="CL56" i="31" s="1"/>
  <c r="CL78" i="31" s="1"/>
  <c r="B48" i="25"/>
  <c r="CK56" i="31" s="1"/>
  <c r="CK78" i="31" s="1"/>
  <c r="A48" i="25"/>
  <c r="CJ56" i="31" s="1"/>
  <c r="CJ67" i="31" s="1"/>
  <c r="CJ78" i="31" s="1"/>
  <c r="Y47" i="25"/>
  <c r="DH55" i="31" s="1"/>
  <c r="DH77" i="31" s="1"/>
  <c r="X47" i="25"/>
  <c r="DG55" i="31" s="1"/>
  <c r="DG77" i="31" s="1"/>
  <c r="W47" i="25"/>
  <c r="DF55" i="31" s="1"/>
  <c r="DF77" i="31" s="1"/>
  <c r="V47" i="25"/>
  <c r="DE55" i="31" s="1"/>
  <c r="DE77" i="31" s="1"/>
  <c r="U47" i="25"/>
  <c r="DD55" i="31" s="1"/>
  <c r="DD77" i="31" s="1"/>
  <c r="T47" i="25"/>
  <c r="DC55" i="31" s="1"/>
  <c r="DC77" i="31" s="1"/>
  <c r="S47" i="25"/>
  <c r="DB55" i="31" s="1"/>
  <c r="DB77" i="31" s="1"/>
  <c r="R47" i="25"/>
  <c r="DA55" i="31" s="1"/>
  <c r="DA77" i="31" s="1"/>
  <c r="Q47" i="25"/>
  <c r="CZ55" i="31" s="1"/>
  <c r="CZ77" i="31" s="1"/>
  <c r="P47" i="25"/>
  <c r="CY55" i="31" s="1"/>
  <c r="CY77" i="31" s="1"/>
  <c r="O47" i="25"/>
  <c r="CX55" i="31" s="1"/>
  <c r="CX77" i="31" s="1"/>
  <c r="N47" i="25"/>
  <c r="CW55" i="31" s="1"/>
  <c r="CW77" i="31" s="1"/>
  <c r="M47" i="25"/>
  <c r="CV55" i="31" s="1"/>
  <c r="CV77" i="31" s="1"/>
  <c r="L47" i="25"/>
  <c r="CU55" i="31" s="1"/>
  <c r="CU77" i="31" s="1"/>
  <c r="K47" i="25"/>
  <c r="CT55" i="31" s="1"/>
  <c r="CT77" i="31" s="1"/>
  <c r="J47" i="25"/>
  <c r="CS55" i="31" s="1"/>
  <c r="CS77" i="31" s="1"/>
  <c r="I47" i="25"/>
  <c r="CR55" i="31" s="1"/>
  <c r="CR77" i="31" s="1"/>
  <c r="H47" i="25"/>
  <c r="CQ55" i="31" s="1"/>
  <c r="CQ77" i="31" s="1"/>
  <c r="G47" i="25"/>
  <c r="CP55" i="31" s="1"/>
  <c r="CP77" i="31" s="1"/>
  <c r="F47" i="25"/>
  <c r="CO55" i="31" s="1"/>
  <c r="CO77" i="31" s="1"/>
  <c r="E47" i="25"/>
  <c r="CN55" i="31" s="1"/>
  <c r="CN77" i="31" s="1"/>
  <c r="D47" i="25"/>
  <c r="CM55" i="31" s="1"/>
  <c r="CM77" i="31" s="1"/>
  <c r="C47" i="25"/>
  <c r="CL55" i="31" s="1"/>
  <c r="CL77" i="31" s="1"/>
  <c r="B47" i="25"/>
  <c r="CK55" i="31" s="1"/>
  <c r="CK77" i="31" s="1"/>
  <c r="A47" i="25"/>
  <c r="CJ55" i="31" s="1"/>
  <c r="CJ66" i="31" s="1"/>
  <c r="CJ77" i="31" s="1"/>
  <c r="Y46" i="25"/>
  <c r="DH54" i="31" s="1"/>
  <c r="DH76" i="31" s="1"/>
  <c r="X46" i="25"/>
  <c r="DG54" i="31" s="1"/>
  <c r="DG76" i="31" s="1"/>
  <c r="W46" i="25"/>
  <c r="DF54" i="31" s="1"/>
  <c r="DF76" i="31" s="1"/>
  <c r="V46" i="25"/>
  <c r="DE54" i="31" s="1"/>
  <c r="DE76" i="31" s="1"/>
  <c r="U46" i="25"/>
  <c r="DD54" i="31" s="1"/>
  <c r="DD76" i="31" s="1"/>
  <c r="T46" i="25"/>
  <c r="DC54" i="31" s="1"/>
  <c r="DC76" i="31" s="1"/>
  <c r="S46" i="25"/>
  <c r="DB54" i="31" s="1"/>
  <c r="DB76" i="31" s="1"/>
  <c r="R46" i="25"/>
  <c r="DA54" i="31" s="1"/>
  <c r="DA76" i="31" s="1"/>
  <c r="Q46" i="25"/>
  <c r="CZ54" i="31" s="1"/>
  <c r="CZ76" i="31" s="1"/>
  <c r="P46" i="25"/>
  <c r="CY54" i="31" s="1"/>
  <c r="CY76" i="31" s="1"/>
  <c r="O46" i="25"/>
  <c r="CX54" i="31" s="1"/>
  <c r="CX76" i="31" s="1"/>
  <c r="N46" i="25"/>
  <c r="CW54" i="31" s="1"/>
  <c r="CW76" i="31" s="1"/>
  <c r="M46" i="25"/>
  <c r="CV54" i="31" s="1"/>
  <c r="CV76" i="31" s="1"/>
  <c r="L46" i="25"/>
  <c r="CU54" i="31" s="1"/>
  <c r="CU76" i="31" s="1"/>
  <c r="K46" i="25"/>
  <c r="CT54" i="31" s="1"/>
  <c r="CT76" i="31" s="1"/>
  <c r="J46" i="25"/>
  <c r="CS54" i="31" s="1"/>
  <c r="CS76" i="31" s="1"/>
  <c r="I46" i="25"/>
  <c r="CR54" i="31" s="1"/>
  <c r="CR76" i="31" s="1"/>
  <c r="H46" i="25"/>
  <c r="CQ54" i="31" s="1"/>
  <c r="CQ76" i="31" s="1"/>
  <c r="G46" i="25"/>
  <c r="CP54" i="31" s="1"/>
  <c r="CP76" i="31" s="1"/>
  <c r="F46" i="25"/>
  <c r="CO54" i="31" s="1"/>
  <c r="CO76" i="31" s="1"/>
  <c r="E46" i="25"/>
  <c r="CN54" i="31" s="1"/>
  <c r="CN76" i="31" s="1"/>
  <c r="D46" i="25"/>
  <c r="CM54" i="31" s="1"/>
  <c r="CM76" i="31" s="1"/>
  <c r="C46" i="25"/>
  <c r="CL54" i="31" s="1"/>
  <c r="CL76" i="31" s="1"/>
  <c r="B46" i="25"/>
  <c r="CK54" i="31" s="1"/>
  <c r="CK76" i="31" s="1"/>
  <c r="A46" i="25"/>
  <c r="CJ54" i="31" s="1"/>
  <c r="CJ65" i="31" s="1"/>
  <c r="CJ76" i="31" s="1"/>
  <c r="Y45" i="25"/>
  <c r="DH53" i="31" s="1"/>
  <c r="DH75" i="31" s="1"/>
  <c r="X45" i="25"/>
  <c r="DG53" i="31" s="1"/>
  <c r="DG75" i="31" s="1"/>
  <c r="W45" i="25"/>
  <c r="DF53" i="31" s="1"/>
  <c r="DF75" i="31" s="1"/>
  <c r="V45" i="25"/>
  <c r="DE53" i="31" s="1"/>
  <c r="DE75" i="31" s="1"/>
  <c r="U45" i="25"/>
  <c r="DD53" i="31" s="1"/>
  <c r="DD75" i="31" s="1"/>
  <c r="T45" i="25"/>
  <c r="DC53" i="31" s="1"/>
  <c r="DC75" i="31" s="1"/>
  <c r="S45" i="25"/>
  <c r="DB53" i="31" s="1"/>
  <c r="DB75" i="31" s="1"/>
  <c r="R45" i="25"/>
  <c r="DA53" i="31" s="1"/>
  <c r="DA75" i="31" s="1"/>
  <c r="Q45" i="25"/>
  <c r="CZ53" i="31" s="1"/>
  <c r="CZ75" i="31" s="1"/>
  <c r="P45" i="25"/>
  <c r="CY53" i="31" s="1"/>
  <c r="CY75" i="31" s="1"/>
  <c r="O45" i="25"/>
  <c r="CX53" i="31" s="1"/>
  <c r="CX75" i="31" s="1"/>
  <c r="N45" i="25"/>
  <c r="CW53" i="31" s="1"/>
  <c r="CW75" i="31" s="1"/>
  <c r="M45" i="25"/>
  <c r="CV53" i="31" s="1"/>
  <c r="CV75" i="31" s="1"/>
  <c r="L45" i="25"/>
  <c r="CU53" i="31" s="1"/>
  <c r="CU75" i="31" s="1"/>
  <c r="K45" i="25"/>
  <c r="CT53" i="31" s="1"/>
  <c r="CT75" i="31" s="1"/>
  <c r="J45" i="25"/>
  <c r="CS53" i="31" s="1"/>
  <c r="CS75" i="31" s="1"/>
  <c r="I45" i="25"/>
  <c r="CR53" i="31" s="1"/>
  <c r="CR75" i="31" s="1"/>
  <c r="H45" i="25"/>
  <c r="CQ53" i="31" s="1"/>
  <c r="CQ75" i="31" s="1"/>
  <c r="G45" i="25"/>
  <c r="CP53" i="31" s="1"/>
  <c r="CP75" i="31" s="1"/>
  <c r="F45" i="25"/>
  <c r="CO53" i="31" s="1"/>
  <c r="CO75" i="31" s="1"/>
  <c r="E45" i="25"/>
  <c r="CN53" i="31" s="1"/>
  <c r="CN75" i="31" s="1"/>
  <c r="D45" i="25"/>
  <c r="CM53" i="31" s="1"/>
  <c r="CM75" i="31" s="1"/>
  <c r="C45" i="25"/>
  <c r="CL53" i="31" s="1"/>
  <c r="CL75" i="31" s="1"/>
  <c r="B45" i="25"/>
  <c r="CK53" i="31" s="1"/>
  <c r="CK75" i="31" s="1"/>
  <c r="A45" i="25"/>
  <c r="CJ53" i="31" s="1"/>
  <c r="CJ64" i="31" s="1"/>
  <c r="CJ75" i="31" s="1"/>
  <c r="Y44" i="25"/>
  <c r="DH52" i="31" s="1"/>
  <c r="DH74" i="31" s="1"/>
  <c r="X44" i="25"/>
  <c r="DG52" i="31" s="1"/>
  <c r="DG74" i="31" s="1"/>
  <c r="W44" i="25"/>
  <c r="DF52" i="31" s="1"/>
  <c r="DF74" i="31" s="1"/>
  <c r="V44" i="25"/>
  <c r="DE52" i="31" s="1"/>
  <c r="DE74" i="31" s="1"/>
  <c r="U44" i="25"/>
  <c r="DD52" i="31" s="1"/>
  <c r="DD74" i="31" s="1"/>
  <c r="T44" i="25"/>
  <c r="DC52" i="31" s="1"/>
  <c r="DC74" i="31" s="1"/>
  <c r="S44" i="25"/>
  <c r="DB52" i="31" s="1"/>
  <c r="DB74" i="31" s="1"/>
  <c r="R44" i="25"/>
  <c r="DA52" i="31" s="1"/>
  <c r="DA74" i="31" s="1"/>
  <c r="Q44" i="25"/>
  <c r="CZ52" i="31" s="1"/>
  <c r="CZ74" i="31" s="1"/>
  <c r="P44" i="25"/>
  <c r="CY52" i="31" s="1"/>
  <c r="CY74" i="31" s="1"/>
  <c r="O44" i="25"/>
  <c r="CX52" i="31" s="1"/>
  <c r="CX74" i="31" s="1"/>
  <c r="N44" i="25"/>
  <c r="CW52" i="31" s="1"/>
  <c r="CW74" i="31" s="1"/>
  <c r="M44" i="25"/>
  <c r="CV52" i="31" s="1"/>
  <c r="CV74" i="31" s="1"/>
  <c r="L44" i="25"/>
  <c r="CU52" i="31" s="1"/>
  <c r="CU74" i="31" s="1"/>
  <c r="K44" i="25"/>
  <c r="CT52" i="31" s="1"/>
  <c r="CT74" i="31" s="1"/>
  <c r="J44" i="25"/>
  <c r="CS52" i="31" s="1"/>
  <c r="CS74" i="31" s="1"/>
  <c r="I44" i="25"/>
  <c r="CR52" i="31" s="1"/>
  <c r="CR74" i="31" s="1"/>
  <c r="H44" i="25"/>
  <c r="CQ52" i="31" s="1"/>
  <c r="CQ74" i="31" s="1"/>
  <c r="G44" i="25"/>
  <c r="CP52" i="31" s="1"/>
  <c r="CP74" i="31" s="1"/>
  <c r="F44" i="25"/>
  <c r="CO52" i="31" s="1"/>
  <c r="CO74" i="31" s="1"/>
  <c r="E44" i="25"/>
  <c r="CN52" i="31" s="1"/>
  <c r="CN74" i="31" s="1"/>
  <c r="D44" i="25"/>
  <c r="CM52" i="31" s="1"/>
  <c r="CM74" i="31" s="1"/>
  <c r="C44" i="25"/>
  <c r="CL52" i="31" s="1"/>
  <c r="CL74" i="31" s="1"/>
  <c r="B44" i="25"/>
  <c r="CK52" i="31" s="1"/>
  <c r="CK74" i="31" s="1"/>
  <c r="A44" i="25"/>
  <c r="CJ52" i="31" s="1"/>
  <c r="CJ63" i="31" s="1"/>
  <c r="CJ74" i="31" s="1"/>
  <c r="Y43" i="25"/>
  <c r="DH51" i="31" s="1"/>
  <c r="DH73" i="31" s="1"/>
  <c r="X43" i="25"/>
  <c r="DG51" i="31" s="1"/>
  <c r="DG73" i="31" s="1"/>
  <c r="W43" i="25"/>
  <c r="DF51" i="31" s="1"/>
  <c r="DF73" i="31" s="1"/>
  <c r="V43" i="25"/>
  <c r="DE51" i="31" s="1"/>
  <c r="DE73" i="31" s="1"/>
  <c r="U43" i="25"/>
  <c r="DD51" i="31" s="1"/>
  <c r="DD73" i="31" s="1"/>
  <c r="T43" i="25"/>
  <c r="DC51" i="31" s="1"/>
  <c r="DC73" i="31" s="1"/>
  <c r="S43" i="25"/>
  <c r="DB51" i="31" s="1"/>
  <c r="DB73" i="31" s="1"/>
  <c r="R43" i="25"/>
  <c r="DA51" i="31" s="1"/>
  <c r="DA73" i="31" s="1"/>
  <c r="Q43" i="25"/>
  <c r="CZ51" i="31" s="1"/>
  <c r="CZ73" i="31" s="1"/>
  <c r="P43" i="25"/>
  <c r="CY51" i="31" s="1"/>
  <c r="CY73" i="31" s="1"/>
  <c r="O43" i="25"/>
  <c r="CX51" i="31" s="1"/>
  <c r="CX73" i="31" s="1"/>
  <c r="N43" i="25"/>
  <c r="CW51" i="31" s="1"/>
  <c r="CW73" i="31" s="1"/>
  <c r="M43" i="25"/>
  <c r="CV51" i="31" s="1"/>
  <c r="CV73" i="31" s="1"/>
  <c r="L43" i="25"/>
  <c r="CU51" i="31" s="1"/>
  <c r="CU73" i="31" s="1"/>
  <c r="K43" i="25"/>
  <c r="CT51" i="31" s="1"/>
  <c r="CT73" i="31" s="1"/>
  <c r="J43" i="25"/>
  <c r="CS51" i="31" s="1"/>
  <c r="CS73" i="31" s="1"/>
  <c r="I43" i="25"/>
  <c r="CR51" i="31" s="1"/>
  <c r="CR73" i="31" s="1"/>
  <c r="H43" i="25"/>
  <c r="CQ51" i="31" s="1"/>
  <c r="CQ73" i="31" s="1"/>
  <c r="G43" i="25"/>
  <c r="CP51" i="31" s="1"/>
  <c r="CP73" i="31" s="1"/>
  <c r="F43" i="25"/>
  <c r="CO51" i="31" s="1"/>
  <c r="CO73" i="31" s="1"/>
  <c r="E43" i="25"/>
  <c r="CN51" i="31" s="1"/>
  <c r="CN73" i="31" s="1"/>
  <c r="D43" i="25"/>
  <c r="CM51" i="31" s="1"/>
  <c r="CM73" i="31" s="1"/>
  <c r="C43" i="25"/>
  <c r="CL51" i="31" s="1"/>
  <c r="CL73" i="31" s="1"/>
  <c r="B43" i="25"/>
  <c r="CK51" i="31" s="1"/>
  <c r="CK73" i="31" s="1"/>
  <c r="A43" i="25"/>
  <c r="CJ51" i="31" s="1"/>
  <c r="CJ62" i="31" s="1"/>
  <c r="CJ73" i="31" s="1"/>
  <c r="Y42" i="25"/>
  <c r="DH50" i="31" s="1"/>
  <c r="DH72" i="31" s="1"/>
  <c r="X42" i="25"/>
  <c r="DG50" i="31" s="1"/>
  <c r="DG72" i="31" s="1"/>
  <c r="W42" i="25"/>
  <c r="DF50" i="31" s="1"/>
  <c r="DF72" i="31" s="1"/>
  <c r="V42" i="25"/>
  <c r="DE50" i="31" s="1"/>
  <c r="DE72" i="31" s="1"/>
  <c r="U42" i="25"/>
  <c r="DD50" i="31" s="1"/>
  <c r="DD72" i="31" s="1"/>
  <c r="T42" i="25"/>
  <c r="DC50" i="31" s="1"/>
  <c r="DC72" i="31" s="1"/>
  <c r="S42" i="25"/>
  <c r="DB50" i="31" s="1"/>
  <c r="DB72" i="31" s="1"/>
  <c r="R42" i="25"/>
  <c r="DA50" i="31" s="1"/>
  <c r="DA72" i="31" s="1"/>
  <c r="Q42" i="25"/>
  <c r="CZ50" i="31" s="1"/>
  <c r="CZ72" i="31" s="1"/>
  <c r="P42" i="25"/>
  <c r="CY50" i="31" s="1"/>
  <c r="CY72" i="31" s="1"/>
  <c r="O42" i="25"/>
  <c r="CX50" i="31" s="1"/>
  <c r="CX72" i="31" s="1"/>
  <c r="N42" i="25"/>
  <c r="CW50" i="31" s="1"/>
  <c r="CW72" i="31" s="1"/>
  <c r="M42" i="25"/>
  <c r="CV50" i="31" s="1"/>
  <c r="CV72" i="31" s="1"/>
  <c r="L42" i="25"/>
  <c r="CU50" i="31" s="1"/>
  <c r="CU72" i="31" s="1"/>
  <c r="K42" i="25"/>
  <c r="CT50" i="31" s="1"/>
  <c r="CT72" i="31" s="1"/>
  <c r="J42" i="25"/>
  <c r="CS50" i="31" s="1"/>
  <c r="CS72" i="31" s="1"/>
  <c r="I42" i="25"/>
  <c r="CR50" i="31" s="1"/>
  <c r="CR72" i="31" s="1"/>
  <c r="H42" i="25"/>
  <c r="CQ50" i="31" s="1"/>
  <c r="CQ72" i="31" s="1"/>
  <c r="G42" i="25"/>
  <c r="CP50" i="31" s="1"/>
  <c r="CP72" i="31" s="1"/>
  <c r="F42" i="25"/>
  <c r="CO50" i="31" s="1"/>
  <c r="CO72" i="31" s="1"/>
  <c r="E42" i="25"/>
  <c r="CN50" i="31" s="1"/>
  <c r="CN72" i="31" s="1"/>
  <c r="D42" i="25"/>
  <c r="CM50" i="31" s="1"/>
  <c r="CM72" i="31" s="1"/>
  <c r="C42" i="25"/>
  <c r="CL50" i="31" s="1"/>
  <c r="CL72" i="31" s="1"/>
  <c r="B42" i="25"/>
  <c r="CK50" i="31" s="1"/>
  <c r="CK72" i="31" s="1"/>
  <c r="A42" i="25"/>
  <c r="CJ50" i="31" s="1"/>
  <c r="CJ61" i="31" s="1"/>
  <c r="CJ72" i="31" s="1"/>
  <c r="Y41" i="25"/>
  <c r="DH49" i="31" s="1"/>
  <c r="DH71" i="31" s="1"/>
  <c r="X41" i="25"/>
  <c r="DG49" i="31" s="1"/>
  <c r="DG71" i="31" s="1"/>
  <c r="W41" i="25"/>
  <c r="DF49" i="31" s="1"/>
  <c r="DF71" i="31" s="1"/>
  <c r="V41" i="25"/>
  <c r="DE49" i="31" s="1"/>
  <c r="DE71" i="31" s="1"/>
  <c r="U41" i="25"/>
  <c r="DD49" i="31" s="1"/>
  <c r="DD71" i="31" s="1"/>
  <c r="T41" i="25"/>
  <c r="DC49" i="31" s="1"/>
  <c r="DC71" i="31" s="1"/>
  <c r="S41" i="25"/>
  <c r="DB49" i="31" s="1"/>
  <c r="DB71" i="31" s="1"/>
  <c r="R41" i="25"/>
  <c r="DA49" i="31" s="1"/>
  <c r="DA71" i="31" s="1"/>
  <c r="Q41" i="25"/>
  <c r="CZ49" i="31" s="1"/>
  <c r="CZ71" i="31" s="1"/>
  <c r="P41" i="25"/>
  <c r="CY49" i="31" s="1"/>
  <c r="CY71" i="31" s="1"/>
  <c r="O41" i="25"/>
  <c r="CX49" i="31" s="1"/>
  <c r="CX71" i="31" s="1"/>
  <c r="N41" i="25"/>
  <c r="CW49" i="31" s="1"/>
  <c r="CW71" i="31" s="1"/>
  <c r="M41" i="25"/>
  <c r="CV49" i="31" s="1"/>
  <c r="CV71" i="31" s="1"/>
  <c r="L41" i="25"/>
  <c r="CU49" i="31" s="1"/>
  <c r="CU71" i="31" s="1"/>
  <c r="K41" i="25"/>
  <c r="CT49" i="31" s="1"/>
  <c r="CT71" i="31" s="1"/>
  <c r="J41" i="25"/>
  <c r="CS49" i="31" s="1"/>
  <c r="CS71" i="31" s="1"/>
  <c r="I41" i="25"/>
  <c r="CR49" i="31" s="1"/>
  <c r="CR71" i="31" s="1"/>
  <c r="H41" i="25"/>
  <c r="CQ49" i="31" s="1"/>
  <c r="CQ71" i="31" s="1"/>
  <c r="G41" i="25"/>
  <c r="CP49" i="31" s="1"/>
  <c r="CP71" i="31" s="1"/>
  <c r="F41" i="25"/>
  <c r="CO49" i="31" s="1"/>
  <c r="CO71" i="31" s="1"/>
  <c r="E41" i="25"/>
  <c r="CN49" i="31" s="1"/>
  <c r="CN71" i="31" s="1"/>
  <c r="D41" i="25"/>
  <c r="CM49" i="31" s="1"/>
  <c r="CM71" i="31" s="1"/>
  <c r="C41" i="25"/>
  <c r="CL49" i="31" s="1"/>
  <c r="CL71" i="31" s="1"/>
  <c r="B41" i="25"/>
  <c r="CK49" i="31" s="1"/>
  <c r="CK71" i="31" s="1"/>
  <c r="A41" i="25"/>
  <c r="CJ49" i="31" s="1"/>
  <c r="CJ60" i="31" s="1"/>
  <c r="CJ71" i="31" s="1"/>
  <c r="Y40" i="25"/>
  <c r="DH48" i="31" s="1"/>
  <c r="DH70" i="31" s="1"/>
  <c r="X40" i="25"/>
  <c r="DG48" i="31" s="1"/>
  <c r="DG70" i="31" s="1"/>
  <c r="W40" i="25"/>
  <c r="DF48" i="31" s="1"/>
  <c r="DF70" i="31" s="1"/>
  <c r="V40" i="25"/>
  <c r="DE48" i="31" s="1"/>
  <c r="DE70" i="31" s="1"/>
  <c r="U40" i="25"/>
  <c r="DD48" i="31" s="1"/>
  <c r="DD70" i="31" s="1"/>
  <c r="T40" i="25"/>
  <c r="DC48" i="31" s="1"/>
  <c r="DC70" i="31" s="1"/>
  <c r="S40" i="25"/>
  <c r="DB48" i="31" s="1"/>
  <c r="DB70" i="31" s="1"/>
  <c r="R40" i="25"/>
  <c r="DA48" i="31" s="1"/>
  <c r="DA70" i="31" s="1"/>
  <c r="Q40" i="25"/>
  <c r="CZ48" i="31" s="1"/>
  <c r="CZ70" i="31" s="1"/>
  <c r="P40" i="25"/>
  <c r="CY48" i="31" s="1"/>
  <c r="CY70" i="31" s="1"/>
  <c r="O40" i="25"/>
  <c r="CX48" i="31" s="1"/>
  <c r="CX70" i="31" s="1"/>
  <c r="N40" i="25"/>
  <c r="CW48" i="31" s="1"/>
  <c r="CW70" i="31" s="1"/>
  <c r="M40" i="25"/>
  <c r="CV48" i="31" s="1"/>
  <c r="CV70" i="31" s="1"/>
  <c r="L40" i="25"/>
  <c r="CU48" i="31" s="1"/>
  <c r="CU70" i="31" s="1"/>
  <c r="K40" i="25"/>
  <c r="CT48" i="31" s="1"/>
  <c r="CT70" i="31" s="1"/>
  <c r="J40" i="25"/>
  <c r="CS48" i="31" s="1"/>
  <c r="CS70" i="31" s="1"/>
  <c r="I40" i="25"/>
  <c r="CR48" i="31" s="1"/>
  <c r="CR70" i="31" s="1"/>
  <c r="H40" i="25"/>
  <c r="CQ48" i="31" s="1"/>
  <c r="CQ70" i="31" s="1"/>
  <c r="G40" i="25"/>
  <c r="CP48" i="31" s="1"/>
  <c r="CP70" i="31" s="1"/>
  <c r="F40" i="25"/>
  <c r="CO48" i="31" s="1"/>
  <c r="CO70" i="31" s="1"/>
  <c r="E40" i="25"/>
  <c r="CN48" i="31" s="1"/>
  <c r="CN70" i="31" s="1"/>
  <c r="D40" i="25"/>
  <c r="CM48" i="31" s="1"/>
  <c r="CM70" i="31" s="1"/>
  <c r="C40" i="25"/>
  <c r="CL48" i="31" s="1"/>
  <c r="CL70" i="31" s="1"/>
  <c r="B40" i="25"/>
  <c r="CK48" i="31" s="1"/>
  <c r="CK70" i="31" s="1"/>
  <c r="A40" i="25"/>
  <c r="CJ48" i="31" s="1"/>
  <c r="CJ59" i="31" s="1"/>
  <c r="CJ70" i="31" s="1"/>
  <c r="Y39" i="25"/>
  <c r="DH47" i="31" s="1"/>
  <c r="DH69" i="31" s="1"/>
  <c r="X39" i="25"/>
  <c r="DG47" i="31" s="1"/>
  <c r="DG69" i="31" s="1"/>
  <c r="W39" i="25"/>
  <c r="DF47" i="31" s="1"/>
  <c r="DF69" i="31" s="1"/>
  <c r="V39" i="25"/>
  <c r="DE47" i="31" s="1"/>
  <c r="DE69" i="31" s="1"/>
  <c r="U39" i="25"/>
  <c r="DD47" i="31" s="1"/>
  <c r="DD69" i="31" s="1"/>
  <c r="T39" i="25"/>
  <c r="DC47" i="31" s="1"/>
  <c r="DC69" i="31" s="1"/>
  <c r="S39" i="25"/>
  <c r="DB47" i="31" s="1"/>
  <c r="DB69" i="31" s="1"/>
  <c r="R39" i="25"/>
  <c r="DA47" i="31" s="1"/>
  <c r="DA69" i="31" s="1"/>
  <c r="Q39" i="25"/>
  <c r="CZ47" i="31" s="1"/>
  <c r="CZ69" i="31" s="1"/>
  <c r="P39" i="25"/>
  <c r="CY47" i="31" s="1"/>
  <c r="CY69" i="31" s="1"/>
  <c r="O39" i="25"/>
  <c r="CX47" i="31" s="1"/>
  <c r="CX69" i="31" s="1"/>
  <c r="N39" i="25"/>
  <c r="CW47" i="31" s="1"/>
  <c r="CW69" i="31" s="1"/>
  <c r="M39" i="25"/>
  <c r="CV47" i="31" s="1"/>
  <c r="CV69" i="31" s="1"/>
  <c r="L39" i="25"/>
  <c r="CU47" i="31" s="1"/>
  <c r="CU69" i="31" s="1"/>
  <c r="K39" i="25"/>
  <c r="CT47" i="31" s="1"/>
  <c r="CT69" i="31" s="1"/>
  <c r="J39" i="25"/>
  <c r="CS47" i="31" s="1"/>
  <c r="CS69" i="31" s="1"/>
  <c r="I39" i="25"/>
  <c r="CR47" i="31" s="1"/>
  <c r="CR69" i="31" s="1"/>
  <c r="H39" i="25"/>
  <c r="CQ47" i="31" s="1"/>
  <c r="CQ69" i="31" s="1"/>
  <c r="G39" i="25"/>
  <c r="CP47" i="31" s="1"/>
  <c r="CP69" i="31" s="1"/>
  <c r="F39" i="25"/>
  <c r="CO47" i="31" s="1"/>
  <c r="CO69" i="31" s="1"/>
  <c r="E39" i="25"/>
  <c r="CN47" i="31" s="1"/>
  <c r="CN69" i="31" s="1"/>
  <c r="D39" i="25"/>
  <c r="CM47" i="31" s="1"/>
  <c r="CM69" i="31" s="1"/>
  <c r="C39" i="25"/>
  <c r="CL47" i="31" s="1"/>
  <c r="CL69" i="31" s="1"/>
  <c r="B39" i="25"/>
  <c r="CK47" i="31" s="1"/>
  <c r="CK69" i="31" s="1"/>
  <c r="A39" i="25"/>
  <c r="CJ47" i="31" s="1"/>
  <c r="CJ58" i="31" s="1"/>
  <c r="CJ69" i="31" s="1"/>
  <c r="A36" i="25"/>
  <c r="A35" i="25"/>
  <c r="A34" i="25"/>
  <c r="A33" i="25"/>
  <c r="A32" i="25"/>
  <c r="AH31" i="25"/>
  <c r="AK31" i="25" s="1"/>
  <c r="A31" i="25"/>
  <c r="AH30" i="25"/>
  <c r="AK30" i="25" s="1"/>
  <c r="A30" i="25"/>
  <c r="AH29" i="25"/>
  <c r="AK29" i="25" s="1"/>
  <c r="A29" i="25"/>
  <c r="AH28" i="25"/>
  <c r="A28" i="25"/>
  <c r="AH27" i="25"/>
  <c r="A27" i="25"/>
  <c r="AH26" i="25"/>
  <c r="AH25" i="25"/>
  <c r="AH24" i="25"/>
  <c r="AH23" i="25"/>
  <c r="AH22" i="25"/>
  <c r="AK22" i="25" s="1"/>
  <c r="AH21" i="25"/>
  <c r="AK21" i="25" s="1"/>
  <c r="AH20" i="25"/>
  <c r="AK20" i="25" s="1"/>
  <c r="AH19" i="25"/>
  <c r="AK19" i="25" s="1"/>
  <c r="AH18" i="25"/>
  <c r="Y101" i="25"/>
  <c r="AA3" i="25"/>
  <c r="Y210" i="24"/>
  <c r="X210" i="24"/>
  <c r="W210" i="24"/>
  <c r="V210" i="24"/>
  <c r="U210" i="24"/>
  <c r="T210" i="24"/>
  <c r="S210" i="24"/>
  <c r="R210" i="24"/>
  <c r="Q210" i="24"/>
  <c r="P210" i="24"/>
  <c r="O210" i="24"/>
  <c r="N210" i="24"/>
  <c r="M210" i="24"/>
  <c r="L210" i="24"/>
  <c r="K210" i="24"/>
  <c r="J210" i="24"/>
  <c r="I210" i="24"/>
  <c r="H210" i="24"/>
  <c r="G210" i="24"/>
  <c r="F210" i="24"/>
  <c r="E210" i="24"/>
  <c r="D210" i="24"/>
  <c r="C210" i="24"/>
  <c r="B210" i="24"/>
  <c r="A210" i="24"/>
  <c r="Y209" i="24"/>
  <c r="X209" i="24"/>
  <c r="W209" i="24"/>
  <c r="V209" i="24"/>
  <c r="U209" i="24"/>
  <c r="T209" i="24"/>
  <c r="S209" i="24"/>
  <c r="R209" i="24"/>
  <c r="Q209" i="24"/>
  <c r="P209" i="24"/>
  <c r="O209" i="24"/>
  <c r="N209" i="24"/>
  <c r="M209" i="24"/>
  <c r="L209" i="24"/>
  <c r="K209" i="24"/>
  <c r="J209" i="24"/>
  <c r="I209" i="24"/>
  <c r="H209" i="24"/>
  <c r="G209" i="24"/>
  <c r="F209" i="24"/>
  <c r="E209" i="24"/>
  <c r="D209" i="24"/>
  <c r="C209" i="24"/>
  <c r="B209" i="24"/>
  <c r="A209" i="24"/>
  <c r="Y208" i="24"/>
  <c r="X208" i="24"/>
  <c r="W208" i="24"/>
  <c r="V208" i="24"/>
  <c r="U208" i="24"/>
  <c r="T208" i="24"/>
  <c r="S208" i="24"/>
  <c r="R208" i="24"/>
  <c r="Q208" i="24"/>
  <c r="P208" i="24"/>
  <c r="O208" i="24"/>
  <c r="N208" i="24"/>
  <c r="M208" i="24"/>
  <c r="L208" i="24"/>
  <c r="K208" i="24"/>
  <c r="J208" i="24"/>
  <c r="I208" i="24"/>
  <c r="H208" i="24"/>
  <c r="G208" i="24"/>
  <c r="F208" i="24"/>
  <c r="E208" i="24"/>
  <c r="D208" i="24"/>
  <c r="C208" i="24"/>
  <c r="B208" i="24"/>
  <c r="A208" i="24"/>
  <c r="Y207" i="24"/>
  <c r="X207" i="24"/>
  <c r="W207" i="24"/>
  <c r="V207" i="24"/>
  <c r="U207" i="24"/>
  <c r="T207" i="24"/>
  <c r="S207" i="24"/>
  <c r="R207" i="24"/>
  <c r="Q207" i="24"/>
  <c r="P207" i="24"/>
  <c r="O207" i="24"/>
  <c r="N207" i="24"/>
  <c r="M207" i="24"/>
  <c r="L207" i="24"/>
  <c r="K207" i="24"/>
  <c r="J207" i="24"/>
  <c r="I207" i="24"/>
  <c r="H207" i="24"/>
  <c r="G207" i="24"/>
  <c r="F207" i="24"/>
  <c r="E207" i="24"/>
  <c r="D207" i="24"/>
  <c r="C207" i="24"/>
  <c r="B207" i="24"/>
  <c r="A207" i="24"/>
  <c r="Y206" i="24"/>
  <c r="X206" i="24"/>
  <c r="W206" i="24"/>
  <c r="V206" i="24"/>
  <c r="U206" i="24"/>
  <c r="T206" i="24"/>
  <c r="S206" i="24"/>
  <c r="R206" i="24"/>
  <c r="Q206" i="24"/>
  <c r="P206" i="24"/>
  <c r="O206" i="24"/>
  <c r="N206" i="24"/>
  <c r="M206" i="24"/>
  <c r="L206" i="24"/>
  <c r="K206" i="24"/>
  <c r="J206" i="24"/>
  <c r="I206" i="24"/>
  <c r="H206" i="24"/>
  <c r="G206" i="24"/>
  <c r="F206" i="24"/>
  <c r="E206" i="24"/>
  <c r="D206" i="24"/>
  <c r="C206" i="24"/>
  <c r="B206" i="24"/>
  <c r="A206" i="24"/>
  <c r="Y205" i="24"/>
  <c r="X205" i="24"/>
  <c r="W205" i="24"/>
  <c r="V205" i="24"/>
  <c r="U205" i="24"/>
  <c r="T205" i="24"/>
  <c r="S205" i="24"/>
  <c r="R205" i="24"/>
  <c r="Q205" i="24"/>
  <c r="P205" i="24"/>
  <c r="O205" i="24"/>
  <c r="N205" i="24"/>
  <c r="M205" i="24"/>
  <c r="L205" i="24"/>
  <c r="K205" i="24"/>
  <c r="J205" i="24"/>
  <c r="I205" i="24"/>
  <c r="H205" i="24"/>
  <c r="G205" i="24"/>
  <c r="F205" i="24"/>
  <c r="E205" i="24"/>
  <c r="D205" i="24"/>
  <c r="C205" i="24"/>
  <c r="B205" i="24"/>
  <c r="A205" i="24"/>
  <c r="Y204" i="24"/>
  <c r="X204" i="24"/>
  <c r="W204" i="24"/>
  <c r="V204" i="24"/>
  <c r="U204" i="24"/>
  <c r="T204" i="24"/>
  <c r="S204" i="24"/>
  <c r="R204" i="24"/>
  <c r="Q204" i="24"/>
  <c r="P204" i="24"/>
  <c r="O204" i="24"/>
  <c r="N204" i="24"/>
  <c r="M204" i="24"/>
  <c r="L204" i="24"/>
  <c r="K204" i="24"/>
  <c r="J204" i="24"/>
  <c r="I204" i="24"/>
  <c r="H204" i="24"/>
  <c r="G204" i="24"/>
  <c r="F204" i="24"/>
  <c r="E204" i="24"/>
  <c r="D204" i="24"/>
  <c r="C204" i="24"/>
  <c r="B204" i="24"/>
  <c r="A204" i="24"/>
  <c r="Y203" i="24"/>
  <c r="X203" i="24"/>
  <c r="W203" i="24"/>
  <c r="V203" i="24"/>
  <c r="U203" i="24"/>
  <c r="T203" i="24"/>
  <c r="S203" i="24"/>
  <c r="R203" i="24"/>
  <c r="Q203" i="24"/>
  <c r="P203" i="24"/>
  <c r="O203" i="24"/>
  <c r="N203" i="24"/>
  <c r="M203" i="24"/>
  <c r="L203" i="24"/>
  <c r="K203" i="24"/>
  <c r="J203" i="24"/>
  <c r="I203" i="24"/>
  <c r="H203" i="24"/>
  <c r="G203" i="24"/>
  <c r="F203" i="24"/>
  <c r="E203" i="24"/>
  <c r="D203" i="24"/>
  <c r="C203" i="24"/>
  <c r="B203" i="24"/>
  <c r="A203" i="24"/>
  <c r="Y202" i="24"/>
  <c r="X202" i="24"/>
  <c r="W202" i="24"/>
  <c r="V202" i="24"/>
  <c r="U202" i="24"/>
  <c r="T202" i="24"/>
  <c r="S202" i="24"/>
  <c r="R202" i="24"/>
  <c r="Q202" i="24"/>
  <c r="P202" i="24"/>
  <c r="O202" i="24"/>
  <c r="N202" i="24"/>
  <c r="M202" i="24"/>
  <c r="L202" i="24"/>
  <c r="K202" i="24"/>
  <c r="J202" i="24"/>
  <c r="I202" i="24"/>
  <c r="H202" i="24"/>
  <c r="G202" i="24"/>
  <c r="F202" i="24"/>
  <c r="E202" i="24"/>
  <c r="D202" i="24"/>
  <c r="C202" i="24"/>
  <c r="B202" i="24"/>
  <c r="A202" i="24"/>
  <c r="Y201" i="24"/>
  <c r="X201" i="24"/>
  <c r="W201" i="24"/>
  <c r="V201" i="24"/>
  <c r="U201" i="24"/>
  <c r="T201" i="24"/>
  <c r="S201" i="24"/>
  <c r="K201" i="24"/>
  <c r="J201" i="24"/>
  <c r="I201" i="24"/>
  <c r="H201" i="24"/>
  <c r="G201" i="24"/>
  <c r="F201" i="24"/>
  <c r="E201" i="24"/>
  <c r="D201" i="24"/>
  <c r="C201" i="24"/>
  <c r="B201" i="24"/>
  <c r="A201" i="24"/>
  <c r="Y197" i="24"/>
  <c r="X197" i="24"/>
  <c r="W197" i="24"/>
  <c r="V197" i="24"/>
  <c r="U197" i="24"/>
  <c r="T197" i="24"/>
  <c r="S197" i="24"/>
  <c r="R197" i="24"/>
  <c r="Q197" i="24"/>
  <c r="P197" i="24"/>
  <c r="O197" i="24"/>
  <c r="N197" i="24"/>
  <c r="M197" i="24"/>
  <c r="L197" i="24"/>
  <c r="K197" i="24"/>
  <c r="J197" i="24"/>
  <c r="I197" i="24"/>
  <c r="H197" i="24"/>
  <c r="G197" i="24"/>
  <c r="F197" i="24"/>
  <c r="E197" i="24"/>
  <c r="D197" i="24"/>
  <c r="C197" i="24"/>
  <c r="B197" i="24"/>
  <c r="A197" i="24"/>
  <c r="Y196" i="24"/>
  <c r="X196" i="24"/>
  <c r="W196" i="24"/>
  <c r="V196" i="24"/>
  <c r="U196" i="24"/>
  <c r="T196" i="24"/>
  <c r="S196" i="24"/>
  <c r="R196" i="24"/>
  <c r="Q196" i="24"/>
  <c r="P196" i="24"/>
  <c r="O196" i="24"/>
  <c r="N196" i="24"/>
  <c r="M196" i="24"/>
  <c r="L196" i="24"/>
  <c r="K196" i="24"/>
  <c r="J196" i="24"/>
  <c r="I196" i="24"/>
  <c r="H196" i="24"/>
  <c r="G196" i="24"/>
  <c r="F196" i="24"/>
  <c r="E196" i="24"/>
  <c r="D196" i="24"/>
  <c r="C196" i="24"/>
  <c r="B196" i="24"/>
  <c r="A196" i="24"/>
  <c r="Y195" i="24"/>
  <c r="X195" i="24"/>
  <c r="W195" i="24"/>
  <c r="V195" i="24"/>
  <c r="U195" i="24"/>
  <c r="T195" i="24"/>
  <c r="S195" i="24"/>
  <c r="R195" i="24"/>
  <c r="Q195" i="24"/>
  <c r="P195" i="24"/>
  <c r="O195" i="24"/>
  <c r="N195" i="24"/>
  <c r="M195" i="24"/>
  <c r="L195" i="24"/>
  <c r="K195" i="24"/>
  <c r="J195" i="24"/>
  <c r="I195" i="24"/>
  <c r="H195" i="24"/>
  <c r="G195" i="24"/>
  <c r="F195" i="24"/>
  <c r="E195" i="24"/>
  <c r="D195" i="24"/>
  <c r="C195" i="24"/>
  <c r="B195" i="24"/>
  <c r="A195" i="24"/>
  <c r="Y194" i="24"/>
  <c r="X194" i="24"/>
  <c r="W194" i="24"/>
  <c r="V194" i="24"/>
  <c r="U194" i="24"/>
  <c r="T194" i="24"/>
  <c r="S194" i="24"/>
  <c r="R194" i="24"/>
  <c r="Q194" i="24"/>
  <c r="P194" i="24"/>
  <c r="O194" i="24"/>
  <c r="N194" i="24"/>
  <c r="M194" i="24"/>
  <c r="L194" i="24"/>
  <c r="K194" i="24"/>
  <c r="J194" i="24"/>
  <c r="I194" i="24"/>
  <c r="H194" i="24"/>
  <c r="G194" i="24"/>
  <c r="F194" i="24"/>
  <c r="E194" i="24"/>
  <c r="D194" i="24"/>
  <c r="C194" i="24"/>
  <c r="B194" i="24"/>
  <c r="A194" i="24"/>
  <c r="Y193" i="24"/>
  <c r="X193" i="24"/>
  <c r="W193" i="24"/>
  <c r="V193" i="24"/>
  <c r="U193" i="24"/>
  <c r="T193" i="24"/>
  <c r="S193" i="24"/>
  <c r="R193" i="24"/>
  <c r="Q193" i="24"/>
  <c r="P193" i="24"/>
  <c r="O193" i="24"/>
  <c r="N193" i="24"/>
  <c r="M193" i="24"/>
  <c r="L193" i="24"/>
  <c r="K193" i="24"/>
  <c r="J193" i="24"/>
  <c r="I193" i="24"/>
  <c r="H193" i="24"/>
  <c r="G193" i="24"/>
  <c r="F193" i="24"/>
  <c r="E193" i="24"/>
  <c r="D193" i="24"/>
  <c r="C193" i="24"/>
  <c r="B193" i="24"/>
  <c r="A193" i="24"/>
  <c r="Y192" i="24"/>
  <c r="X192" i="24"/>
  <c r="W192" i="24"/>
  <c r="V192" i="24"/>
  <c r="U192" i="24"/>
  <c r="T192" i="24"/>
  <c r="S192" i="24"/>
  <c r="R192" i="24"/>
  <c r="Q192" i="24"/>
  <c r="P192" i="24"/>
  <c r="O192" i="24"/>
  <c r="N192" i="24"/>
  <c r="M192" i="24"/>
  <c r="L192" i="24"/>
  <c r="K192" i="24"/>
  <c r="J192" i="24"/>
  <c r="I192" i="24"/>
  <c r="H192" i="24"/>
  <c r="G192" i="24"/>
  <c r="F192" i="24"/>
  <c r="E192" i="24"/>
  <c r="D192" i="24"/>
  <c r="C192" i="24"/>
  <c r="B192" i="24"/>
  <c r="A192" i="24"/>
  <c r="Y191" i="24"/>
  <c r="X191" i="24"/>
  <c r="W191" i="24"/>
  <c r="V191" i="24"/>
  <c r="U191" i="24"/>
  <c r="T191" i="24"/>
  <c r="S191" i="24"/>
  <c r="R191" i="24"/>
  <c r="Q191" i="24"/>
  <c r="P191" i="24"/>
  <c r="O191" i="24"/>
  <c r="N191" i="24"/>
  <c r="M191" i="24"/>
  <c r="L191" i="24"/>
  <c r="K191" i="24"/>
  <c r="J191" i="24"/>
  <c r="I191" i="24"/>
  <c r="H191" i="24"/>
  <c r="G191" i="24"/>
  <c r="F191" i="24"/>
  <c r="E191" i="24"/>
  <c r="D191" i="24"/>
  <c r="C191" i="24"/>
  <c r="B191" i="24"/>
  <c r="A191" i="24"/>
  <c r="Y190" i="24"/>
  <c r="X190" i="24"/>
  <c r="W190" i="24"/>
  <c r="V190" i="24"/>
  <c r="U190" i="24"/>
  <c r="T190" i="24"/>
  <c r="S190" i="24"/>
  <c r="R190" i="24"/>
  <c r="Q190" i="24"/>
  <c r="P190" i="24"/>
  <c r="O190" i="24"/>
  <c r="N190" i="24"/>
  <c r="M190" i="24"/>
  <c r="L190" i="24"/>
  <c r="K190" i="24"/>
  <c r="J190" i="24"/>
  <c r="I190" i="24"/>
  <c r="H190" i="24"/>
  <c r="G190" i="24"/>
  <c r="F190" i="24"/>
  <c r="E190" i="24"/>
  <c r="D190" i="24"/>
  <c r="C190" i="24"/>
  <c r="B190" i="24"/>
  <c r="A190" i="24"/>
  <c r="Y189" i="24"/>
  <c r="X189" i="24"/>
  <c r="W189" i="24"/>
  <c r="V189" i="24"/>
  <c r="U189" i="24"/>
  <c r="T189" i="24"/>
  <c r="S189" i="24"/>
  <c r="R189" i="24"/>
  <c r="Q189" i="24"/>
  <c r="P189" i="24"/>
  <c r="O189" i="24"/>
  <c r="N189" i="24"/>
  <c r="M189" i="24"/>
  <c r="L189" i="24"/>
  <c r="K189" i="24"/>
  <c r="J189" i="24"/>
  <c r="I189" i="24"/>
  <c r="H189" i="24"/>
  <c r="G189" i="24"/>
  <c r="F189" i="24"/>
  <c r="E189" i="24"/>
  <c r="D189" i="24"/>
  <c r="C189" i="24"/>
  <c r="B189" i="24"/>
  <c r="A189" i="24"/>
  <c r="Y188" i="24"/>
  <c r="X188" i="24"/>
  <c r="W188" i="24"/>
  <c r="V188" i="24"/>
  <c r="U188" i="24"/>
  <c r="T188" i="24"/>
  <c r="S188" i="24"/>
  <c r="R188" i="24"/>
  <c r="Q188" i="24"/>
  <c r="P188" i="24"/>
  <c r="O188" i="24"/>
  <c r="N188" i="24"/>
  <c r="M188" i="24"/>
  <c r="L188" i="24"/>
  <c r="K188" i="24"/>
  <c r="J188" i="24"/>
  <c r="I188" i="24"/>
  <c r="H188" i="24"/>
  <c r="G188" i="24"/>
  <c r="F188" i="24"/>
  <c r="E188" i="24"/>
  <c r="D188" i="24"/>
  <c r="C188" i="24"/>
  <c r="B188" i="24"/>
  <c r="A188" i="24"/>
  <c r="Y184" i="24"/>
  <c r="X184" i="24"/>
  <c r="W184" i="24"/>
  <c r="V184" i="24"/>
  <c r="U184" i="24"/>
  <c r="T184" i="24"/>
  <c r="S184" i="24"/>
  <c r="R184" i="24"/>
  <c r="Q184" i="24"/>
  <c r="P184" i="24"/>
  <c r="O184" i="24"/>
  <c r="N184" i="24"/>
  <c r="M184" i="24"/>
  <c r="L184" i="24"/>
  <c r="K184" i="24"/>
  <c r="J184" i="24"/>
  <c r="I184" i="24"/>
  <c r="H184" i="24"/>
  <c r="G184" i="24"/>
  <c r="F184" i="24"/>
  <c r="E184" i="24"/>
  <c r="D184" i="24"/>
  <c r="C184" i="24"/>
  <c r="B184" i="24"/>
  <c r="A184" i="24"/>
  <c r="Y183" i="24"/>
  <c r="X183" i="24"/>
  <c r="W183" i="24"/>
  <c r="V183" i="24"/>
  <c r="U183" i="24"/>
  <c r="T183" i="24"/>
  <c r="S183" i="24"/>
  <c r="R183" i="24"/>
  <c r="Q183" i="24"/>
  <c r="P183" i="24"/>
  <c r="O183" i="24"/>
  <c r="N183" i="24"/>
  <c r="M183" i="24"/>
  <c r="L183" i="24"/>
  <c r="K183" i="24"/>
  <c r="J183" i="24"/>
  <c r="I183" i="24"/>
  <c r="H183" i="24"/>
  <c r="G183" i="24"/>
  <c r="F183" i="24"/>
  <c r="E183" i="24"/>
  <c r="D183" i="24"/>
  <c r="C183" i="24"/>
  <c r="B183" i="24"/>
  <c r="A183" i="24"/>
  <c r="Y182" i="24"/>
  <c r="X182" i="24"/>
  <c r="W182" i="24"/>
  <c r="V182" i="24"/>
  <c r="U182" i="24"/>
  <c r="T182" i="24"/>
  <c r="S182" i="24"/>
  <c r="R182" i="24"/>
  <c r="Q182" i="24"/>
  <c r="P182" i="24"/>
  <c r="O182" i="24"/>
  <c r="N182" i="24"/>
  <c r="M182" i="24"/>
  <c r="L182" i="24"/>
  <c r="K182" i="24"/>
  <c r="J182" i="24"/>
  <c r="I182" i="24"/>
  <c r="H182" i="24"/>
  <c r="G182" i="24"/>
  <c r="F182" i="24"/>
  <c r="E182" i="24"/>
  <c r="D182" i="24"/>
  <c r="C182" i="24"/>
  <c r="B182" i="24"/>
  <c r="A182" i="24"/>
  <c r="Y181" i="24"/>
  <c r="X181" i="24"/>
  <c r="W181" i="24"/>
  <c r="V181" i="24"/>
  <c r="U181" i="24"/>
  <c r="T181" i="24"/>
  <c r="S181" i="24"/>
  <c r="R181" i="24"/>
  <c r="Q181" i="24"/>
  <c r="P181" i="24"/>
  <c r="O181" i="24"/>
  <c r="N181" i="24"/>
  <c r="M181" i="24"/>
  <c r="L181" i="24"/>
  <c r="K181" i="24"/>
  <c r="J181" i="24"/>
  <c r="I181" i="24"/>
  <c r="H181" i="24"/>
  <c r="G181" i="24"/>
  <c r="F181" i="24"/>
  <c r="E181" i="24"/>
  <c r="D181" i="24"/>
  <c r="C181" i="24"/>
  <c r="B181" i="24"/>
  <c r="A181" i="24"/>
  <c r="Y180" i="24"/>
  <c r="X180" i="24"/>
  <c r="W180" i="24"/>
  <c r="V180" i="24"/>
  <c r="U180" i="24"/>
  <c r="T180" i="24"/>
  <c r="S180" i="24"/>
  <c r="R180" i="24"/>
  <c r="Q180" i="24"/>
  <c r="P180" i="24"/>
  <c r="O180" i="24"/>
  <c r="N180" i="24"/>
  <c r="M180" i="24"/>
  <c r="L180" i="24"/>
  <c r="K180" i="24"/>
  <c r="J180" i="24"/>
  <c r="I180" i="24"/>
  <c r="H180" i="24"/>
  <c r="G180" i="24"/>
  <c r="F180" i="24"/>
  <c r="E180" i="24"/>
  <c r="D180" i="24"/>
  <c r="C180" i="24"/>
  <c r="B180" i="24"/>
  <c r="A180" i="24"/>
  <c r="Y179" i="24"/>
  <c r="X179" i="24"/>
  <c r="W179" i="24"/>
  <c r="V179" i="24"/>
  <c r="U179" i="24"/>
  <c r="T179" i="24"/>
  <c r="S179" i="24"/>
  <c r="R179" i="24"/>
  <c r="Q179" i="24"/>
  <c r="P179" i="24"/>
  <c r="O179" i="24"/>
  <c r="N179" i="24"/>
  <c r="M179" i="24"/>
  <c r="L179" i="24"/>
  <c r="K179" i="24"/>
  <c r="J179" i="24"/>
  <c r="I179" i="24"/>
  <c r="H179" i="24"/>
  <c r="G179" i="24"/>
  <c r="F179" i="24"/>
  <c r="E179" i="24"/>
  <c r="D179" i="24"/>
  <c r="C179" i="24"/>
  <c r="B179" i="24"/>
  <c r="A179" i="24"/>
  <c r="Y178" i="24"/>
  <c r="X178" i="24"/>
  <c r="W178" i="24"/>
  <c r="V178" i="24"/>
  <c r="U178" i="24"/>
  <c r="T178" i="24"/>
  <c r="S178" i="24"/>
  <c r="R178" i="24"/>
  <c r="Q178" i="24"/>
  <c r="P178" i="24"/>
  <c r="O178" i="24"/>
  <c r="N178" i="24"/>
  <c r="M178" i="24"/>
  <c r="L178" i="24"/>
  <c r="K178" i="24"/>
  <c r="J178" i="24"/>
  <c r="I178" i="24"/>
  <c r="H178" i="24"/>
  <c r="G178" i="24"/>
  <c r="F178" i="24"/>
  <c r="E178" i="24"/>
  <c r="D178" i="24"/>
  <c r="C178" i="24"/>
  <c r="B178" i="24"/>
  <c r="A178" i="24"/>
  <c r="Y177" i="24"/>
  <c r="X177" i="24"/>
  <c r="W177" i="24"/>
  <c r="V177" i="24"/>
  <c r="U177" i="24"/>
  <c r="T177" i="24"/>
  <c r="S177" i="24"/>
  <c r="R177" i="24"/>
  <c r="Q177" i="24"/>
  <c r="P177" i="24"/>
  <c r="O177" i="24"/>
  <c r="N177" i="24"/>
  <c r="M177" i="24"/>
  <c r="L177" i="24"/>
  <c r="K177" i="24"/>
  <c r="J177" i="24"/>
  <c r="I177" i="24"/>
  <c r="H177" i="24"/>
  <c r="G177" i="24"/>
  <c r="F177" i="24"/>
  <c r="E177" i="24"/>
  <c r="D177" i="24"/>
  <c r="C177" i="24"/>
  <c r="B177" i="24"/>
  <c r="A177" i="24"/>
  <c r="Y176" i="24"/>
  <c r="X176" i="24"/>
  <c r="W176" i="24"/>
  <c r="V176" i="24"/>
  <c r="U176" i="24"/>
  <c r="T176" i="24"/>
  <c r="S176" i="24"/>
  <c r="R176" i="24"/>
  <c r="Q176" i="24"/>
  <c r="P176" i="24"/>
  <c r="O176" i="24"/>
  <c r="N176" i="24"/>
  <c r="M176" i="24"/>
  <c r="L176" i="24"/>
  <c r="K176" i="24"/>
  <c r="J176" i="24"/>
  <c r="I176" i="24"/>
  <c r="H176" i="24"/>
  <c r="G176" i="24"/>
  <c r="F176" i="24"/>
  <c r="E176" i="24"/>
  <c r="D176" i="24"/>
  <c r="C176" i="24"/>
  <c r="B176" i="24"/>
  <c r="A176" i="24"/>
  <c r="R175" i="24"/>
  <c r="Q175" i="24"/>
  <c r="P175" i="24"/>
  <c r="O175" i="24"/>
  <c r="N175" i="24"/>
  <c r="M175" i="24"/>
  <c r="L175" i="24"/>
  <c r="I175" i="24"/>
  <c r="H175" i="24"/>
  <c r="G175" i="24"/>
  <c r="F175" i="24"/>
  <c r="E175" i="24"/>
  <c r="D175" i="24"/>
  <c r="C175" i="24"/>
  <c r="B175" i="24"/>
  <c r="A175" i="24"/>
  <c r="Y171" i="24"/>
  <c r="X171" i="24"/>
  <c r="W171" i="24"/>
  <c r="V171" i="24"/>
  <c r="U171" i="24"/>
  <c r="T171" i="24"/>
  <c r="S171" i="24"/>
  <c r="R171" i="24"/>
  <c r="Q171" i="24"/>
  <c r="P171" i="24"/>
  <c r="O171" i="24"/>
  <c r="N171" i="24"/>
  <c r="M171" i="24"/>
  <c r="L171" i="24"/>
  <c r="K171" i="24"/>
  <c r="J171" i="24"/>
  <c r="I171" i="24"/>
  <c r="H171" i="24"/>
  <c r="G171" i="24"/>
  <c r="F171" i="24"/>
  <c r="E171" i="24"/>
  <c r="D171" i="24"/>
  <c r="C171" i="24"/>
  <c r="B171" i="24"/>
  <c r="A171" i="24"/>
  <c r="Y170" i="24"/>
  <c r="X170" i="24"/>
  <c r="W170" i="24"/>
  <c r="V170" i="24"/>
  <c r="U170" i="24"/>
  <c r="T170" i="24"/>
  <c r="S170" i="24"/>
  <c r="R170" i="24"/>
  <c r="Q170" i="24"/>
  <c r="P170" i="24"/>
  <c r="O170" i="24"/>
  <c r="N170" i="24"/>
  <c r="M170" i="24"/>
  <c r="L170" i="24"/>
  <c r="K170" i="24"/>
  <c r="J170" i="24"/>
  <c r="I170" i="24"/>
  <c r="H170" i="24"/>
  <c r="G170" i="24"/>
  <c r="F170" i="24"/>
  <c r="E170" i="24"/>
  <c r="D170" i="24"/>
  <c r="C170" i="24"/>
  <c r="B170" i="24"/>
  <c r="A170" i="24"/>
  <c r="Y169" i="24"/>
  <c r="X169" i="24"/>
  <c r="W169" i="24"/>
  <c r="V169" i="24"/>
  <c r="U169" i="24"/>
  <c r="T169" i="24"/>
  <c r="S169" i="24"/>
  <c r="R169" i="24"/>
  <c r="Q169" i="24"/>
  <c r="P169" i="24"/>
  <c r="O169" i="24"/>
  <c r="N169" i="24"/>
  <c r="M169" i="24"/>
  <c r="L169" i="24"/>
  <c r="K169" i="24"/>
  <c r="J169" i="24"/>
  <c r="I169" i="24"/>
  <c r="H169" i="24"/>
  <c r="G169" i="24"/>
  <c r="F169" i="24"/>
  <c r="E169" i="24"/>
  <c r="D169" i="24"/>
  <c r="C169" i="24"/>
  <c r="B169" i="24"/>
  <c r="A169" i="24"/>
  <c r="Y168" i="24"/>
  <c r="X168" i="24"/>
  <c r="W168" i="24"/>
  <c r="V168" i="24"/>
  <c r="U168" i="24"/>
  <c r="T168" i="24"/>
  <c r="S168" i="24"/>
  <c r="R168" i="24"/>
  <c r="Q168" i="24"/>
  <c r="P168" i="24"/>
  <c r="O168" i="24"/>
  <c r="N168" i="24"/>
  <c r="M168" i="24"/>
  <c r="L168" i="24"/>
  <c r="K168" i="24"/>
  <c r="J168" i="24"/>
  <c r="I168" i="24"/>
  <c r="H168" i="24"/>
  <c r="G168" i="24"/>
  <c r="F168" i="24"/>
  <c r="E168" i="24"/>
  <c r="D168" i="24"/>
  <c r="C168" i="24"/>
  <c r="B168" i="24"/>
  <c r="A168" i="24"/>
  <c r="Y167" i="24"/>
  <c r="X167" i="24"/>
  <c r="W167" i="24"/>
  <c r="V167" i="24"/>
  <c r="U167" i="24"/>
  <c r="T167" i="24"/>
  <c r="S167" i="24"/>
  <c r="R167" i="24"/>
  <c r="Q167" i="24"/>
  <c r="P167" i="24"/>
  <c r="O167" i="24"/>
  <c r="N167" i="24"/>
  <c r="M167" i="24"/>
  <c r="L167" i="24"/>
  <c r="K167" i="24"/>
  <c r="J167" i="24"/>
  <c r="I167" i="24"/>
  <c r="H167" i="24"/>
  <c r="G167" i="24"/>
  <c r="F167" i="24"/>
  <c r="E167" i="24"/>
  <c r="D167" i="24"/>
  <c r="C167" i="24"/>
  <c r="B167" i="24"/>
  <c r="A167" i="24"/>
  <c r="Y166" i="24"/>
  <c r="X166" i="24"/>
  <c r="W166" i="24"/>
  <c r="V166" i="24"/>
  <c r="U166" i="24"/>
  <c r="T166" i="24"/>
  <c r="S166" i="24"/>
  <c r="R166" i="24"/>
  <c r="Q166" i="24"/>
  <c r="P166" i="24"/>
  <c r="O166" i="24"/>
  <c r="N166" i="24"/>
  <c r="M166" i="24"/>
  <c r="L166" i="24"/>
  <c r="K166" i="24"/>
  <c r="J166" i="24"/>
  <c r="I166" i="24"/>
  <c r="H166" i="24"/>
  <c r="G166" i="24"/>
  <c r="F166" i="24"/>
  <c r="E166" i="24"/>
  <c r="D166" i="24"/>
  <c r="C166" i="24"/>
  <c r="B166" i="24"/>
  <c r="A166" i="24"/>
  <c r="Y165" i="24"/>
  <c r="X165" i="24"/>
  <c r="W165" i="24"/>
  <c r="V165" i="24"/>
  <c r="U165" i="24"/>
  <c r="T165" i="24"/>
  <c r="S165" i="24"/>
  <c r="R165" i="24"/>
  <c r="Q165" i="24"/>
  <c r="P165" i="24"/>
  <c r="O165" i="24"/>
  <c r="N165" i="24"/>
  <c r="M165" i="24"/>
  <c r="L165" i="24"/>
  <c r="K165" i="24"/>
  <c r="J165" i="24"/>
  <c r="I165" i="24"/>
  <c r="H165" i="24"/>
  <c r="G165" i="24"/>
  <c r="F165" i="24"/>
  <c r="E165" i="24"/>
  <c r="D165" i="24"/>
  <c r="C165" i="24"/>
  <c r="B165" i="24"/>
  <c r="A165" i="24"/>
  <c r="Y164" i="24"/>
  <c r="X164" i="24"/>
  <c r="W164" i="24"/>
  <c r="V164" i="24"/>
  <c r="U164" i="24"/>
  <c r="T164" i="24"/>
  <c r="S164" i="24"/>
  <c r="R164" i="24"/>
  <c r="Q164" i="24"/>
  <c r="P164" i="24"/>
  <c r="O164" i="24"/>
  <c r="N164" i="24"/>
  <c r="M164" i="24"/>
  <c r="L164" i="24"/>
  <c r="K164" i="24"/>
  <c r="J164" i="24"/>
  <c r="I164" i="24"/>
  <c r="H164" i="24"/>
  <c r="G164" i="24"/>
  <c r="F164" i="24"/>
  <c r="E164" i="24"/>
  <c r="D164" i="24"/>
  <c r="C164" i="24"/>
  <c r="B164" i="24"/>
  <c r="A164" i="24"/>
  <c r="Y163" i="24"/>
  <c r="X163" i="24"/>
  <c r="W163" i="24"/>
  <c r="V163" i="24"/>
  <c r="U163" i="24"/>
  <c r="T163" i="24"/>
  <c r="S163" i="24"/>
  <c r="R163" i="24"/>
  <c r="Q163" i="24"/>
  <c r="P163" i="24"/>
  <c r="O163" i="24"/>
  <c r="N163" i="24"/>
  <c r="M163" i="24"/>
  <c r="L163" i="24"/>
  <c r="K163" i="24"/>
  <c r="J163" i="24"/>
  <c r="I163" i="24"/>
  <c r="H163" i="24"/>
  <c r="G163" i="24"/>
  <c r="F163" i="24"/>
  <c r="E163" i="24"/>
  <c r="D163" i="24"/>
  <c r="C163" i="24"/>
  <c r="B163" i="24"/>
  <c r="A163" i="24"/>
  <c r="Y162" i="24"/>
  <c r="X162" i="24"/>
  <c r="W162" i="24"/>
  <c r="V162" i="24"/>
  <c r="U162" i="24"/>
  <c r="T162" i="24"/>
  <c r="S162" i="24"/>
  <c r="R162" i="24"/>
  <c r="Q162" i="24"/>
  <c r="P162" i="24"/>
  <c r="O162" i="24"/>
  <c r="N162" i="24"/>
  <c r="M162" i="24"/>
  <c r="L162" i="24"/>
  <c r="K162" i="24"/>
  <c r="J162" i="24"/>
  <c r="G162" i="24"/>
  <c r="F162" i="24"/>
  <c r="E162" i="24"/>
  <c r="D162" i="24"/>
  <c r="C162" i="24"/>
  <c r="B162" i="24"/>
  <c r="A162" i="24"/>
  <c r="A158" i="24"/>
  <c r="A157" i="24"/>
  <c r="A156" i="24"/>
  <c r="A155" i="24"/>
  <c r="A154" i="24"/>
  <c r="A153" i="24"/>
  <c r="A152" i="24"/>
  <c r="A151" i="24"/>
  <c r="A150" i="24"/>
  <c r="A149" i="24"/>
  <c r="A145" i="24"/>
  <c r="A144" i="24"/>
  <c r="A143" i="24"/>
  <c r="A142" i="24"/>
  <c r="A141" i="24"/>
  <c r="A140" i="24"/>
  <c r="A139" i="24"/>
  <c r="A138" i="24"/>
  <c r="A137" i="24"/>
  <c r="A136" i="24"/>
  <c r="A132" i="24"/>
  <c r="A131" i="24"/>
  <c r="A130" i="24"/>
  <c r="A129" i="24"/>
  <c r="A128" i="24"/>
  <c r="A127" i="24"/>
  <c r="A126" i="24"/>
  <c r="A125" i="24"/>
  <c r="A124" i="24"/>
  <c r="A123" i="24"/>
  <c r="A119" i="24"/>
  <c r="A118" i="24"/>
  <c r="A117" i="24"/>
  <c r="A116" i="24"/>
  <c r="A115" i="24"/>
  <c r="A114" i="24"/>
  <c r="A113" i="24"/>
  <c r="A112" i="24"/>
  <c r="A111" i="24"/>
  <c r="A110" i="24"/>
  <c r="A108" i="24"/>
  <c r="A107" i="24"/>
  <c r="A106" i="24"/>
  <c r="A105" i="24"/>
  <c r="A104" i="24"/>
  <c r="A103" i="24"/>
  <c r="A102" i="24"/>
  <c r="A101" i="24"/>
  <c r="A100" i="24"/>
  <c r="A99" i="24"/>
  <c r="A97" i="24"/>
  <c r="A96" i="24"/>
  <c r="A95" i="24"/>
  <c r="A94" i="24"/>
  <c r="A93" i="24"/>
  <c r="A92" i="24"/>
  <c r="A91" i="24"/>
  <c r="A90" i="24"/>
  <c r="A89" i="24"/>
  <c r="A88" i="24"/>
  <c r="A85" i="24"/>
  <c r="G114" i="33" s="1"/>
  <c r="A84" i="24"/>
  <c r="G113" i="33" s="1"/>
  <c r="A83" i="24"/>
  <c r="G112" i="33" s="1"/>
  <c r="A82" i="24"/>
  <c r="G111" i="33" s="1"/>
  <c r="A81" i="24"/>
  <c r="G110" i="33" s="1"/>
  <c r="A80" i="24"/>
  <c r="G109" i="33" s="1"/>
  <c r="A79" i="24"/>
  <c r="G108" i="33" s="1"/>
  <c r="A78" i="24"/>
  <c r="G107" i="33" s="1"/>
  <c r="A77" i="24"/>
  <c r="G106" i="33" s="1"/>
  <c r="A76" i="24"/>
  <c r="G105" i="33" s="1"/>
  <c r="A72" i="24"/>
  <c r="A71" i="24"/>
  <c r="A70" i="24"/>
  <c r="A69" i="24"/>
  <c r="A68" i="24"/>
  <c r="A67" i="24"/>
  <c r="A66" i="24"/>
  <c r="A65" i="24"/>
  <c r="A64" i="24"/>
  <c r="A63" i="24"/>
  <c r="A61" i="24"/>
  <c r="B119" i="29" s="1"/>
  <c r="A60" i="24"/>
  <c r="B118" i="29" s="1"/>
  <c r="A59" i="24"/>
  <c r="B117" i="29" s="1"/>
  <c r="A58" i="24"/>
  <c r="B116" i="29" s="1"/>
  <c r="A57" i="24"/>
  <c r="B115" i="29" s="1"/>
  <c r="A56" i="24"/>
  <c r="B114" i="29" s="1"/>
  <c r="A55" i="24"/>
  <c r="B113" i="29" s="1"/>
  <c r="AD57" i="24"/>
  <c r="A54" i="24"/>
  <c r="B112" i="29" s="1"/>
  <c r="A53" i="24"/>
  <c r="B111" i="29" s="1"/>
  <c r="A52" i="24"/>
  <c r="B110" i="29" s="1"/>
  <c r="Y48" i="24"/>
  <c r="CF56" i="31" s="1"/>
  <c r="CF78" i="31" s="1"/>
  <c r="X48" i="24"/>
  <c r="CE56" i="31" s="1"/>
  <c r="CE78" i="31" s="1"/>
  <c r="W48" i="24"/>
  <c r="CD56" i="31" s="1"/>
  <c r="CD78" i="31" s="1"/>
  <c r="V48" i="24"/>
  <c r="CC56" i="31" s="1"/>
  <c r="CC78" i="31" s="1"/>
  <c r="U48" i="24"/>
  <c r="CB56" i="31" s="1"/>
  <c r="CB78" i="31" s="1"/>
  <c r="T48" i="24"/>
  <c r="S48" i="24"/>
  <c r="R48" i="24"/>
  <c r="Q48" i="24"/>
  <c r="P48" i="24"/>
  <c r="BW56" i="31" s="1"/>
  <c r="BW78" i="31" s="1"/>
  <c r="O48" i="24"/>
  <c r="N48" i="24"/>
  <c r="BU56" i="31" s="1"/>
  <c r="BU78" i="31" s="1"/>
  <c r="M48" i="24"/>
  <c r="BT56" i="31" s="1"/>
  <c r="BT78" i="31" s="1"/>
  <c r="L48" i="24"/>
  <c r="BS56" i="31" s="1"/>
  <c r="BS78" i="31" s="1"/>
  <c r="K48" i="24"/>
  <c r="J48" i="24"/>
  <c r="I48" i="24"/>
  <c r="H48" i="24"/>
  <c r="BO56" i="31" s="1"/>
  <c r="BO78" i="31" s="1"/>
  <c r="G48" i="24"/>
  <c r="BN56" i="31" s="1"/>
  <c r="BN78" i="31" s="1"/>
  <c r="F48" i="24"/>
  <c r="BM56" i="31" s="1"/>
  <c r="BM78" i="31" s="1"/>
  <c r="E48" i="24"/>
  <c r="BL56" i="31" s="1"/>
  <c r="BL78" i="31" s="1"/>
  <c r="D48" i="24"/>
  <c r="BK56" i="31" s="1"/>
  <c r="BK78" i="31" s="1"/>
  <c r="C48" i="24"/>
  <c r="B48" i="24"/>
  <c r="A48" i="24"/>
  <c r="BH56" i="31" s="1"/>
  <c r="BH67" i="31" s="1"/>
  <c r="BH78" i="31" s="1"/>
  <c r="Y47" i="24"/>
  <c r="CF55" i="31" s="1"/>
  <c r="CF77" i="31" s="1"/>
  <c r="X47" i="24"/>
  <c r="W47" i="24"/>
  <c r="CD55" i="31" s="1"/>
  <c r="CD77" i="31" s="1"/>
  <c r="V47" i="24"/>
  <c r="CC55" i="31" s="1"/>
  <c r="CC77" i="31" s="1"/>
  <c r="U47" i="24"/>
  <c r="CB55" i="31" s="1"/>
  <c r="CB77" i="31" s="1"/>
  <c r="T47" i="24"/>
  <c r="S47" i="24"/>
  <c r="R47" i="24"/>
  <c r="Q47" i="24"/>
  <c r="BX55" i="31" s="1"/>
  <c r="BX77" i="31" s="1"/>
  <c r="P47" i="24"/>
  <c r="O47" i="24"/>
  <c r="BV55" i="31" s="1"/>
  <c r="BV77" i="31" s="1"/>
  <c r="N47" i="24"/>
  <c r="BU55" i="31" s="1"/>
  <c r="BU77" i="31" s="1"/>
  <c r="M47" i="24"/>
  <c r="BT55" i="31" s="1"/>
  <c r="BT77" i="31" s="1"/>
  <c r="L47" i="24"/>
  <c r="K47" i="24"/>
  <c r="J47" i="24"/>
  <c r="I47" i="24"/>
  <c r="H47" i="24"/>
  <c r="G47" i="24"/>
  <c r="BN55" i="31" s="1"/>
  <c r="BN77" i="31" s="1"/>
  <c r="F47" i="24"/>
  <c r="BM55" i="31" s="1"/>
  <c r="BM77" i="31" s="1"/>
  <c r="E47" i="24"/>
  <c r="BL55" i="31" s="1"/>
  <c r="BL77" i="31" s="1"/>
  <c r="D47" i="24"/>
  <c r="BK55" i="31" s="1"/>
  <c r="BK77" i="31" s="1"/>
  <c r="C47" i="24"/>
  <c r="B47" i="24"/>
  <c r="A47" i="24"/>
  <c r="BH55" i="31" s="1"/>
  <c r="BH66" i="31" s="1"/>
  <c r="BH77" i="31" s="1"/>
  <c r="Y46" i="24"/>
  <c r="X46" i="24"/>
  <c r="CE54" i="31" s="1"/>
  <c r="CE76" i="31" s="1"/>
  <c r="W46" i="24"/>
  <c r="CD54" i="31" s="1"/>
  <c r="CD76" i="31" s="1"/>
  <c r="V46" i="24"/>
  <c r="CC54" i="31" s="1"/>
  <c r="CC76" i="31" s="1"/>
  <c r="U46" i="24"/>
  <c r="CB54" i="31" s="1"/>
  <c r="CB76" i="31" s="1"/>
  <c r="T46" i="24"/>
  <c r="S46" i="24"/>
  <c r="R46" i="24"/>
  <c r="BY54" i="31" s="1"/>
  <c r="BY76" i="31" s="1"/>
  <c r="Q46" i="24"/>
  <c r="BX54" i="31" s="1"/>
  <c r="BX76" i="31" s="1"/>
  <c r="P46" i="24"/>
  <c r="O46" i="24"/>
  <c r="BV54" i="31" s="1"/>
  <c r="BV76" i="31" s="1"/>
  <c r="N46" i="24"/>
  <c r="BU54" i="31" s="1"/>
  <c r="BU76" i="31" s="1"/>
  <c r="M46" i="24"/>
  <c r="BT54" i="31" s="1"/>
  <c r="BT76" i="31" s="1"/>
  <c r="L46" i="24"/>
  <c r="BS54" i="31" s="1"/>
  <c r="BS76" i="31" s="1"/>
  <c r="K46" i="24"/>
  <c r="BR54" i="31" s="1"/>
  <c r="BR76" i="31" s="1"/>
  <c r="J46" i="24"/>
  <c r="BQ54" i="31" s="1"/>
  <c r="BQ76" i="31" s="1"/>
  <c r="I46" i="24"/>
  <c r="BP54" i="31" s="1"/>
  <c r="BP76" i="31" s="1"/>
  <c r="H46" i="24"/>
  <c r="BO54" i="31" s="1"/>
  <c r="BO76" i="31" s="1"/>
  <c r="G46" i="24"/>
  <c r="BN54" i="31" s="1"/>
  <c r="BN76" i="31" s="1"/>
  <c r="F46" i="24"/>
  <c r="E46" i="24"/>
  <c r="D46" i="24"/>
  <c r="C46" i="24"/>
  <c r="B46" i="24"/>
  <c r="BI54" i="31" s="1"/>
  <c r="BI76" i="31" s="1"/>
  <c r="A46" i="24"/>
  <c r="BH54" i="31" s="1"/>
  <c r="BH65" i="31" s="1"/>
  <c r="BH76" i="31" s="1"/>
  <c r="Y45" i="24"/>
  <c r="CF53" i="31" s="1"/>
  <c r="CF75" i="31" s="1"/>
  <c r="X45" i="24"/>
  <c r="CE53" i="31" s="1"/>
  <c r="CE75" i="31" s="1"/>
  <c r="W45" i="24"/>
  <c r="CD53" i="31" s="1"/>
  <c r="CD75" i="31" s="1"/>
  <c r="V45" i="24"/>
  <c r="U45" i="24"/>
  <c r="T45" i="24"/>
  <c r="CA53" i="31" s="1"/>
  <c r="CA75" i="31" s="1"/>
  <c r="S45" i="24"/>
  <c r="BZ53" i="31" s="1"/>
  <c r="BZ75" i="31" s="1"/>
  <c r="R45" i="24"/>
  <c r="BY53" i="31" s="1"/>
  <c r="BY75" i="31" s="1"/>
  <c r="Q45" i="24"/>
  <c r="BX53" i="31" s="1"/>
  <c r="BX75" i="31" s="1"/>
  <c r="P45" i="24"/>
  <c r="BW53" i="31" s="1"/>
  <c r="BW75" i="31" s="1"/>
  <c r="O45" i="24"/>
  <c r="BV53" i="31" s="1"/>
  <c r="BV75" i="31" s="1"/>
  <c r="N45" i="24"/>
  <c r="M45" i="24"/>
  <c r="L45" i="24"/>
  <c r="K45" i="24"/>
  <c r="BR53" i="31" s="1"/>
  <c r="BR75" i="31" s="1"/>
  <c r="J45" i="24"/>
  <c r="I45" i="24"/>
  <c r="BP53" i="31" s="1"/>
  <c r="BP75" i="31" s="1"/>
  <c r="H45" i="24"/>
  <c r="BO53" i="31" s="1"/>
  <c r="BO75" i="31" s="1"/>
  <c r="G45" i="24"/>
  <c r="BN53" i="31" s="1"/>
  <c r="BN75" i="31" s="1"/>
  <c r="F45" i="24"/>
  <c r="E45" i="24"/>
  <c r="D45" i="24"/>
  <c r="C45" i="24"/>
  <c r="BJ53" i="31" s="1"/>
  <c r="BJ75" i="31" s="1"/>
  <c r="B45" i="24"/>
  <c r="BI53" i="31" s="1"/>
  <c r="BI75" i="31" s="1"/>
  <c r="A45" i="24"/>
  <c r="BH53" i="31" s="1"/>
  <c r="BH64" i="31" s="1"/>
  <c r="BH75" i="31" s="1"/>
  <c r="Y44" i="24"/>
  <c r="CF52" i="31" s="1"/>
  <c r="CF74" i="31" s="1"/>
  <c r="X44" i="24"/>
  <c r="CE52" i="31" s="1"/>
  <c r="CE74" i="31" s="1"/>
  <c r="W44" i="24"/>
  <c r="V44" i="24"/>
  <c r="U44" i="24"/>
  <c r="T44" i="24"/>
  <c r="CA52" i="31" s="1"/>
  <c r="CA74" i="31" s="1"/>
  <c r="S44" i="24"/>
  <c r="R44" i="24"/>
  <c r="BY52" i="31" s="1"/>
  <c r="BY74" i="31" s="1"/>
  <c r="Q44" i="24"/>
  <c r="BX52" i="31" s="1"/>
  <c r="BX74" i="31" s="1"/>
  <c r="P44" i="24"/>
  <c r="BW52" i="31" s="1"/>
  <c r="BW74" i="31" s="1"/>
  <c r="O44" i="24"/>
  <c r="N44" i="24"/>
  <c r="M44" i="24"/>
  <c r="L44" i="24"/>
  <c r="BS52" i="31" s="1"/>
  <c r="BS74" i="31" s="1"/>
  <c r="K44" i="24"/>
  <c r="J44" i="24"/>
  <c r="BQ52" i="31" s="1"/>
  <c r="BQ74" i="31" s="1"/>
  <c r="I44" i="24"/>
  <c r="BP52" i="31" s="1"/>
  <c r="BP74" i="31" s="1"/>
  <c r="H44" i="24"/>
  <c r="BO52" i="31" s="1"/>
  <c r="BO74" i="31" s="1"/>
  <c r="G44" i="24"/>
  <c r="BN52" i="31" s="1"/>
  <c r="BN74" i="31" s="1"/>
  <c r="F44" i="24"/>
  <c r="BM52" i="31" s="1"/>
  <c r="BM74" i="31" s="1"/>
  <c r="E44" i="24"/>
  <c r="D44" i="24"/>
  <c r="BK52" i="31" s="1"/>
  <c r="BK74" i="31" s="1"/>
  <c r="C44" i="24"/>
  <c r="BJ52" i="31" s="1"/>
  <c r="BJ74" i="31" s="1"/>
  <c r="B44" i="24"/>
  <c r="A44" i="24"/>
  <c r="BH52" i="31" s="1"/>
  <c r="BH63" i="31" s="1"/>
  <c r="BH74" i="31" s="1"/>
  <c r="Y43" i="24"/>
  <c r="CF51" i="31" s="1"/>
  <c r="CF73" i="31" s="1"/>
  <c r="X43" i="24"/>
  <c r="W43" i="24"/>
  <c r="CD51" i="31" s="1"/>
  <c r="CD73" i="31" s="1"/>
  <c r="V43" i="24"/>
  <c r="U43" i="24"/>
  <c r="CB51" i="31" s="1"/>
  <c r="CB73" i="31" s="1"/>
  <c r="T43" i="24"/>
  <c r="CA51" i="31" s="1"/>
  <c r="CA73" i="31" s="1"/>
  <c r="S43" i="24"/>
  <c r="BZ51" i="31" s="1"/>
  <c r="BZ73" i="31" s="1"/>
  <c r="R43" i="24"/>
  <c r="BY51" i="31" s="1"/>
  <c r="BY73" i="31" s="1"/>
  <c r="Q43" i="24"/>
  <c r="BX51" i="31" s="1"/>
  <c r="BX73" i="31" s="1"/>
  <c r="P43" i="24"/>
  <c r="O43" i="24"/>
  <c r="N43" i="24"/>
  <c r="M43" i="24"/>
  <c r="BT51" i="31" s="1"/>
  <c r="BT73" i="31" s="1"/>
  <c r="L43" i="24"/>
  <c r="K43" i="24"/>
  <c r="BR51" i="31" s="1"/>
  <c r="BR73" i="31" s="1"/>
  <c r="J43" i="24"/>
  <c r="BQ51" i="31" s="1"/>
  <c r="BQ73" i="31" s="1"/>
  <c r="I43" i="24"/>
  <c r="H43" i="24"/>
  <c r="G43" i="24"/>
  <c r="BN51" i="31" s="1"/>
  <c r="BN73" i="31" s="1"/>
  <c r="F43" i="24"/>
  <c r="BM51" i="31" s="1"/>
  <c r="BM73" i="31" s="1"/>
  <c r="E43" i="24"/>
  <c r="BL51" i="31" s="1"/>
  <c r="BL73" i="31" s="1"/>
  <c r="D43" i="24"/>
  <c r="BK51" i="31" s="1"/>
  <c r="BK73" i="31" s="1"/>
  <c r="C43" i="24"/>
  <c r="BJ51" i="31" s="1"/>
  <c r="BJ73" i="31" s="1"/>
  <c r="B43" i="24"/>
  <c r="BI51" i="31" s="1"/>
  <c r="BI73" i="31" s="1"/>
  <c r="A43" i="24"/>
  <c r="BH51" i="31" s="1"/>
  <c r="BH62" i="31" s="1"/>
  <c r="BH73" i="31" s="1"/>
  <c r="Y42" i="24"/>
  <c r="X42" i="24"/>
  <c r="W42" i="24"/>
  <c r="V42" i="24"/>
  <c r="CC50" i="31" s="1"/>
  <c r="CC72" i="31" s="1"/>
  <c r="U42" i="24"/>
  <c r="T42" i="24"/>
  <c r="CA50" i="31" s="1"/>
  <c r="CA72" i="31" s="1"/>
  <c r="S42" i="24"/>
  <c r="BZ50" i="31" s="1"/>
  <c r="BZ72" i="31" s="1"/>
  <c r="R42" i="24"/>
  <c r="BY50" i="31" s="1"/>
  <c r="BY72" i="31" s="1"/>
  <c r="Q42" i="24"/>
  <c r="P42" i="24"/>
  <c r="O42" i="24"/>
  <c r="N42" i="24"/>
  <c r="BU50" i="31" s="1"/>
  <c r="BU72" i="31" s="1"/>
  <c r="M42" i="24"/>
  <c r="L42" i="24"/>
  <c r="BS50" i="31" s="1"/>
  <c r="BS72" i="31" s="1"/>
  <c r="K42" i="24"/>
  <c r="BR50" i="31" s="1"/>
  <c r="BR72" i="31" s="1"/>
  <c r="J42" i="24"/>
  <c r="BQ50" i="31" s="1"/>
  <c r="BQ72" i="31" s="1"/>
  <c r="I42" i="24"/>
  <c r="H42" i="24"/>
  <c r="G42" i="24"/>
  <c r="F42" i="24"/>
  <c r="BM50" i="31" s="1"/>
  <c r="BM72" i="31" s="1"/>
  <c r="E42" i="24"/>
  <c r="D42" i="24"/>
  <c r="BK50" i="31" s="1"/>
  <c r="BK72" i="31" s="1"/>
  <c r="C42" i="24"/>
  <c r="BJ50" i="31" s="1"/>
  <c r="BJ72" i="31" s="1"/>
  <c r="B42" i="24"/>
  <c r="BI50" i="31" s="1"/>
  <c r="BI72" i="31" s="1"/>
  <c r="A42" i="24"/>
  <c r="BH50" i="31" s="1"/>
  <c r="BH61" i="31" s="1"/>
  <c r="BH72" i="31" s="1"/>
  <c r="Y41" i="24"/>
  <c r="X41" i="24"/>
  <c r="W41" i="24"/>
  <c r="V41" i="24"/>
  <c r="U41" i="24"/>
  <c r="CB49" i="31" s="1"/>
  <c r="CB71" i="31" s="1"/>
  <c r="T41" i="24"/>
  <c r="CA49" i="31" s="1"/>
  <c r="CA71" i="31" s="1"/>
  <c r="S41" i="24"/>
  <c r="BZ49" i="31" s="1"/>
  <c r="BZ71" i="31" s="1"/>
  <c r="R41" i="24"/>
  <c r="Q41" i="24"/>
  <c r="P41" i="24"/>
  <c r="O41" i="24"/>
  <c r="BV49" i="31" s="1"/>
  <c r="BV71" i="31" s="1"/>
  <c r="N41" i="24"/>
  <c r="M41" i="24"/>
  <c r="BT49" i="31" s="1"/>
  <c r="BT71" i="31" s="1"/>
  <c r="L41" i="24"/>
  <c r="BS49" i="31" s="1"/>
  <c r="BS71" i="31" s="1"/>
  <c r="K41" i="24"/>
  <c r="BR49" i="31" s="1"/>
  <c r="BR71" i="31" s="1"/>
  <c r="J41" i="24"/>
  <c r="BQ49" i="31" s="1"/>
  <c r="BQ71" i="31" s="1"/>
  <c r="I41" i="24"/>
  <c r="BP49" i="31" s="1"/>
  <c r="BP71" i="31" s="1"/>
  <c r="H41" i="24"/>
  <c r="G41" i="24"/>
  <c r="BN49" i="31" s="1"/>
  <c r="BN71" i="31" s="1"/>
  <c r="F41" i="24"/>
  <c r="BM49" i="31" s="1"/>
  <c r="BM71" i="31" s="1"/>
  <c r="E41" i="24"/>
  <c r="BL49" i="31" s="1"/>
  <c r="BL71" i="31" s="1"/>
  <c r="D41" i="24"/>
  <c r="BK49" i="31" s="1"/>
  <c r="BK71" i="31" s="1"/>
  <c r="C41" i="24"/>
  <c r="BJ49" i="31" s="1"/>
  <c r="BJ71" i="31" s="1"/>
  <c r="B41" i="24"/>
  <c r="A41" i="24"/>
  <c r="BH49" i="31" s="1"/>
  <c r="BH60" i="31" s="1"/>
  <c r="BH71" i="31" s="1"/>
  <c r="Y40" i="24"/>
  <c r="X40" i="24"/>
  <c r="CE48" i="31" s="1"/>
  <c r="CE70" i="31" s="1"/>
  <c r="W40" i="24"/>
  <c r="V40" i="24"/>
  <c r="CC48" i="31" s="1"/>
  <c r="CC70" i="31" s="1"/>
  <c r="U40" i="24"/>
  <c r="CB48" i="31" s="1"/>
  <c r="CB70" i="31" s="1"/>
  <c r="T40" i="24"/>
  <c r="CA48" i="31" s="1"/>
  <c r="CA70" i="31" s="1"/>
  <c r="S40" i="24"/>
  <c r="BZ48" i="31" s="1"/>
  <c r="BZ70" i="31" s="1"/>
  <c r="R40" i="24"/>
  <c r="BY48" i="31" s="1"/>
  <c r="BY70" i="31" s="1"/>
  <c r="Q40" i="24"/>
  <c r="P40" i="24"/>
  <c r="BW48" i="31" s="1"/>
  <c r="BW70" i="31" s="1"/>
  <c r="O40" i="24"/>
  <c r="BV48" i="31" s="1"/>
  <c r="BV70" i="31" s="1"/>
  <c r="N40" i="24"/>
  <c r="BU48" i="31" s="1"/>
  <c r="BU70" i="31" s="1"/>
  <c r="M40" i="24"/>
  <c r="BT48" i="31" s="1"/>
  <c r="BT70" i="31" s="1"/>
  <c r="L40" i="24"/>
  <c r="BS48" i="31" s="1"/>
  <c r="BS70" i="31" s="1"/>
  <c r="K40" i="24"/>
  <c r="J40" i="24"/>
  <c r="I40" i="24"/>
  <c r="H40" i="24"/>
  <c r="BO48" i="31" s="1"/>
  <c r="BO70" i="31" s="1"/>
  <c r="G40" i="24"/>
  <c r="BN48" i="31" s="1"/>
  <c r="BN70" i="31" s="1"/>
  <c r="F40" i="24"/>
  <c r="E40" i="24"/>
  <c r="BL48" i="31" s="1"/>
  <c r="BL70" i="31" s="1"/>
  <c r="D40" i="24"/>
  <c r="BK48" i="31" s="1"/>
  <c r="BK70" i="31" s="1"/>
  <c r="C40" i="24"/>
  <c r="BJ48" i="31" s="1"/>
  <c r="BJ70" i="31" s="1"/>
  <c r="B40" i="24"/>
  <c r="BI48" i="31" s="1"/>
  <c r="BI70" i="31" s="1"/>
  <c r="A40" i="24"/>
  <c r="BH48" i="31" s="1"/>
  <c r="BH59" i="31" s="1"/>
  <c r="BH70" i="31" s="1"/>
  <c r="Y39" i="24"/>
  <c r="CF47" i="31" s="1"/>
  <c r="CF69" i="31" s="1"/>
  <c r="X39" i="24"/>
  <c r="CE47" i="31" s="1"/>
  <c r="CE69" i="31" s="1"/>
  <c r="W39" i="24"/>
  <c r="V39" i="24"/>
  <c r="CC47" i="31" s="1"/>
  <c r="CC69" i="31" s="1"/>
  <c r="U39" i="24"/>
  <c r="CB47" i="31" s="1"/>
  <c r="CB69" i="31" s="1"/>
  <c r="T39" i="24"/>
  <c r="S39" i="24"/>
  <c r="BZ47" i="31" s="1"/>
  <c r="BZ69" i="31" s="1"/>
  <c r="R39" i="24"/>
  <c r="Q39" i="24"/>
  <c r="BX47" i="31" s="1"/>
  <c r="BX69" i="31" s="1"/>
  <c r="P39" i="24"/>
  <c r="BW47" i="31" s="1"/>
  <c r="BW69" i="31" s="1"/>
  <c r="O39" i="24"/>
  <c r="N39" i="24"/>
  <c r="BU47" i="31" s="1"/>
  <c r="BU69" i="31" s="1"/>
  <c r="M39" i="24"/>
  <c r="BT47" i="31" s="1"/>
  <c r="BT69" i="31" s="1"/>
  <c r="L39" i="24"/>
  <c r="BS47" i="31" s="1"/>
  <c r="BS69" i="31" s="1"/>
  <c r="K39" i="24"/>
  <c r="BR47" i="31" s="1"/>
  <c r="BR69" i="31" s="1"/>
  <c r="J39" i="24"/>
  <c r="I39" i="24"/>
  <c r="BP47" i="31" s="1"/>
  <c r="BP69" i="31" s="1"/>
  <c r="H39" i="24"/>
  <c r="BO47" i="31" s="1"/>
  <c r="BO69" i="31" s="1"/>
  <c r="G39" i="24"/>
  <c r="F39" i="24"/>
  <c r="BM47" i="31" s="1"/>
  <c r="BM69" i="31" s="1"/>
  <c r="E39" i="24"/>
  <c r="BL47" i="31" s="1"/>
  <c r="BL69" i="31" s="1"/>
  <c r="D39" i="24"/>
  <c r="C39" i="24"/>
  <c r="BJ47" i="31" s="1"/>
  <c r="BJ69" i="31" s="1"/>
  <c r="B39" i="24"/>
  <c r="A39" i="24"/>
  <c r="BH47" i="31" s="1"/>
  <c r="BH58" i="31" s="1"/>
  <c r="BH69" i="31" s="1"/>
  <c r="A36" i="24"/>
  <c r="A35" i="24"/>
  <c r="A34" i="24"/>
  <c r="A33" i="24"/>
  <c r="A32" i="24"/>
  <c r="BX31" i="24"/>
  <c r="A31" i="24"/>
  <c r="CA30" i="24"/>
  <c r="A30" i="24"/>
  <c r="A29" i="24"/>
  <c r="A28" i="24"/>
  <c r="A27" i="24"/>
  <c r="CB26" i="24"/>
  <c r="BX25" i="24"/>
  <c r="BT24" i="24"/>
  <c r="BZ23" i="24"/>
  <c r="BT22" i="24"/>
  <c r="CB21" i="24"/>
  <c r="CB20" i="24"/>
  <c r="AH18" i="24"/>
  <c r="G100" i="24"/>
  <c r="AA3" i="24"/>
  <c r="M35" i="23"/>
  <c r="J35" i="23"/>
  <c r="M36" i="23"/>
  <c r="J36" i="23"/>
  <c r="M37" i="23"/>
  <c r="J37" i="23"/>
  <c r="M38" i="23"/>
  <c r="J38" i="23"/>
  <c r="M39" i="23"/>
  <c r="J39" i="23"/>
  <c r="M40" i="23"/>
  <c r="J40" i="23"/>
  <c r="H57" i="23" s="1"/>
  <c r="M41" i="23"/>
  <c r="J41" i="23"/>
  <c r="M42" i="23"/>
  <c r="J42" i="23"/>
  <c r="M43" i="23"/>
  <c r="J43" i="23"/>
  <c r="J34" i="23"/>
  <c r="M34" i="23"/>
  <c r="C66" i="15"/>
  <c r="D66" i="15"/>
  <c r="E66" i="15"/>
  <c r="B66" i="15"/>
  <c r="B68" i="15" s="1"/>
  <c r="B100" i="18"/>
  <c r="K35" i="23"/>
  <c r="AD7" i="31" s="1"/>
  <c r="L35" i="23"/>
  <c r="K36" i="23"/>
  <c r="AD8" i="31" s="1"/>
  <c r="L36" i="23"/>
  <c r="K37" i="23"/>
  <c r="AD9" i="31" s="1"/>
  <c r="L37" i="23"/>
  <c r="K38" i="23"/>
  <c r="AD10" i="31" s="1"/>
  <c r="L38" i="23"/>
  <c r="K39" i="23"/>
  <c r="AD11" i="31" s="1"/>
  <c r="L39" i="23"/>
  <c r="K40" i="23"/>
  <c r="AD12" i="31" s="1"/>
  <c r="L40" i="23"/>
  <c r="K41" i="23"/>
  <c r="AD13" i="31" s="1"/>
  <c r="L41" i="23"/>
  <c r="K42" i="23"/>
  <c r="AD14" i="31" s="1"/>
  <c r="L42" i="23"/>
  <c r="K43" i="23"/>
  <c r="AD15" i="31" s="1"/>
  <c r="L43" i="23"/>
  <c r="E14" i="23"/>
  <c r="G50" i="23" s="1"/>
  <c r="E15" i="23"/>
  <c r="H50" i="23" s="1"/>
  <c r="E16" i="23"/>
  <c r="J50" i="23" s="1"/>
  <c r="E17" i="23"/>
  <c r="K50" i="23" s="1"/>
  <c r="DT163" i="33" l="1"/>
  <c r="EB163" i="33"/>
  <c r="DV163" i="33"/>
  <c r="BN148" i="33"/>
  <c r="BN147" i="33"/>
  <c r="BF148" i="33"/>
  <c r="BF147" i="33"/>
  <c r="BA148" i="33"/>
  <c r="BA147" i="33"/>
  <c r="BK148" i="33"/>
  <c r="BK147" i="33"/>
  <c r="BH148" i="33"/>
  <c r="BH147" i="33"/>
  <c r="AX148" i="33"/>
  <c r="AX147" i="33"/>
  <c r="BM148" i="33"/>
  <c r="BM147" i="33"/>
  <c r="BG148" i="33"/>
  <c r="BG147" i="33"/>
  <c r="AW148" i="33"/>
  <c r="AW147" i="33"/>
  <c r="BL148" i="33"/>
  <c r="BL147" i="33"/>
  <c r="BJ147" i="33"/>
  <c r="BJ148" i="33"/>
  <c r="BR147" i="33"/>
  <c r="BR148" i="33"/>
  <c r="BD148" i="33"/>
  <c r="BD147" i="33"/>
  <c r="BI148" i="33"/>
  <c r="BI147" i="33"/>
  <c r="BQ148" i="33"/>
  <c r="BQ147" i="33"/>
  <c r="BO148" i="33"/>
  <c r="BO147" i="33"/>
  <c r="BS148" i="33"/>
  <c r="BS147" i="33"/>
  <c r="BE148" i="33"/>
  <c r="BE147" i="33"/>
  <c r="AZ148" i="33"/>
  <c r="AZ147" i="33"/>
  <c r="AV148" i="33"/>
  <c r="AV147" i="33"/>
  <c r="CI163" i="33"/>
  <c r="CQ163" i="33"/>
  <c r="DN163" i="33"/>
  <c r="CJ163" i="33"/>
  <c r="CP163" i="33"/>
  <c r="CS163" i="33"/>
  <c r="CV163" i="33"/>
  <c r="DY163" i="33"/>
  <c r="DQ163" i="33"/>
  <c r="CB163" i="33"/>
  <c r="CH163" i="33"/>
  <c r="DE163" i="33"/>
  <c r="CX163" i="33"/>
  <c r="BC163" i="33"/>
  <c r="DS163" i="33"/>
  <c r="W72" i="26"/>
  <c r="CW163" i="33"/>
  <c r="BB163" i="33"/>
  <c r="CT163" i="33"/>
  <c r="CY163" i="33"/>
  <c r="CU163" i="33"/>
  <c r="CE163" i="33"/>
  <c r="DR163" i="33"/>
  <c r="BP163" i="33"/>
  <c r="DU163" i="33"/>
  <c r="DW163" i="33"/>
  <c r="CO163" i="33"/>
  <c r="DH163" i="33"/>
  <c r="DO163" i="33"/>
  <c r="DZ163" i="33"/>
  <c r="CK163" i="33"/>
  <c r="DM163" i="33"/>
  <c r="DF163" i="33"/>
  <c r="CF163" i="33"/>
  <c r="DG163" i="33"/>
  <c r="CN163" i="33"/>
  <c r="CL163" i="33"/>
  <c r="CD163" i="33"/>
  <c r="DP163" i="33"/>
  <c r="CR163" i="33"/>
  <c r="DJ163" i="33"/>
  <c r="DI163" i="33"/>
  <c r="CM163" i="33"/>
  <c r="EA163" i="33"/>
  <c r="DX163" i="33"/>
  <c r="CC163" i="33"/>
  <c r="DK163" i="33"/>
  <c r="CG163" i="33"/>
  <c r="AY163" i="33"/>
  <c r="CJ79" i="31"/>
  <c r="W64" i="24"/>
  <c r="CD48" i="31"/>
  <c r="CD70" i="31" s="1"/>
  <c r="N65" i="24"/>
  <c r="BU49" i="31"/>
  <c r="BU71" i="31" s="1"/>
  <c r="V65" i="24"/>
  <c r="CC49" i="31"/>
  <c r="CC71" i="31" s="1"/>
  <c r="E66" i="24"/>
  <c r="BL50" i="31"/>
  <c r="BL72" i="31" s="1"/>
  <c r="M66" i="24"/>
  <c r="BT50" i="31"/>
  <c r="BT72" i="31" s="1"/>
  <c r="U66" i="24"/>
  <c r="CB50" i="31"/>
  <c r="CB72" i="31" s="1"/>
  <c r="L67" i="24"/>
  <c r="BS51" i="31"/>
  <c r="BS73" i="31" s="1"/>
  <c r="K68" i="24"/>
  <c r="BR52" i="31"/>
  <c r="BR74" i="31" s="1"/>
  <c r="S68" i="24"/>
  <c r="BZ52" i="31"/>
  <c r="BZ74" i="31" s="1"/>
  <c r="J69" i="24"/>
  <c r="BQ53" i="31"/>
  <c r="BQ75" i="31" s="1"/>
  <c r="Y70" i="24"/>
  <c r="CF54" i="31"/>
  <c r="CF76" i="31" s="1"/>
  <c r="H71" i="24"/>
  <c r="BO55" i="31"/>
  <c r="BO77" i="31" s="1"/>
  <c r="P71" i="24"/>
  <c r="BW55" i="31"/>
  <c r="BW77" i="31" s="1"/>
  <c r="X71" i="24"/>
  <c r="CE55" i="31"/>
  <c r="CE77" i="31" s="1"/>
  <c r="O72" i="24"/>
  <c r="BV56" i="31"/>
  <c r="BV78" i="31" s="1"/>
  <c r="B123" i="29"/>
  <c r="B131" i="29"/>
  <c r="B169" i="29"/>
  <c r="O63" i="26"/>
  <c r="DZ47" i="31"/>
  <c r="DZ69" i="31" s="1"/>
  <c r="N64" i="26"/>
  <c r="DY48" i="31"/>
  <c r="DY70" i="31" s="1"/>
  <c r="U65" i="26"/>
  <c r="EF49" i="31"/>
  <c r="EF71" i="31" s="1"/>
  <c r="T66" i="26"/>
  <c r="EE50" i="31"/>
  <c r="EE72" i="31" s="1"/>
  <c r="C67" i="26"/>
  <c r="DN51" i="31"/>
  <c r="DN73" i="31" s="1"/>
  <c r="K67" i="26"/>
  <c r="DV51" i="31"/>
  <c r="DV73" i="31" s="1"/>
  <c r="B68" i="26"/>
  <c r="DM52" i="31"/>
  <c r="DM74" i="31" s="1"/>
  <c r="J68" i="26"/>
  <c r="DU52" i="31"/>
  <c r="DU74" i="31" s="1"/>
  <c r="R68" i="26"/>
  <c r="EC52" i="31"/>
  <c r="EC74" i="31" s="1"/>
  <c r="I69" i="26"/>
  <c r="DT53" i="31"/>
  <c r="DT75" i="31" s="1"/>
  <c r="Q69" i="26"/>
  <c r="EB53" i="31"/>
  <c r="EB75" i="31" s="1"/>
  <c r="Y69" i="26"/>
  <c r="EJ53" i="31"/>
  <c r="EJ75" i="31" s="1"/>
  <c r="P70" i="26"/>
  <c r="EA54" i="31"/>
  <c r="EA76" i="31" s="1"/>
  <c r="X70" i="26"/>
  <c r="EI54" i="31"/>
  <c r="EI76" i="31" s="1"/>
  <c r="G71" i="26"/>
  <c r="DR55" i="31"/>
  <c r="DR77" i="31" s="1"/>
  <c r="W71" i="26"/>
  <c r="EH55" i="31"/>
  <c r="EH77" i="31" s="1"/>
  <c r="F72" i="26"/>
  <c r="DQ56" i="31"/>
  <c r="DQ78" i="31" s="1"/>
  <c r="N72" i="26"/>
  <c r="DY56" i="31"/>
  <c r="DY78" i="31" s="1"/>
  <c r="V72" i="26"/>
  <c r="EG56" i="31"/>
  <c r="EG78" i="31" s="1"/>
  <c r="T71" i="26"/>
  <c r="W65" i="24"/>
  <c r="CD49" i="31"/>
  <c r="CD71" i="31" s="1"/>
  <c r="I71" i="24"/>
  <c r="BP55" i="31"/>
  <c r="BP77" i="31" s="1"/>
  <c r="B124" i="29"/>
  <c r="B132" i="29"/>
  <c r="B170" i="29"/>
  <c r="P63" i="26"/>
  <c r="EA47" i="31"/>
  <c r="EA69" i="31" s="1"/>
  <c r="E66" i="26"/>
  <c r="DP50" i="31"/>
  <c r="DP72" i="31" s="1"/>
  <c r="D67" i="26"/>
  <c r="DO51" i="31"/>
  <c r="DO73" i="31" s="1"/>
  <c r="L67" i="26"/>
  <c r="DW51" i="31"/>
  <c r="DW73" i="31" s="1"/>
  <c r="K68" i="26"/>
  <c r="DV52" i="31"/>
  <c r="DV74" i="31" s="1"/>
  <c r="S68" i="26"/>
  <c r="ED52" i="31"/>
  <c r="ED74" i="31" s="1"/>
  <c r="R69" i="26"/>
  <c r="EC53" i="31"/>
  <c r="EC75" i="31" s="1"/>
  <c r="Y70" i="26"/>
  <c r="EJ54" i="31"/>
  <c r="EJ76" i="31" s="1"/>
  <c r="H71" i="26"/>
  <c r="DS55" i="31"/>
  <c r="DS77" i="31" s="1"/>
  <c r="G72" i="26"/>
  <c r="DR56" i="31"/>
  <c r="DR78" i="31" s="1"/>
  <c r="O72" i="26"/>
  <c r="DZ56" i="31"/>
  <c r="DZ78" i="31" s="1"/>
  <c r="B63" i="24"/>
  <c r="BI47" i="31"/>
  <c r="BI69" i="31" s="1"/>
  <c r="J63" i="24"/>
  <c r="BQ47" i="31"/>
  <c r="BQ69" i="31" s="1"/>
  <c r="R63" i="24"/>
  <c r="BY47" i="31"/>
  <c r="BY69" i="31" s="1"/>
  <c r="I64" i="24"/>
  <c r="BP48" i="31"/>
  <c r="BP70" i="31" s="1"/>
  <c r="Q64" i="24"/>
  <c r="BX48" i="31"/>
  <c r="BX70" i="31" s="1"/>
  <c r="Y64" i="24"/>
  <c r="CF48" i="31"/>
  <c r="CF70" i="31" s="1"/>
  <c r="H65" i="24"/>
  <c r="BO49" i="31"/>
  <c r="BO71" i="31" s="1"/>
  <c r="P65" i="24"/>
  <c r="BW49" i="31"/>
  <c r="BW71" i="31" s="1"/>
  <c r="X65" i="24"/>
  <c r="CE49" i="31"/>
  <c r="CE71" i="31" s="1"/>
  <c r="G66" i="24"/>
  <c r="BN50" i="31"/>
  <c r="BN72" i="31" s="1"/>
  <c r="O66" i="24"/>
  <c r="BV50" i="31"/>
  <c r="BV72" i="31" s="1"/>
  <c r="W66" i="24"/>
  <c r="CD50" i="31"/>
  <c r="CD72" i="31" s="1"/>
  <c r="N67" i="24"/>
  <c r="BU51" i="31"/>
  <c r="BU73" i="31" s="1"/>
  <c r="V67" i="24"/>
  <c r="CC51" i="31"/>
  <c r="CC73" i="31" s="1"/>
  <c r="E68" i="24"/>
  <c r="BL52" i="31"/>
  <c r="BL74" i="31" s="1"/>
  <c r="M68" i="24"/>
  <c r="BT52" i="31"/>
  <c r="BT74" i="31" s="1"/>
  <c r="U68" i="24"/>
  <c r="CB52" i="31"/>
  <c r="CB74" i="31" s="1"/>
  <c r="D69" i="24"/>
  <c r="BK53" i="31"/>
  <c r="BK75" i="31" s="1"/>
  <c r="L69" i="24"/>
  <c r="BS53" i="31"/>
  <c r="BS75" i="31" s="1"/>
  <c r="C70" i="24"/>
  <c r="BJ54" i="31"/>
  <c r="BJ76" i="31" s="1"/>
  <c r="S70" i="24"/>
  <c r="BZ54" i="31"/>
  <c r="BZ76" i="31" s="1"/>
  <c r="B71" i="24"/>
  <c r="BI55" i="31"/>
  <c r="BI77" i="31" s="1"/>
  <c r="J71" i="24"/>
  <c r="BQ55" i="31"/>
  <c r="BQ77" i="31" s="1"/>
  <c r="R71" i="24"/>
  <c r="BY55" i="31"/>
  <c r="BY77" i="31" s="1"/>
  <c r="I72" i="24"/>
  <c r="BP56" i="31"/>
  <c r="BP78" i="31" s="1"/>
  <c r="Q72" i="24"/>
  <c r="BX56" i="31"/>
  <c r="BX78" i="31" s="1"/>
  <c r="B125" i="29"/>
  <c r="B171" i="29"/>
  <c r="E67" i="26"/>
  <c r="DP51" i="31"/>
  <c r="DP73" i="31" s="1"/>
  <c r="S69" i="26"/>
  <c r="ED53" i="31"/>
  <c r="ED75" i="31" s="1"/>
  <c r="J64" i="24"/>
  <c r="BQ48" i="31"/>
  <c r="BQ70" i="31" s="1"/>
  <c r="Q65" i="24"/>
  <c r="BX49" i="31"/>
  <c r="BX71" i="31" s="1"/>
  <c r="Y65" i="24"/>
  <c r="CF49" i="31"/>
  <c r="CF71" i="31" s="1"/>
  <c r="H66" i="24"/>
  <c r="BO50" i="31"/>
  <c r="BO72" i="31" s="1"/>
  <c r="P66" i="24"/>
  <c r="BW50" i="31"/>
  <c r="BW72" i="31" s="1"/>
  <c r="X66" i="24"/>
  <c r="CE50" i="31"/>
  <c r="CE72" i="31" s="1"/>
  <c r="O67" i="24"/>
  <c r="BV51" i="31"/>
  <c r="BV73" i="31" s="1"/>
  <c r="N68" i="24"/>
  <c r="BU52" i="31"/>
  <c r="BU74" i="31" s="1"/>
  <c r="V68" i="24"/>
  <c r="CC52" i="31"/>
  <c r="CC74" i="31" s="1"/>
  <c r="E69" i="24"/>
  <c r="BL53" i="31"/>
  <c r="BL75" i="31" s="1"/>
  <c r="M69" i="24"/>
  <c r="BT53" i="31"/>
  <c r="BT75" i="31" s="1"/>
  <c r="U69" i="24"/>
  <c r="CB53" i="31"/>
  <c r="CB75" i="31" s="1"/>
  <c r="D70" i="24"/>
  <c r="BK54" i="31"/>
  <c r="BK76" i="31" s="1"/>
  <c r="T70" i="24"/>
  <c r="CA54" i="31"/>
  <c r="CA76" i="31" s="1"/>
  <c r="C71" i="24"/>
  <c r="BJ55" i="31"/>
  <c r="BJ77" i="31" s="1"/>
  <c r="K71" i="24"/>
  <c r="BR55" i="31"/>
  <c r="BR77" i="31" s="1"/>
  <c r="S71" i="24"/>
  <c r="BZ55" i="31"/>
  <c r="BZ77" i="31" s="1"/>
  <c r="B72" i="24"/>
  <c r="BI56" i="31"/>
  <c r="BI78" i="31" s="1"/>
  <c r="J72" i="24"/>
  <c r="BQ56" i="31"/>
  <c r="BQ78" i="31" s="1"/>
  <c r="R72" i="24"/>
  <c r="BY56" i="31"/>
  <c r="BY78" i="31" s="1"/>
  <c r="B126" i="29"/>
  <c r="B172" i="29"/>
  <c r="D63" i="24"/>
  <c r="BK47" i="31"/>
  <c r="BK69" i="31" s="1"/>
  <c r="T63" i="24"/>
  <c r="CA47" i="31"/>
  <c r="CA69" i="31" s="1"/>
  <c r="K64" i="24"/>
  <c r="BR48" i="31"/>
  <c r="BR70" i="31" s="1"/>
  <c r="B65" i="24"/>
  <c r="BI49" i="31"/>
  <c r="BI71" i="31" s="1"/>
  <c r="R65" i="24"/>
  <c r="BY49" i="31"/>
  <c r="BY71" i="31" s="1"/>
  <c r="I66" i="24"/>
  <c r="BP50" i="31"/>
  <c r="BP72" i="31" s="1"/>
  <c r="Q66" i="24"/>
  <c r="BX50" i="31"/>
  <c r="BX72" i="31" s="1"/>
  <c r="Y66" i="24"/>
  <c r="CF50" i="31"/>
  <c r="CF72" i="31" s="1"/>
  <c r="H67" i="24"/>
  <c r="BO51" i="31"/>
  <c r="BO73" i="31" s="1"/>
  <c r="P67" i="24"/>
  <c r="BW51" i="31"/>
  <c r="BW73" i="31" s="1"/>
  <c r="X67" i="24"/>
  <c r="CE51" i="31"/>
  <c r="CE73" i="31" s="1"/>
  <c r="O68" i="24"/>
  <c r="BV52" i="31"/>
  <c r="BV74" i="31" s="1"/>
  <c r="W68" i="24"/>
  <c r="CD52" i="31"/>
  <c r="CD74" i="31" s="1"/>
  <c r="F69" i="24"/>
  <c r="BM53" i="31"/>
  <c r="BM75" i="31" s="1"/>
  <c r="N69" i="24"/>
  <c r="BU53" i="31"/>
  <c r="BU75" i="31" s="1"/>
  <c r="V69" i="24"/>
  <c r="CC53" i="31"/>
  <c r="CC75" i="31" s="1"/>
  <c r="E70" i="24"/>
  <c r="BL54" i="31"/>
  <c r="BL76" i="31" s="1"/>
  <c r="L71" i="24"/>
  <c r="BS55" i="31"/>
  <c r="BS77" i="31" s="1"/>
  <c r="T71" i="24"/>
  <c r="CA55" i="31"/>
  <c r="CA77" i="31" s="1"/>
  <c r="C72" i="24"/>
  <c r="BJ56" i="31"/>
  <c r="BJ78" i="31" s="1"/>
  <c r="K72" i="24"/>
  <c r="BR56" i="31"/>
  <c r="BR78" i="31" s="1"/>
  <c r="S72" i="24"/>
  <c r="BZ56" i="31"/>
  <c r="BZ78" i="31" s="1"/>
  <c r="B127" i="29"/>
  <c r="B173" i="29"/>
  <c r="R64" i="26"/>
  <c r="EC48" i="31"/>
  <c r="EC70" i="31" s="1"/>
  <c r="I65" i="26"/>
  <c r="DT49" i="31"/>
  <c r="DT71" i="31" s="1"/>
  <c r="Q65" i="26"/>
  <c r="EB49" i="31"/>
  <c r="EB71" i="31" s="1"/>
  <c r="Y65" i="26"/>
  <c r="EJ49" i="31"/>
  <c r="EJ71" i="31" s="1"/>
  <c r="H66" i="26"/>
  <c r="DS50" i="31"/>
  <c r="DS72" i="31" s="1"/>
  <c r="P66" i="26"/>
  <c r="EA50" i="31"/>
  <c r="EA72" i="31" s="1"/>
  <c r="O67" i="26"/>
  <c r="DZ51" i="31"/>
  <c r="DZ73" i="31" s="1"/>
  <c r="W67" i="26"/>
  <c r="EH51" i="31"/>
  <c r="EH73" i="31" s="1"/>
  <c r="V68" i="26"/>
  <c r="EG52" i="31"/>
  <c r="EG74" i="31" s="1"/>
  <c r="E69" i="26"/>
  <c r="DP53" i="31"/>
  <c r="DP75" i="31" s="1"/>
  <c r="D70" i="26"/>
  <c r="DO54" i="31"/>
  <c r="DO76" i="31" s="1"/>
  <c r="L70" i="26"/>
  <c r="DW54" i="31"/>
  <c r="DW76" i="31" s="1"/>
  <c r="K71" i="26"/>
  <c r="DV55" i="31"/>
  <c r="DV77" i="31" s="1"/>
  <c r="S71" i="26"/>
  <c r="ED55" i="31"/>
  <c r="ED77" i="31" s="1"/>
  <c r="B72" i="26"/>
  <c r="DM56" i="31"/>
  <c r="DM78" i="31" s="1"/>
  <c r="I67" i="24"/>
  <c r="BP51" i="31"/>
  <c r="BP73" i="31" s="1"/>
  <c r="F70" i="24"/>
  <c r="BM54" i="31"/>
  <c r="BM76" i="31" s="1"/>
  <c r="T72" i="24"/>
  <c r="CA56" i="31"/>
  <c r="CA78" i="31" s="1"/>
  <c r="B128" i="29"/>
  <c r="B166" i="29"/>
  <c r="B174" i="29"/>
  <c r="I66" i="26"/>
  <c r="DT50" i="31"/>
  <c r="DT72" i="31" s="1"/>
  <c r="Q66" i="26"/>
  <c r="EB50" i="31"/>
  <c r="EB72" i="31" s="1"/>
  <c r="P67" i="26"/>
  <c r="EA51" i="31"/>
  <c r="EA73" i="31" s="1"/>
  <c r="X67" i="26"/>
  <c r="EI51" i="31"/>
  <c r="EI73" i="31" s="1"/>
  <c r="G68" i="26"/>
  <c r="DR52" i="31"/>
  <c r="DR74" i="31" s="1"/>
  <c r="W68" i="26"/>
  <c r="EH52" i="31"/>
  <c r="EH74" i="31" s="1"/>
  <c r="N69" i="26"/>
  <c r="DY53" i="31"/>
  <c r="DY75" i="31" s="1"/>
  <c r="E70" i="26"/>
  <c r="DP54" i="31"/>
  <c r="DP76" i="31" s="1"/>
  <c r="M70" i="26"/>
  <c r="DX54" i="31"/>
  <c r="DX76" i="31" s="1"/>
  <c r="U70" i="26"/>
  <c r="EF54" i="31"/>
  <c r="EF76" i="31" s="1"/>
  <c r="C72" i="26"/>
  <c r="DN56" i="31"/>
  <c r="DN78" i="31" s="1"/>
  <c r="S72" i="26"/>
  <c r="ED56" i="31"/>
  <c r="ED78" i="31" s="1"/>
  <c r="F69" i="26"/>
  <c r="B129" i="29"/>
  <c r="B167" i="29"/>
  <c r="B175" i="29"/>
  <c r="D64" i="26"/>
  <c r="DO48" i="31"/>
  <c r="DO70" i="31" s="1"/>
  <c r="G63" i="24"/>
  <c r="BN47" i="31"/>
  <c r="BN69" i="31" s="1"/>
  <c r="O63" i="24"/>
  <c r="BV47" i="31"/>
  <c r="BV69" i="31" s="1"/>
  <c r="W63" i="24"/>
  <c r="CD47" i="31"/>
  <c r="CD69" i="31" s="1"/>
  <c r="F64" i="24"/>
  <c r="BM48" i="31"/>
  <c r="BM70" i="31" s="1"/>
  <c r="B68" i="24"/>
  <c r="BI52" i="31"/>
  <c r="BI74" i="31" s="1"/>
  <c r="P70" i="24"/>
  <c r="BW54" i="31"/>
  <c r="BW76" i="31" s="1"/>
  <c r="B130" i="29"/>
  <c r="B168" i="29"/>
  <c r="F63" i="26"/>
  <c r="DQ47" i="31"/>
  <c r="DQ69" i="31" s="1"/>
  <c r="N63" i="26"/>
  <c r="DY47" i="31"/>
  <c r="DY69" i="31" s="1"/>
  <c r="V63" i="26"/>
  <c r="EG47" i="31"/>
  <c r="EG69" i="31" s="1"/>
  <c r="E64" i="26"/>
  <c r="DP48" i="31"/>
  <c r="DP70" i="31" s="1"/>
  <c r="M64" i="26"/>
  <c r="DX48" i="31"/>
  <c r="DX70" i="31" s="1"/>
  <c r="U64" i="26"/>
  <c r="EF48" i="31"/>
  <c r="EF70" i="31" s="1"/>
  <c r="D65" i="26"/>
  <c r="DO49" i="31"/>
  <c r="DO71" i="31" s="1"/>
  <c r="L65" i="26"/>
  <c r="DW49" i="31"/>
  <c r="DW71" i="31" s="1"/>
  <c r="T65" i="26"/>
  <c r="EE49" i="31"/>
  <c r="EE71" i="31" s="1"/>
  <c r="C66" i="26"/>
  <c r="DN50" i="31"/>
  <c r="DN72" i="31" s="1"/>
  <c r="K66" i="26"/>
  <c r="DV50" i="31"/>
  <c r="DV72" i="31" s="1"/>
  <c r="S66" i="26"/>
  <c r="ED50" i="31"/>
  <c r="ED72" i="31" s="1"/>
  <c r="B67" i="26"/>
  <c r="DM51" i="31"/>
  <c r="DM73" i="31" s="1"/>
  <c r="J67" i="26"/>
  <c r="DU51" i="31"/>
  <c r="DU73" i="31" s="1"/>
  <c r="I68" i="26"/>
  <c r="DT52" i="31"/>
  <c r="DT74" i="31" s="1"/>
  <c r="Q68" i="26"/>
  <c r="EB52" i="31"/>
  <c r="EB74" i="31" s="1"/>
  <c r="H69" i="26"/>
  <c r="DS53" i="31"/>
  <c r="DS75" i="31" s="1"/>
  <c r="P69" i="26"/>
  <c r="EA53" i="31"/>
  <c r="EA75" i="31" s="1"/>
  <c r="X69" i="26"/>
  <c r="EI53" i="31"/>
  <c r="EI75" i="31" s="1"/>
  <c r="O70" i="26"/>
  <c r="DZ54" i="31"/>
  <c r="DZ76" i="31" s="1"/>
  <c r="W70" i="26"/>
  <c r="EH54" i="31"/>
  <c r="EH76" i="31" s="1"/>
  <c r="F71" i="26"/>
  <c r="DQ55" i="31"/>
  <c r="DQ77" i="31" s="1"/>
  <c r="V71" i="26"/>
  <c r="EG55" i="31"/>
  <c r="EG77" i="31" s="1"/>
  <c r="E72" i="26"/>
  <c r="DP56" i="31"/>
  <c r="DP78" i="31" s="1"/>
  <c r="M72" i="26"/>
  <c r="DX56" i="31"/>
  <c r="DX78" i="31" s="1"/>
  <c r="A128" i="31"/>
  <c r="AC12" i="31"/>
  <c r="A125" i="31"/>
  <c r="AC9" i="31"/>
  <c r="A131" i="31"/>
  <c r="AC15" i="31"/>
  <c r="A122" i="31"/>
  <c r="D122" i="31" s="1"/>
  <c r="AC6" i="31"/>
  <c r="A130" i="31"/>
  <c r="AC14" i="31"/>
  <c r="A127" i="31"/>
  <c r="AC11" i="31"/>
  <c r="AC8" i="31"/>
  <c r="A124" i="31"/>
  <c r="E13" i="23"/>
  <c r="F50" i="23" s="1"/>
  <c r="A82" i="31"/>
  <c r="AC13" i="31"/>
  <c r="A129" i="31"/>
  <c r="AC10" i="31"/>
  <c r="A126" i="31"/>
  <c r="A123" i="31"/>
  <c r="AC7" i="31"/>
  <c r="M49" i="24"/>
  <c r="BZ24" i="26"/>
  <c r="AK24" i="26"/>
  <c r="BS29" i="26"/>
  <c r="AK29" i="26"/>
  <c r="CE25" i="25"/>
  <c r="AK25" i="25"/>
  <c r="BX25" i="26"/>
  <c r="AK25" i="26"/>
  <c r="BQ24" i="25"/>
  <c r="AK24" i="25"/>
  <c r="BZ27" i="25"/>
  <c r="AK27" i="25"/>
  <c r="CC26" i="25"/>
  <c r="AK26" i="25"/>
  <c r="CE28" i="25"/>
  <c r="AK28" i="25"/>
  <c r="BW26" i="26"/>
  <c r="AK26" i="26"/>
  <c r="CA30" i="26"/>
  <c r="AK30" i="26"/>
  <c r="BL23" i="25"/>
  <c r="AK23" i="25"/>
  <c r="BU23" i="26"/>
  <c r="AK23" i="26"/>
  <c r="CE18" i="26"/>
  <c r="AK18" i="26"/>
  <c r="Q49" i="26"/>
  <c r="C68" i="15"/>
  <c r="E68" i="15"/>
  <c r="Q99" i="24"/>
  <c r="Q110" i="24" s="1"/>
  <c r="W108" i="24"/>
  <c r="W119" i="24" s="1"/>
  <c r="W145" i="24" s="1"/>
  <c r="W158" i="24" s="1"/>
  <c r="G108" i="24"/>
  <c r="G119" i="24" s="1"/>
  <c r="G145" i="24" s="1"/>
  <c r="G158" i="24" s="1"/>
  <c r="O107" i="24"/>
  <c r="O118" i="24" s="1"/>
  <c r="O144" i="24" s="1"/>
  <c r="O157" i="24" s="1"/>
  <c r="W106" i="24"/>
  <c r="W117" i="24" s="1"/>
  <c r="G106" i="24"/>
  <c r="G117" i="24" s="1"/>
  <c r="O105" i="24"/>
  <c r="O116" i="24" s="1"/>
  <c r="O142" i="24" s="1"/>
  <c r="O155" i="24" s="1"/>
  <c r="W104" i="24"/>
  <c r="W115" i="24" s="1"/>
  <c r="W141" i="24" s="1"/>
  <c r="W154" i="24" s="1"/>
  <c r="O102" i="24"/>
  <c r="O113" i="24" s="1"/>
  <c r="O139" i="24" s="1"/>
  <c r="O152" i="24" s="1"/>
  <c r="D68" i="15"/>
  <c r="M99" i="24"/>
  <c r="M110" i="24" s="1"/>
  <c r="S108" i="24"/>
  <c r="S119" i="24" s="1"/>
  <c r="S145" i="24" s="1"/>
  <c r="S158" i="24" s="1"/>
  <c r="C108" i="24"/>
  <c r="C119" i="24" s="1"/>
  <c r="C145" i="24" s="1"/>
  <c r="C158" i="24" s="1"/>
  <c r="K107" i="24"/>
  <c r="K118" i="24" s="1"/>
  <c r="K144" i="24" s="1"/>
  <c r="K157" i="24" s="1"/>
  <c r="S106" i="24"/>
  <c r="S117" i="24" s="1"/>
  <c r="S143" i="24" s="1"/>
  <c r="S156" i="24" s="1"/>
  <c r="C106" i="24"/>
  <c r="C117" i="24" s="1"/>
  <c r="K105" i="24"/>
  <c r="K116" i="24" s="1"/>
  <c r="K142" i="24" s="1"/>
  <c r="K155" i="24" s="1"/>
  <c r="O104" i="24"/>
  <c r="O115" i="24" s="1"/>
  <c r="W101" i="24"/>
  <c r="W112" i="24" s="1"/>
  <c r="W138" i="24" s="1"/>
  <c r="W151" i="24" s="1"/>
  <c r="Y99" i="24"/>
  <c r="Y110" i="24" s="1"/>
  <c r="I99" i="24"/>
  <c r="I110" i="24" s="1"/>
  <c r="O108" i="24"/>
  <c r="O119" i="24" s="1"/>
  <c r="W107" i="24"/>
  <c r="W118" i="24" s="1"/>
  <c r="W144" i="24" s="1"/>
  <c r="W157" i="24" s="1"/>
  <c r="G107" i="24"/>
  <c r="G118" i="24" s="1"/>
  <c r="G144" i="24" s="1"/>
  <c r="G157" i="24" s="1"/>
  <c r="O106" i="24"/>
  <c r="O117" i="24" s="1"/>
  <c r="W105" i="24"/>
  <c r="W116" i="24" s="1"/>
  <c r="W142" i="24" s="1"/>
  <c r="W155" i="24" s="1"/>
  <c r="G105" i="24"/>
  <c r="G116" i="24" s="1"/>
  <c r="G142" i="24" s="1"/>
  <c r="G155" i="24" s="1"/>
  <c r="W103" i="24"/>
  <c r="W114" i="24" s="1"/>
  <c r="W140" i="24" s="1"/>
  <c r="W153" i="24" s="1"/>
  <c r="G101" i="24"/>
  <c r="G112" i="24" s="1"/>
  <c r="U99" i="24"/>
  <c r="U110" i="24" s="1"/>
  <c r="E99" i="24"/>
  <c r="E110" i="24" s="1"/>
  <c r="K108" i="24"/>
  <c r="K119" i="24" s="1"/>
  <c r="K145" i="24" s="1"/>
  <c r="K158" i="24" s="1"/>
  <c r="S107" i="24"/>
  <c r="S118" i="24" s="1"/>
  <c r="S144" i="24" s="1"/>
  <c r="S157" i="24" s="1"/>
  <c r="C107" i="24"/>
  <c r="C118" i="24" s="1"/>
  <c r="C144" i="24" s="1"/>
  <c r="C157" i="24" s="1"/>
  <c r="K106" i="24"/>
  <c r="K117" i="24" s="1"/>
  <c r="K143" i="24" s="1"/>
  <c r="K156" i="24" s="1"/>
  <c r="S105" i="24"/>
  <c r="S116" i="24" s="1"/>
  <c r="S142" i="24" s="1"/>
  <c r="S155" i="24" s="1"/>
  <c r="C105" i="24"/>
  <c r="C116" i="24" s="1"/>
  <c r="G103" i="24"/>
  <c r="G114" i="24" s="1"/>
  <c r="G140" i="24" s="1"/>
  <c r="G153" i="24" s="1"/>
  <c r="O100" i="24"/>
  <c r="O111" i="24" s="1"/>
  <c r="B100" i="26"/>
  <c r="B111" i="26" s="1"/>
  <c r="B137" i="26" s="1"/>
  <c r="B150" i="26" s="1"/>
  <c r="F100" i="26"/>
  <c r="F111" i="26" s="1"/>
  <c r="F137" i="26" s="1"/>
  <c r="F150" i="26" s="1"/>
  <c r="J100" i="26"/>
  <c r="J111" i="26" s="1"/>
  <c r="J137" i="26" s="1"/>
  <c r="N100" i="26"/>
  <c r="N111" i="26" s="1"/>
  <c r="N137" i="26" s="1"/>
  <c r="N150" i="26" s="1"/>
  <c r="R100" i="26"/>
  <c r="R111" i="26" s="1"/>
  <c r="R137" i="26" s="1"/>
  <c r="R150" i="26" s="1"/>
  <c r="V100" i="26"/>
  <c r="V111" i="26" s="1"/>
  <c r="V137" i="26" s="1"/>
  <c r="B101" i="26"/>
  <c r="B112" i="26" s="1"/>
  <c r="F101" i="26"/>
  <c r="F112" i="26" s="1"/>
  <c r="F138" i="26" s="1"/>
  <c r="F151" i="26" s="1"/>
  <c r="J101" i="26"/>
  <c r="J112" i="26" s="1"/>
  <c r="N101" i="26"/>
  <c r="N112" i="26" s="1"/>
  <c r="N138" i="26" s="1"/>
  <c r="N151" i="26" s="1"/>
  <c r="R101" i="26"/>
  <c r="R112" i="26" s="1"/>
  <c r="R138" i="26" s="1"/>
  <c r="R151" i="26" s="1"/>
  <c r="V101" i="26"/>
  <c r="V112" i="26" s="1"/>
  <c r="V138" i="26" s="1"/>
  <c r="V151" i="26" s="1"/>
  <c r="B102" i="26"/>
  <c r="B113" i="26" s="1"/>
  <c r="F102" i="26"/>
  <c r="F113" i="26" s="1"/>
  <c r="J102" i="26"/>
  <c r="J113" i="26" s="1"/>
  <c r="N102" i="26"/>
  <c r="N113" i="26" s="1"/>
  <c r="R102" i="26"/>
  <c r="R113" i="26" s="1"/>
  <c r="V102" i="26"/>
  <c r="V113" i="26" s="1"/>
  <c r="B103" i="26"/>
  <c r="B114" i="26" s="1"/>
  <c r="B140" i="26" s="1"/>
  <c r="B153" i="26" s="1"/>
  <c r="F103" i="26"/>
  <c r="F114" i="26" s="1"/>
  <c r="J103" i="26"/>
  <c r="J114" i="26" s="1"/>
  <c r="J140" i="26" s="1"/>
  <c r="J153" i="26" s="1"/>
  <c r="N103" i="26"/>
  <c r="N114" i="26" s="1"/>
  <c r="R103" i="26"/>
  <c r="R114" i="26" s="1"/>
  <c r="R140" i="26" s="1"/>
  <c r="R153" i="26" s="1"/>
  <c r="V103" i="26"/>
  <c r="V114" i="26" s="1"/>
  <c r="B104" i="26"/>
  <c r="B115" i="26" s="1"/>
  <c r="B141" i="26" s="1"/>
  <c r="B154" i="26" s="1"/>
  <c r="F104" i="26"/>
  <c r="F115" i="26" s="1"/>
  <c r="J104" i="26"/>
  <c r="J115" i="26" s="1"/>
  <c r="J141" i="26" s="1"/>
  <c r="J154" i="26" s="1"/>
  <c r="N104" i="26"/>
  <c r="N115" i="26" s="1"/>
  <c r="R104" i="26"/>
  <c r="R115" i="26" s="1"/>
  <c r="R141" i="26" s="1"/>
  <c r="V104" i="26"/>
  <c r="V115" i="26" s="1"/>
  <c r="B105" i="26"/>
  <c r="B116" i="26" s="1"/>
  <c r="B142" i="26" s="1"/>
  <c r="F105" i="26"/>
  <c r="F116" i="26" s="1"/>
  <c r="F142" i="26" s="1"/>
  <c r="F155" i="26" s="1"/>
  <c r="J105" i="26"/>
  <c r="J116" i="26" s="1"/>
  <c r="J142" i="26" s="1"/>
  <c r="J155" i="26" s="1"/>
  <c r="N105" i="26"/>
  <c r="N116" i="26" s="1"/>
  <c r="R105" i="26"/>
  <c r="R116" i="26" s="1"/>
  <c r="R142" i="26" s="1"/>
  <c r="R155" i="26" s="1"/>
  <c r="V105" i="26"/>
  <c r="V116" i="26" s="1"/>
  <c r="V142" i="26" s="1"/>
  <c r="V155" i="26" s="1"/>
  <c r="B106" i="26"/>
  <c r="B117" i="26" s="1"/>
  <c r="F106" i="26"/>
  <c r="F117" i="26" s="1"/>
  <c r="J106" i="26"/>
  <c r="J117" i="26" s="1"/>
  <c r="N106" i="26"/>
  <c r="N117" i="26" s="1"/>
  <c r="R106" i="26"/>
  <c r="R117" i="26" s="1"/>
  <c r="V106" i="26"/>
  <c r="V117" i="26" s="1"/>
  <c r="B107" i="26"/>
  <c r="B118" i="26" s="1"/>
  <c r="F107" i="26"/>
  <c r="F118" i="26" s="1"/>
  <c r="F144" i="26" s="1"/>
  <c r="F157" i="26" s="1"/>
  <c r="J107" i="26"/>
  <c r="J118" i="26" s="1"/>
  <c r="N107" i="26"/>
  <c r="N118" i="26" s="1"/>
  <c r="N144" i="26" s="1"/>
  <c r="N157" i="26" s="1"/>
  <c r="R107" i="26"/>
  <c r="R118" i="26" s="1"/>
  <c r="V107" i="26"/>
  <c r="V118" i="26" s="1"/>
  <c r="V144" i="26" s="1"/>
  <c r="B108" i="26"/>
  <c r="B119" i="26" s="1"/>
  <c r="F108" i="26"/>
  <c r="F119" i="26" s="1"/>
  <c r="F145" i="26" s="1"/>
  <c r="J108" i="26"/>
  <c r="J119" i="26" s="1"/>
  <c r="N108" i="26"/>
  <c r="N119" i="26" s="1"/>
  <c r="N145" i="26" s="1"/>
  <c r="N158" i="26" s="1"/>
  <c r="R108" i="26"/>
  <c r="R119" i="26" s="1"/>
  <c r="V108" i="26"/>
  <c r="V119" i="26" s="1"/>
  <c r="C99" i="26"/>
  <c r="C110" i="26" s="1"/>
  <c r="C136" i="26" s="1"/>
  <c r="C149" i="26" s="1"/>
  <c r="G99" i="26"/>
  <c r="G110" i="26" s="1"/>
  <c r="G136" i="26" s="1"/>
  <c r="G149" i="26" s="1"/>
  <c r="K99" i="26"/>
  <c r="K110" i="26" s="1"/>
  <c r="K136" i="26" s="1"/>
  <c r="K149" i="26" s="1"/>
  <c r="K175" i="26" s="1"/>
  <c r="K185" i="26" s="1"/>
  <c r="K216" i="26" s="1"/>
  <c r="O99" i="26"/>
  <c r="O110" i="26" s="1"/>
  <c r="O136" i="26" s="1"/>
  <c r="O149" i="26" s="1"/>
  <c r="O201" i="26" s="1"/>
  <c r="O211" i="26" s="1"/>
  <c r="O218" i="26" s="1"/>
  <c r="S99" i="26"/>
  <c r="S110" i="26" s="1"/>
  <c r="S136" i="26" s="1"/>
  <c r="S149" i="26" s="1"/>
  <c r="S175" i="26" s="1"/>
  <c r="S185" i="26" s="1"/>
  <c r="S216" i="26" s="1"/>
  <c r="W99" i="26"/>
  <c r="W110" i="26" s="1"/>
  <c r="W136" i="26" s="1"/>
  <c r="W149" i="26" s="1"/>
  <c r="W175" i="26" s="1"/>
  <c r="W185" i="26" s="1"/>
  <c r="W216" i="26" s="1"/>
  <c r="C100" i="26"/>
  <c r="C111" i="26" s="1"/>
  <c r="G100" i="26"/>
  <c r="G111" i="26" s="1"/>
  <c r="G137" i="26" s="1"/>
  <c r="G150" i="26" s="1"/>
  <c r="K100" i="26"/>
  <c r="K111" i="26" s="1"/>
  <c r="O100" i="26"/>
  <c r="O111" i="26" s="1"/>
  <c r="O137" i="26" s="1"/>
  <c r="O150" i="26" s="1"/>
  <c r="S100" i="26"/>
  <c r="S111" i="26" s="1"/>
  <c r="W100" i="26"/>
  <c r="W111" i="26" s="1"/>
  <c r="C101" i="26"/>
  <c r="C112" i="26" s="1"/>
  <c r="G101" i="26"/>
  <c r="G112" i="26" s="1"/>
  <c r="K101" i="26"/>
  <c r="K112" i="26" s="1"/>
  <c r="O101" i="26"/>
  <c r="O112" i="26" s="1"/>
  <c r="S101" i="26"/>
  <c r="S112" i="26" s="1"/>
  <c r="W101" i="26"/>
  <c r="W112" i="26" s="1"/>
  <c r="C102" i="26"/>
  <c r="C113" i="26" s="1"/>
  <c r="C139" i="26" s="1"/>
  <c r="G102" i="26"/>
  <c r="G113" i="26" s="1"/>
  <c r="K102" i="26"/>
  <c r="K113" i="26" s="1"/>
  <c r="K139" i="26" s="1"/>
  <c r="K152" i="26" s="1"/>
  <c r="O102" i="26"/>
  <c r="O113" i="26" s="1"/>
  <c r="S102" i="26"/>
  <c r="S113" i="26" s="1"/>
  <c r="S139" i="26" s="1"/>
  <c r="S152" i="26" s="1"/>
  <c r="W102" i="26"/>
  <c r="W113" i="26" s="1"/>
  <c r="C103" i="26"/>
  <c r="C114" i="26" s="1"/>
  <c r="C140" i="26" s="1"/>
  <c r="C153" i="26" s="1"/>
  <c r="G103" i="26"/>
  <c r="G114" i="26" s="1"/>
  <c r="K103" i="26"/>
  <c r="K114" i="26" s="1"/>
  <c r="K140" i="26" s="1"/>
  <c r="K153" i="26" s="1"/>
  <c r="O103" i="26"/>
  <c r="O114" i="26" s="1"/>
  <c r="S103" i="26"/>
  <c r="S114" i="26" s="1"/>
  <c r="S140" i="26" s="1"/>
  <c r="S153" i="26" s="1"/>
  <c r="W103" i="26"/>
  <c r="W114" i="26" s="1"/>
  <c r="C104" i="26"/>
  <c r="C115" i="26" s="1"/>
  <c r="G104" i="26"/>
  <c r="G115" i="26" s="1"/>
  <c r="K104" i="26"/>
  <c r="K115" i="26" s="1"/>
  <c r="K141" i="26" s="1"/>
  <c r="K154" i="26" s="1"/>
  <c r="O104" i="26"/>
  <c r="O115" i="26" s="1"/>
  <c r="O141" i="26" s="1"/>
  <c r="S104" i="26"/>
  <c r="S115" i="26" s="1"/>
  <c r="S141" i="26" s="1"/>
  <c r="W104" i="26"/>
  <c r="W115" i="26" s="1"/>
  <c r="C105" i="26"/>
  <c r="C116" i="26" s="1"/>
  <c r="G105" i="26"/>
  <c r="G116" i="26" s="1"/>
  <c r="K105" i="26"/>
  <c r="K116" i="26" s="1"/>
  <c r="O105" i="26"/>
  <c r="O116" i="26" s="1"/>
  <c r="S105" i="26"/>
  <c r="S116" i="26" s="1"/>
  <c r="S142" i="26" s="1"/>
  <c r="S155" i="26" s="1"/>
  <c r="W105" i="26"/>
  <c r="W116" i="26" s="1"/>
  <c r="C106" i="26"/>
  <c r="C117" i="26" s="1"/>
  <c r="G106" i="26"/>
  <c r="G117" i="26" s="1"/>
  <c r="G143" i="26" s="1"/>
  <c r="G156" i="26" s="1"/>
  <c r="K106" i="26"/>
  <c r="K117" i="26" s="1"/>
  <c r="O106" i="26"/>
  <c r="O117" i="26" s="1"/>
  <c r="O143" i="26" s="1"/>
  <c r="S106" i="26"/>
  <c r="S117" i="26" s="1"/>
  <c r="W106" i="26"/>
  <c r="W117" i="26" s="1"/>
  <c r="W143" i="26" s="1"/>
  <c r="W156" i="26" s="1"/>
  <c r="C107" i="26"/>
  <c r="C118" i="26" s="1"/>
  <c r="G107" i="26"/>
  <c r="G118" i="26" s="1"/>
  <c r="G144" i="26" s="1"/>
  <c r="K107" i="26"/>
  <c r="K118" i="26" s="1"/>
  <c r="O107" i="26"/>
  <c r="O118" i="26" s="1"/>
  <c r="O144" i="26" s="1"/>
  <c r="O157" i="26" s="1"/>
  <c r="S107" i="26"/>
  <c r="S118" i="26" s="1"/>
  <c r="W107" i="26"/>
  <c r="W118" i="26" s="1"/>
  <c r="W144" i="26" s="1"/>
  <c r="W157" i="26" s="1"/>
  <c r="C108" i="26"/>
  <c r="C119" i="26" s="1"/>
  <c r="C145" i="26" s="1"/>
  <c r="C158" i="26" s="1"/>
  <c r="G108" i="26"/>
  <c r="G119" i="26" s="1"/>
  <c r="G145" i="26" s="1"/>
  <c r="G158" i="26" s="1"/>
  <c r="K108" i="26"/>
  <c r="K119" i="26" s="1"/>
  <c r="K145" i="26" s="1"/>
  <c r="K158" i="26" s="1"/>
  <c r="O108" i="26"/>
  <c r="O119" i="26" s="1"/>
  <c r="O145" i="26" s="1"/>
  <c r="O158" i="26" s="1"/>
  <c r="S108" i="26"/>
  <c r="S119" i="26" s="1"/>
  <c r="S145" i="26" s="1"/>
  <c r="S158" i="26" s="1"/>
  <c r="W108" i="26"/>
  <c r="W119" i="26" s="1"/>
  <c r="W145" i="26" s="1"/>
  <c r="W158" i="26" s="1"/>
  <c r="D99" i="26"/>
  <c r="D110" i="26" s="1"/>
  <c r="H99" i="26"/>
  <c r="H110" i="26" s="1"/>
  <c r="H136" i="26" s="1"/>
  <c r="H149" i="26" s="1"/>
  <c r="H162" i="26" s="1"/>
  <c r="H172" i="26" s="1"/>
  <c r="H215" i="26" s="1"/>
  <c r="L99" i="26"/>
  <c r="L110" i="26" s="1"/>
  <c r="P99" i="26"/>
  <c r="P110" i="26" s="1"/>
  <c r="P136" i="26" s="1"/>
  <c r="P149" i="26" s="1"/>
  <c r="P201" i="26" s="1"/>
  <c r="P211" i="26" s="1"/>
  <c r="P218" i="26" s="1"/>
  <c r="T99" i="26"/>
  <c r="T110" i="26" s="1"/>
  <c r="X99" i="26"/>
  <c r="X110" i="26" s="1"/>
  <c r="X136" i="26" s="1"/>
  <c r="X149" i="26" s="1"/>
  <c r="X175" i="26" s="1"/>
  <c r="X185" i="26" s="1"/>
  <c r="X216" i="26" s="1"/>
  <c r="D100" i="26"/>
  <c r="D111" i="26" s="1"/>
  <c r="H100" i="26"/>
  <c r="H111" i="26" s="1"/>
  <c r="L100" i="26"/>
  <c r="L111" i="26" s="1"/>
  <c r="P100" i="26"/>
  <c r="P111" i="26" s="1"/>
  <c r="T100" i="26"/>
  <c r="T111" i="26" s="1"/>
  <c r="X100" i="26"/>
  <c r="X111" i="26" s="1"/>
  <c r="D101" i="26"/>
  <c r="D112" i="26" s="1"/>
  <c r="D138" i="26" s="1"/>
  <c r="H101" i="26"/>
  <c r="H112" i="26" s="1"/>
  <c r="L101" i="26"/>
  <c r="L112" i="26" s="1"/>
  <c r="L138" i="26" s="1"/>
  <c r="L151" i="26" s="1"/>
  <c r="P101" i="26"/>
  <c r="P112" i="26" s="1"/>
  <c r="T101" i="26"/>
  <c r="T112" i="26" s="1"/>
  <c r="T138" i="26" s="1"/>
  <c r="T151" i="26" s="1"/>
  <c r="X101" i="26"/>
  <c r="X112" i="26" s="1"/>
  <c r="D102" i="26"/>
  <c r="D113" i="26" s="1"/>
  <c r="D139" i="26" s="1"/>
  <c r="H102" i="26"/>
  <c r="H113" i="26" s="1"/>
  <c r="H139" i="26" s="1"/>
  <c r="H152" i="26" s="1"/>
  <c r="L102" i="26"/>
  <c r="L113" i="26" s="1"/>
  <c r="L139" i="26" s="1"/>
  <c r="P102" i="26"/>
  <c r="P113" i="26" s="1"/>
  <c r="P139" i="26" s="1"/>
  <c r="P152" i="26" s="1"/>
  <c r="T102" i="26"/>
  <c r="T113" i="26" s="1"/>
  <c r="T139" i="26" s="1"/>
  <c r="X102" i="26"/>
  <c r="X113" i="26" s="1"/>
  <c r="D103" i="26"/>
  <c r="D114" i="26" s="1"/>
  <c r="D140" i="26" s="1"/>
  <c r="D153" i="26" s="1"/>
  <c r="H103" i="26"/>
  <c r="H114" i="26" s="1"/>
  <c r="H140" i="26" s="1"/>
  <c r="H153" i="26" s="1"/>
  <c r="L103" i="26"/>
  <c r="L114" i="26" s="1"/>
  <c r="L140" i="26" s="1"/>
  <c r="L153" i="26" s="1"/>
  <c r="P103" i="26"/>
  <c r="P114" i="26" s="1"/>
  <c r="T103" i="26"/>
  <c r="T114" i="26" s="1"/>
  <c r="T140" i="26" s="1"/>
  <c r="X103" i="26"/>
  <c r="X114" i="26" s="1"/>
  <c r="X140" i="26" s="1"/>
  <c r="X153" i="26" s="1"/>
  <c r="D104" i="26"/>
  <c r="D115" i="26" s="1"/>
  <c r="H104" i="26"/>
  <c r="H115" i="26" s="1"/>
  <c r="L104" i="26"/>
  <c r="L115" i="26" s="1"/>
  <c r="L141" i="26" s="1"/>
  <c r="L154" i="26" s="1"/>
  <c r="P104" i="26"/>
  <c r="P115" i="26" s="1"/>
  <c r="T104" i="26"/>
  <c r="T115" i="26" s="1"/>
  <c r="X104" i="26"/>
  <c r="X115" i="26" s="1"/>
  <c r="D105" i="26"/>
  <c r="D116" i="26" s="1"/>
  <c r="H105" i="26"/>
  <c r="H116" i="26" s="1"/>
  <c r="H142" i="26" s="1"/>
  <c r="H155" i="26" s="1"/>
  <c r="L105" i="26"/>
  <c r="L116" i="26" s="1"/>
  <c r="P105" i="26"/>
  <c r="P116" i="26" s="1"/>
  <c r="T105" i="26"/>
  <c r="T116" i="26" s="1"/>
  <c r="X105" i="26"/>
  <c r="X116" i="26" s="1"/>
  <c r="D106" i="26"/>
  <c r="D117" i="26" s="1"/>
  <c r="H106" i="26"/>
  <c r="H117" i="26" s="1"/>
  <c r="L106" i="26"/>
  <c r="L117" i="26" s="1"/>
  <c r="P106" i="26"/>
  <c r="P117" i="26" s="1"/>
  <c r="P143" i="26" s="1"/>
  <c r="P156" i="26" s="1"/>
  <c r="T106" i="26"/>
  <c r="T117" i="26" s="1"/>
  <c r="X106" i="26"/>
  <c r="X117" i="26" s="1"/>
  <c r="X143" i="26" s="1"/>
  <c r="X156" i="26" s="1"/>
  <c r="D107" i="26"/>
  <c r="D118" i="26" s="1"/>
  <c r="D144" i="26" s="1"/>
  <c r="H107" i="26"/>
  <c r="H118" i="26" s="1"/>
  <c r="H144" i="26" s="1"/>
  <c r="H157" i="26" s="1"/>
  <c r="L107" i="26"/>
  <c r="L118" i="26" s="1"/>
  <c r="L144" i="26" s="1"/>
  <c r="L157" i="26" s="1"/>
  <c r="P107" i="26"/>
  <c r="P118" i="26" s="1"/>
  <c r="P144" i="26" s="1"/>
  <c r="P157" i="26" s="1"/>
  <c r="T107" i="26"/>
  <c r="T118" i="26" s="1"/>
  <c r="T144" i="26" s="1"/>
  <c r="T157" i="26" s="1"/>
  <c r="X107" i="26"/>
  <c r="X118" i="26" s="1"/>
  <c r="X144" i="26" s="1"/>
  <c r="X157" i="26" s="1"/>
  <c r="D108" i="26"/>
  <c r="D119" i="26" s="1"/>
  <c r="H108" i="26"/>
  <c r="H119" i="26" s="1"/>
  <c r="L108" i="26"/>
  <c r="L119" i="26" s="1"/>
  <c r="P108" i="26"/>
  <c r="P119" i="26" s="1"/>
  <c r="T108" i="26"/>
  <c r="T119" i="26" s="1"/>
  <c r="X108" i="26"/>
  <c r="X119" i="26" s="1"/>
  <c r="E99" i="26"/>
  <c r="E110" i="26" s="1"/>
  <c r="E136" i="26" s="1"/>
  <c r="E149" i="26" s="1"/>
  <c r="I99" i="26"/>
  <c r="I110" i="26" s="1"/>
  <c r="M99" i="26"/>
  <c r="M110" i="26" s="1"/>
  <c r="Q99" i="26"/>
  <c r="Q110" i="26" s="1"/>
  <c r="U99" i="26"/>
  <c r="U110" i="26" s="1"/>
  <c r="Y99" i="26"/>
  <c r="Y110" i="26" s="1"/>
  <c r="E100" i="26"/>
  <c r="E111" i="26" s="1"/>
  <c r="U100" i="26"/>
  <c r="U111" i="26" s="1"/>
  <c r="U137" i="26" s="1"/>
  <c r="U150" i="26" s="1"/>
  <c r="M101" i="26"/>
  <c r="M112" i="26" s="1"/>
  <c r="M138" i="26" s="1"/>
  <c r="M151" i="26" s="1"/>
  <c r="E102" i="26"/>
  <c r="E113" i="26" s="1"/>
  <c r="U102" i="26"/>
  <c r="U113" i="26" s="1"/>
  <c r="U139" i="26" s="1"/>
  <c r="M103" i="26"/>
  <c r="M114" i="26" s="1"/>
  <c r="E104" i="26"/>
  <c r="E115" i="26" s="1"/>
  <c r="U104" i="26"/>
  <c r="U115" i="26" s="1"/>
  <c r="M105" i="26"/>
  <c r="M116" i="26" s="1"/>
  <c r="E106" i="26"/>
  <c r="E117" i="26" s="1"/>
  <c r="U106" i="26"/>
  <c r="U117" i="26" s="1"/>
  <c r="M107" i="26"/>
  <c r="M118" i="26" s="1"/>
  <c r="M144" i="26" s="1"/>
  <c r="M157" i="26" s="1"/>
  <c r="E108" i="26"/>
  <c r="E119" i="26" s="1"/>
  <c r="E145" i="26" s="1"/>
  <c r="E158" i="26" s="1"/>
  <c r="U108" i="26"/>
  <c r="U119" i="26" s="1"/>
  <c r="U145" i="26" s="1"/>
  <c r="U158" i="26" s="1"/>
  <c r="N99" i="26"/>
  <c r="N110" i="26" s="1"/>
  <c r="N136" i="26" s="1"/>
  <c r="N149" i="26" s="1"/>
  <c r="N201" i="26" s="1"/>
  <c r="N211" i="26" s="1"/>
  <c r="N218" i="26" s="1"/>
  <c r="I100" i="26"/>
  <c r="I111" i="26" s="1"/>
  <c r="Y100" i="26"/>
  <c r="Y111" i="26" s="1"/>
  <c r="Q101" i="26"/>
  <c r="Q112" i="26" s="1"/>
  <c r="Q138" i="26" s="1"/>
  <c r="Q151" i="26" s="1"/>
  <c r="I102" i="26"/>
  <c r="I113" i="26" s="1"/>
  <c r="Y102" i="26"/>
  <c r="Y113" i="26" s="1"/>
  <c r="Y139" i="26" s="1"/>
  <c r="Y152" i="26" s="1"/>
  <c r="Q103" i="26"/>
  <c r="Q114" i="26" s="1"/>
  <c r="I104" i="26"/>
  <c r="I115" i="26" s="1"/>
  <c r="I141" i="26" s="1"/>
  <c r="I154" i="26" s="1"/>
  <c r="Y104" i="26"/>
  <c r="Y115" i="26" s="1"/>
  <c r="Y141" i="26" s="1"/>
  <c r="Y154" i="26" s="1"/>
  <c r="Q105" i="26"/>
  <c r="Q116" i="26" s="1"/>
  <c r="Q142" i="26" s="1"/>
  <c r="Q155" i="26" s="1"/>
  <c r="I106" i="26"/>
  <c r="I117" i="26" s="1"/>
  <c r="I143" i="26" s="1"/>
  <c r="I156" i="26" s="1"/>
  <c r="Y106" i="26"/>
  <c r="Y117" i="26" s="1"/>
  <c r="Y143" i="26" s="1"/>
  <c r="Y156" i="26" s="1"/>
  <c r="Q107" i="26"/>
  <c r="Q118" i="26" s="1"/>
  <c r="I108" i="26"/>
  <c r="I119" i="26" s="1"/>
  <c r="Y108" i="26"/>
  <c r="Y119" i="26" s="1"/>
  <c r="R99" i="26"/>
  <c r="R110" i="26" s="1"/>
  <c r="M100" i="26"/>
  <c r="M111" i="26" s="1"/>
  <c r="M137" i="26" s="1"/>
  <c r="M150" i="26" s="1"/>
  <c r="E101" i="26"/>
  <c r="E112" i="26" s="1"/>
  <c r="U101" i="26"/>
  <c r="U112" i="26" s="1"/>
  <c r="U138" i="26" s="1"/>
  <c r="M102" i="26"/>
  <c r="M113" i="26" s="1"/>
  <c r="M139" i="26" s="1"/>
  <c r="M152" i="26" s="1"/>
  <c r="E103" i="26"/>
  <c r="E114" i="26" s="1"/>
  <c r="E140" i="26" s="1"/>
  <c r="E153" i="26" s="1"/>
  <c r="U103" i="26"/>
  <c r="U114" i="26" s="1"/>
  <c r="M104" i="26"/>
  <c r="M115" i="26" s="1"/>
  <c r="E105" i="26"/>
  <c r="E116" i="26" s="1"/>
  <c r="U105" i="26"/>
  <c r="U116" i="26" s="1"/>
  <c r="M106" i="26"/>
  <c r="M117" i="26" s="1"/>
  <c r="M143" i="26" s="1"/>
  <c r="M156" i="26" s="1"/>
  <c r="E107" i="26"/>
  <c r="E118" i="26" s="1"/>
  <c r="U107" i="26"/>
  <c r="U118" i="26" s="1"/>
  <c r="M108" i="26"/>
  <c r="M119" i="26" s="1"/>
  <c r="M145" i="26" s="1"/>
  <c r="M158" i="26" s="1"/>
  <c r="F99" i="26"/>
  <c r="F110" i="26" s="1"/>
  <c r="V99" i="26"/>
  <c r="V110" i="26" s="1"/>
  <c r="V136" i="26" s="1"/>
  <c r="V149" i="26" s="1"/>
  <c r="V175" i="26" s="1"/>
  <c r="V185" i="26" s="1"/>
  <c r="V216" i="26" s="1"/>
  <c r="P108" i="25"/>
  <c r="P119" i="25" s="1"/>
  <c r="H107" i="25"/>
  <c r="H118" i="25" s="1"/>
  <c r="H105" i="25"/>
  <c r="H116" i="25" s="1"/>
  <c r="H142" i="25" s="1"/>
  <c r="H155" i="25" s="1"/>
  <c r="I103" i="25"/>
  <c r="I114" i="25" s="1"/>
  <c r="Q102" i="26"/>
  <c r="Q113" i="26" s="1"/>
  <c r="Q139" i="26" s="1"/>
  <c r="Q152" i="26" s="1"/>
  <c r="L172" i="25"/>
  <c r="L215" i="25" s="1"/>
  <c r="T172" i="25"/>
  <c r="T215" i="25" s="1"/>
  <c r="X99" i="24"/>
  <c r="X110" i="24" s="1"/>
  <c r="T99" i="24"/>
  <c r="T110" i="24" s="1"/>
  <c r="P99" i="24"/>
  <c r="P110" i="24" s="1"/>
  <c r="L99" i="24"/>
  <c r="L110" i="24" s="1"/>
  <c r="L136" i="24" s="1"/>
  <c r="L149" i="24" s="1"/>
  <c r="L201" i="24" s="1"/>
  <c r="L211" i="24" s="1"/>
  <c r="L218" i="24" s="1"/>
  <c r="H99" i="24"/>
  <c r="H110" i="24" s="1"/>
  <c r="D99" i="24"/>
  <c r="D110" i="24" s="1"/>
  <c r="V108" i="24"/>
  <c r="V119" i="24" s="1"/>
  <c r="V145" i="24" s="1"/>
  <c r="V158" i="24" s="1"/>
  <c r="R108" i="24"/>
  <c r="R119" i="24" s="1"/>
  <c r="N108" i="24"/>
  <c r="N119" i="24" s="1"/>
  <c r="N145" i="24" s="1"/>
  <c r="N158" i="24" s="1"/>
  <c r="J108" i="24"/>
  <c r="J119" i="24" s="1"/>
  <c r="J145" i="24" s="1"/>
  <c r="J158" i="24" s="1"/>
  <c r="F108" i="24"/>
  <c r="F119" i="24" s="1"/>
  <c r="F145" i="24" s="1"/>
  <c r="F158" i="24" s="1"/>
  <c r="B108" i="24"/>
  <c r="B119" i="24" s="1"/>
  <c r="B145" i="24" s="1"/>
  <c r="B158" i="24" s="1"/>
  <c r="V107" i="24"/>
  <c r="V118" i="24" s="1"/>
  <c r="R107" i="24"/>
  <c r="R118" i="24" s="1"/>
  <c r="R144" i="24" s="1"/>
  <c r="R157" i="24" s="1"/>
  <c r="N107" i="24"/>
  <c r="N118" i="24" s="1"/>
  <c r="J107" i="24"/>
  <c r="J118" i="24" s="1"/>
  <c r="J144" i="24" s="1"/>
  <c r="F107" i="24"/>
  <c r="F118" i="24" s="1"/>
  <c r="B107" i="24"/>
  <c r="B118" i="24" s="1"/>
  <c r="B144" i="24" s="1"/>
  <c r="V106" i="24"/>
  <c r="V117" i="24" s="1"/>
  <c r="V143" i="24" s="1"/>
  <c r="V156" i="24" s="1"/>
  <c r="R106" i="24"/>
  <c r="R117" i="24" s="1"/>
  <c r="R143" i="24" s="1"/>
  <c r="R156" i="24" s="1"/>
  <c r="N106" i="24"/>
  <c r="N117" i="24" s="1"/>
  <c r="N143" i="24" s="1"/>
  <c r="N156" i="24" s="1"/>
  <c r="J106" i="24"/>
  <c r="J117" i="24" s="1"/>
  <c r="J143" i="24" s="1"/>
  <c r="J156" i="24" s="1"/>
  <c r="F106" i="24"/>
  <c r="F117" i="24" s="1"/>
  <c r="F143" i="24" s="1"/>
  <c r="F156" i="24" s="1"/>
  <c r="B106" i="24"/>
  <c r="B117" i="24" s="1"/>
  <c r="B143" i="24" s="1"/>
  <c r="B156" i="24" s="1"/>
  <c r="V105" i="24"/>
  <c r="V116" i="24" s="1"/>
  <c r="V142" i="24" s="1"/>
  <c r="V155" i="24" s="1"/>
  <c r="R105" i="24"/>
  <c r="R116" i="24" s="1"/>
  <c r="N105" i="24"/>
  <c r="N116" i="24" s="1"/>
  <c r="N142" i="24" s="1"/>
  <c r="N155" i="24" s="1"/>
  <c r="J105" i="24"/>
  <c r="J116" i="24" s="1"/>
  <c r="F105" i="24"/>
  <c r="F116" i="24" s="1"/>
  <c r="F142" i="24" s="1"/>
  <c r="F155" i="24" s="1"/>
  <c r="B105" i="24"/>
  <c r="B116" i="24" s="1"/>
  <c r="B142" i="24" s="1"/>
  <c r="V104" i="24"/>
  <c r="V115" i="24" s="1"/>
  <c r="V141" i="24" s="1"/>
  <c r="V154" i="24" s="1"/>
  <c r="K104" i="24"/>
  <c r="K115" i="24" s="1"/>
  <c r="K141" i="24" s="1"/>
  <c r="K154" i="24" s="1"/>
  <c r="S103" i="24"/>
  <c r="S114" i="24" s="1"/>
  <c r="S140" i="24" s="1"/>
  <c r="S153" i="24" s="1"/>
  <c r="C103" i="24"/>
  <c r="C114" i="24" s="1"/>
  <c r="K102" i="24"/>
  <c r="K113" i="24" s="1"/>
  <c r="S101" i="24"/>
  <c r="S112" i="24" s="1"/>
  <c r="C101" i="24"/>
  <c r="C112" i="24" s="1"/>
  <c r="K100" i="24"/>
  <c r="K111" i="24" s="1"/>
  <c r="U99" i="25"/>
  <c r="U110" i="25" s="1"/>
  <c r="U136" i="25" s="1"/>
  <c r="U149" i="25" s="1"/>
  <c r="U175" i="25" s="1"/>
  <c r="U185" i="25" s="1"/>
  <c r="U216" i="25" s="1"/>
  <c r="E99" i="25"/>
  <c r="E110" i="25" s="1"/>
  <c r="E136" i="25" s="1"/>
  <c r="E149" i="25" s="1"/>
  <c r="L108" i="25"/>
  <c r="L119" i="25" s="1"/>
  <c r="T107" i="25"/>
  <c r="T118" i="25" s="1"/>
  <c r="D107" i="25"/>
  <c r="D118" i="25" s="1"/>
  <c r="L106" i="25"/>
  <c r="L117" i="25" s="1"/>
  <c r="T105" i="25"/>
  <c r="T116" i="25" s="1"/>
  <c r="D105" i="25"/>
  <c r="D116" i="25" s="1"/>
  <c r="D142" i="25" s="1"/>
  <c r="D155" i="25" s="1"/>
  <c r="L104" i="25"/>
  <c r="L115" i="25" s="1"/>
  <c r="Q102" i="25"/>
  <c r="Q113" i="25" s="1"/>
  <c r="B99" i="26"/>
  <c r="B110" i="26" s="1"/>
  <c r="I107" i="26"/>
  <c r="I118" i="26" s="1"/>
  <c r="Q104" i="26"/>
  <c r="Q115" i="26" s="1"/>
  <c r="Q141" i="26" s="1"/>
  <c r="Y101" i="26"/>
  <c r="Y112" i="26" s="1"/>
  <c r="Y138" i="26" s="1"/>
  <c r="Y151" i="26" s="1"/>
  <c r="Y99" i="25"/>
  <c r="Y110" i="25" s="1"/>
  <c r="Y136" i="25" s="1"/>
  <c r="Y149" i="25" s="1"/>
  <c r="Y175" i="25" s="1"/>
  <c r="Y185" i="25" s="1"/>
  <c r="Y216" i="25" s="1"/>
  <c r="X107" i="25"/>
  <c r="X118" i="25" s="1"/>
  <c r="P106" i="25"/>
  <c r="P117" i="25" s="1"/>
  <c r="P104" i="25"/>
  <c r="P115" i="25" s="1"/>
  <c r="Q100" i="25"/>
  <c r="Q111" i="25" s="1"/>
  <c r="Q137" i="25" s="1"/>
  <c r="Q150" i="25" s="1"/>
  <c r="I105" i="26"/>
  <c r="I116" i="26" s="1"/>
  <c r="I142" i="26" s="1"/>
  <c r="I155" i="26" s="1"/>
  <c r="W99" i="24"/>
  <c r="W110" i="24" s="1"/>
  <c r="S99" i="24"/>
  <c r="S110" i="24" s="1"/>
  <c r="O99" i="24"/>
  <c r="O110" i="24" s="1"/>
  <c r="K99" i="24"/>
  <c r="K110" i="24" s="1"/>
  <c r="K136" i="24" s="1"/>
  <c r="K149" i="24" s="1"/>
  <c r="K175" i="24" s="1"/>
  <c r="K185" i="24" s="1"/>
  <c r="K216" i="24" s="1"/>
  <c r="G99" i="24"/>
  <c r="G110" i="24" s="1"/>
  <c r="C99" i="24"/>
  <c r="C110" i="24" s="1"/>
  <c r="U108" i="24"/>
  <c r="U119" i="24" s="1"/>
  <c r="Q108" i="24"/>
  <c r="Q119" i="24" s="1"/>
  <c r="M108" i="24"/>
  <c r="M119" i="24" s="1"/>
  <c r="I108" i="24"/>
  <c r="I119" i="24" s="1"/>
  <c r="I145" i="24" s="1"/>
  <c r="I158" i="24" s="1"/>
  <c r="E108" i="24"/>
  <c r="E119" i="24" s="1"/>
  <c r="Y107" i="24"/>
  <c r="Y118" i="24" s="1"/>
  <c r="Y144" i="24" s="1"/>
  <c r="Y157" i="24" s="1"/>
  <c r="U107" i="24"/>
  <c r="U118" i="24" s="1"/>
  <c r="U144" i="24" s="1"/>
  <c r="U157" i="24" s="1"/>
  <c r="Q107" i="24"/>
  <c r="Q118" i="24" s="1"/>
  <c r="Q144" i="24" s="1"/>
  <c r="Q157" i="24" s="1"/>
  <c r="M107" i="24"/>
  <c r="M118" i="24" s="1"/>
  <c r="I107" i="24"/>
  <c r="I118" i="24" s="1"/>
  <c r="I144" i="24" s="1"/>
  <c r="I157" i="24" s="1"/>
  <c r="E107" i="24"/>
  <c r="E118" i="24" s="1"/>
  <c r="E144" i="24" s="1"/>
  <c r="E157" i="24" s="1"/>
  <c r="Y106" i="24"/>
  <c r="Y117" i="24" s="1"/>
  <c r="Y143" i="24" s="1"/>
  <c r="Y156" i="24" s="1"/>
  <c r="U106" i="24"/>
  <c r="U117" i="24" s="1"/>
  <c r="U143" i="24" s="1"/>
  <c r="U156" i="24" s="1"/>
  <c r="Q106" i="24"/>
  <c r="Q117" i="24" s="1"/>
  <c r="Q143" i="24" s="1"/>
  <c r="Q156" i="24" s="1"/>
  <c r="M106" i="24"/>
  <c r="M117" i="24" s="1"/>
  <c r="M143" i="24" s="1"/>
  <c r="M156" i="24" s="1"/>
  <c r="I106" i="24"/>
  <c r="I117" i="24" s="1"/>
  <c r="E106" i="24"/>
  <c r="E117" i="24" s="1"/>
  <c r="E143" i="24" s="1"/>
  <c r="E156" i="24" s="1"/>
  <c r="Y105" i="24"/>
  <c r="Y116" i="24" s="1"/>
  <c r="Y142" i="24" s="1"/>
  <c r="Y155" i="24" s="1"/>
  <c r="U105" i="24"/>
  <c r="U116" i="24" s="1"/>
  <c r="U142" i="24" s="1"/>
  <c r="Q105" i="24"/>
  <c r="Q116" i="24" s="1"/>
  <c r="M105" i="24"/>
  <c r="M116" i="24" s="1"/>
  <c r="M142" i="24" s="1"/>
  <c r="M155" i="24" s="1"/>
  <c r="I105" i="24"/>
  <c r="I116" i="24" s="1"/>
  <c r="E105" i="24"/>
  <c r="E116" i="24" s="1"/>
  <c r="E142" i="24" s="1"/>
  <c r="E155" i="24" s="1"/>
  <c r="Y104" i="24"/>
  <c r="Y115" i="24" s="1"/>
  <c r="U104" i="24"/>
  <c r="U115" i="24" s="1"/>
  <c r="U141" i="24" s="1"/>
  <c r="U154" i="24" s="1"/>
  <c r="G104" i="24"/>
  <c r="G115" i="24" s="1"/>
  <c r="G141" i="24" s="1"/>
  <c r="G154" i="24" s="1"/>
  <c r="O103" i="24"/>
  <c r="O114" i="24" s="1"/>
  <c r="W102" i="24"/>
  <c r="W113" i="24" s="1"/>
  <c r="G102" i="24"/>
  <c r="G113" i="24" s="1"/>
  <c r="G139" i="24" s="1"/>
  <c r="G152" i="24" s="1"/>
  <c r="O101" i="24"/>
  <c r="O112" i="24" s="1"/>
  <c r="W100" i="24"/>
  <c r="W111" i="24" s="1"/>
  <c r="Q99" i="25"/>
  <c r="Q110" i="25" s="1"/>
  <c r="Q136" i="25" s="1"/>
  <c r="Q149" i="25" s="1"/>
  <c r="Q201" i="25" s="1"/>
  <c r="Q211" i="25" s="1"/>
  <c r="Q218" i="25" s="1"/>
  <c r="X108" i="25"/>
  <c r="X119" i="25" s="1"/>
  <c r="H108" i="25"/>
  <c r="H119" i="25" s="1"/>
  <c r="P107" i="25"/>
  <c r="P118" i="25" s="1"/>
  <c r="X106" i="25"/>
  <c r="X117" i="25" s="1"/>
  <c r="H106" i="25"/>
  <c r="H117" i="25" s="1"/>
  <c r="P105" i="25"/>
  <c r="P116" i="25" s="1"/>
  <c r="P142" i="25" s="1"/>
  <c r="P155" i="25" s="1"/>
  <c r="X104" i="25"/>
  <c r="X115" i="25" s="1"/>
  <c r="H104" i="25"/>
  <c r="H115" i="25" s="1"/>
  <c r="J99" i="26"/>
  <c r="J110" i="26" s="1"/>
  <c r="Q106" i="26"/>
  <c r="Q117" i="26" s="1"/>
  <c r="Q143" i="26" s="1"/>
  <c r="Y103" i="26"/>
  <c r="Y114" i="26" s="1"/>
  <c r="I101" i="26"/>
  <c r="I112" i="26" s="1"/>
  <c r="I138" i="26" s="1"/>
  <c r="I151" i="26" s="1"/>
  <c r="B100" i="25"/>
  <c r="B111" i="25" s="1"/>
  <c r="B137" i="25" s="1"/>
  <c r="F100" i="25"/>
  <c r="F111" i="25" s="1"/>
  <c r="F137" i="25" s="1"/>
  <c r="F150" i="25" s="1"/>
  <c r="J100" i="25"/>
  <c r="J111" i="25" s="1"/>
  <c r="J137" i="25" s="1"/>
  <c r="J150" i="25" s="1"/>
  <c r="N100" i="25"/>
  <c r="N111" i="25" s="1"/>
  <c r="N137" i="25" s="1"/>
  <c r="N150" i="25" s="1"/>
  <c r="R100" i="25"/>
  <c r="R111" i="25" s="1"/>
  <c r="R137" i="25" s="1"/>
  <c r="R150" i="25" s="1"/>
  <c r="V100" i="25"/>
  <c r="V111" i="25" s="1"/>
  <c r="V137" i="25" s="1"/>
  <c r="V150" i="25" s="1"/>
  <c r="B101" i="25"/>
  <c r="B112" i="25" s="1"/>
  <c r="B138" i="25" s="1"/>
  <c r="B151" i="25" s="1"/>
  <c r="F101" i="25"/>
  <c r="F112" i="25" s="1"/>
  <c r="F138" i="25" s="1"/>
  <c r="F151" i="25" s="1"/>
  <c r="J101" i="25"/>
  <c r="J112" i="25" s="1"/>
  <c r="J138" i="25" s="1"/>
  <c r="J151" i="25" s="1"/>
  <c r="N101" i="25"/>
  <c r="N112" i="25" s="1"/>
  <c r="N138" i="25" s="1"/>
  <c r="N151" i="25" s="1"/>
  <c r="R101" i="25"/>
  <c r="R112" i="25" s="1"/>
  <c r="R138" i="25" s="1"/>
  <c r="R151" i="25" s="1"/>
  <c r="V101" i="25"/>
  <c r="V112" i="25" s="1"/>
  <c r="V138" i="25" s="1"/>
  <c r="V151" i="25" s="1"/>
  <c r="B102" i="25"/>
  <c r="B113" i="25" s="1"/>
  <c r="B139" i="25" s="1"/>
  <c r="B152" i="25" s="1"/>
  <c r="F102" i="25"/>
  <c r="F113" i="25" s="1"/>
  <c r="F139" i="25" s="1"/>
  <c r="F152" i="25" s="1"/>
  <c r="J102" i="25"/>
  <c r="J113" i="25" s="1"/>
  <c r="J139" i="25" s="1"/>
  <c r="J152" i="25" s="1"/>
  <c r="N102" i="25"/>
  <c r="N113" i="25" s="1"/>
  <c r="R102" i="25"/>
  <c r="R113" i="25" s="1"/>
  <c r="R139" i="25" s="1"/>
  <c r="R152" i="25" s="1"/>
  <c r="V102" i="25"/>
  <c r="V113" i="25" s="1"/>
  <c r="B103" i="25"/>
  <c r="B114" i="25" s="1"/>
  <c r="B140" i="25" s="1"/>
  <c r="F103" i="25"/>
  <c r="F114" i="25" s="1"/>
  <c r="F140" i="25" s="1"/>
  <c r="F153" i="25" s="1"/>
  <c r="J103" i="25"/>
  <c r="J114" i="25" s="1"/>
  <c r="J140" i="25" s="1"/>
  <c r="J153" i="25" s="1"/>
  <c r="N103" i="25"/>
  <c r="N114" i="25" s="1"/>
  <c r="N140" i="25" s="1"/>
  <c r="N153" i="25" s="1"/>
  <c r="R103" i="25"/>
  <c r="R114" i="25" s="1"/>
  <c r="V103" i="25"/>
  <c r="V114" i="25" s="1"/>
  <c r="V140" i="25" s="1"/>
  <c r="V153" i="25" s="1"/>
  <c r="B104" i="25"/>
  <c r="B115" i="25" s="1"/>
  <c r="C100" i="25"/>
  <c r="C111" i="25" s="1"/>
  <c r="G100" i="25"/>
  <c r="G111" i="25" s="1"/>
  <c r="G137" i="25" s="1"/>
  <c r="G150" i="25" s="1"/>
  <c r="K100" i="25"/>
  <c r="K111" i="25" s="1"/>
  <c r="O100" i="25"/>
  <c r="O111" i="25" s="1"/>
  <c r="O137" i="25" s="1"/>
  <c r="O150" i="25" s="1"/>
  <c r="S100" i="25"/>
  <c r="S111" i="25" s="1"/>
  <c r="S137" i="25" s="1"/>
  <c r="S150" i="25" s="1"/>
  <c r="W100" i="25"/>
  <c r="W111" i="25" s="1"/>
  <c r="W137" i="25" s="1"/>
  <c r="W150" i="25" s="1"/>
  <c r="C101" i="25"/>
  <c r="C112" i="25" s="1"/>
  <c r="C138" i="25" s="1"/>
  <c r="C151" i="25" s="1"/>
  <c r="G101" i="25"/>
  <c r="G112" i="25" s="1"/>
  <c r="G138" i="25" s="1"/>
  <c r="G151" i="25" s="1"/>
  <c r="K101" i="25"/>
  <c r="K112" i="25" s="1"/>
  <c r="K138" i="25" s="1"/>
  <c r="K151" i="25" s="1"/>
  <c r="O101" i="25"/>
  <c r="O112" i="25" s="1"/>
  <c r="O138" i="25" s="1"/>
  <c r="O151" i="25" s="1"/>
  <c r="S101" i="25"/>
  <c r="S112" i="25" s="1"/>
  <c r="S138" i="25" s="1"/>
  <c r="S151" i="25" s="1"/>
  <c r="W101" i="25"/>
  <c r="W112" i="25" s="1"/>
  <c r="W138" i="25" s="1"/>
  <c r="W151" i="25" s="1"/>
  <c r="C102" i="25"/>
  <c r="C113" i="25" s="1"/>
  <c r="C139" i="25" s="1"/>
  <c r="C152" i="25" s="1"/>
  <c r="G102" i="25"/>
  <c r="G113" i="25" s="1"/>
  <c r="G139" i="25" s="1"/>
  <c r="G152" i="25" s="1"/>
  <c r="K102" i="25"/>
  <c r="K113" i="25" s="1"/>
  <c r="O102" i="25"/>
  <c r="O113" i="25" s="1"/>
  <c r="O139" i="25" s="1"/>
  <c r="O152" i="25" s="1"/>
  <c r="S102" i="25"/>
  <c r="S113" i="25" s="1"/>
  <c r="W102" i="25"/>
  <c r="W113" i="25" s="1"/>
  <c r="W139" i="25" s="1"/>
  <c r="W152" i="25" s="1"/>
  <c r="C103" i="25"/>
  <c r="C114" i="25" s="1"/>
  <c r="G103" i="25"/>
  <c r="G114" i="25" s="1"/>
  <c r="K103" i="25"/>
  <c r="K114" i="25" s="1"/>
  <c r="O103" i="25"/>
  <c r="O114" i="25" s="1"/>
  <c r="S103" i="25"/>
  <c r="S114" i="25" s="1"/>
  <c r="W103" i="25"/>
  <c r="W114" i="25" s="1"/>
  <c r="C104" i="25"/>
  <c r="C115" i="25" s="1"/>
  <c r="D100" i="25"/>
  <c r="D111" i="25" s="1"/>
  <c r="D137" i="25" s="1"/>
  <c r="D150" i="25" s="1"/>
  <c r="H100" i="25"/>
  <c r="H111" i="25" s="1"/>
  <c r="H137" i="25" s="1"/>
  <c r="H150" i="25" s="1"/>
  <c r="L100" i="25"/>
  <c r="L111" i="25" s="1"/>
  <c r="P100" i="25"/>
  <c r="P111" i="25" s="1"/>
  <c r="P137" i="25" s="1"/>
  <c r="P150" i="25" s="1"/>
  <c r="T100" i="25"/>
  <c r="T111" i="25" s="1"/>
  <c r="T137" i="25" s="1"/>
  <c r="T150" i="25" s="1"/>
  <c r="X100" i="25"/>
  <c r="X111" i="25" s="1"/>
  <c r="X137" i="25" s="1"/>
  <c r="X150" i="25" s="1"/>
  <c r="D101" i="25"/>
  <c r="D112" i="25" s="1"/>
  <c r="D138" i="25" s="1"/>
  <c r="D151" i="25" s="1"/>
  <c r="H101" i="25"/>
  <c r="H112" i="25" s="1"/>
  <c r="H138" i="25" s="1"/>
  <c r="H151" i="25" s="1"/>
  <c r="L101" i="25"/>
  <c r="L112" i="25" s="1"/>
  <c r="L138" i="25" s="1"/>
  <c r="L151" i="25" s="1"/>
  <c r="P101" i="25"/>
  <c r="P112" i="25" s="1"/>
  <c r="P138" i="25" s="1"/>
  <c r="P151" i="25" s="1"/>
  <c r="T101" i="25"/>
  <c r="T112" i="25" s="1"/>
  <c r="T138" i="25" s="1"/>
  <c r="T151" i="25" s="1"/>
  <c r="X101" i="25"/>
  <c r="X112" i="25" s="1"/>
  <c r="X138" i="25" s="1"/>
  <c r="X151" i="25" s="1"/>
  <c r="D102" i="25"/>
  <c r="D113" i="25" s="1"/>
  <c r="D139" i="25" s="1"/>
  <c r="D152" i="25" s="1"/>
  <c r="H102" i="25"/>
  <c r="H113" i="25" s="1"/>
  <c r="L102" i="25"/>
  <c r="L113" i="25" s="1"/>
  <c r="L139" i="25" s="1"/>
  <c r="L152" i="25" s="1"/>
  <c r="P102" i="25"/>
  <c r="P113" i="25" s="1"/>
  <c r="T102" i="25"/>
  <c r="T113" i="25" s="1"/>
  <c r="X102" i="25"/>
  <c r="X113" i="25" s="1"/>
  <c r="D103" i="25"/>
  <c r="D114" i="25" s="1"/>
  <c r="H103" i="25"/>
  <c r="H114" i="25" s="1"/>
  <c r="L103" i="25"/>
  <c r="L114" i="25" s="1"/>
  <c r="P103" i="25"/>
  <c r="P114" i="25" s="1"/>
  <c r="T103" i="25"/>
  <c r="T114" i="25" s="1"/>
  <c r="X103" i="25"/>
  <c r="X114" i="25" s="1"/>
  <c r="D104" i="25"/>
  <c r="D115" i="25" s="1"/>
  <c r="E100" i="25"/>
  <c r="E111" i="25" s="1"/>
  <c r="E137" i="25" s="1"/>
  <c r="E150" i="25" s="1"/>
  <c r="U100" i="25"/>
  <c r="U111" i="25" s="1"/>
  <c r="U137" i="25" s="1"/>
  <c r="U150" i="25" s="1"/>
  <c r="M101" i="25"/>
  <c r="M112" i="25" s="1"/>
  <c r="M138" i="25" s="1"/>
  <c r="M151" i="25" s="1"/>
  <c r="E102" i="25"/>
  <c r="E113" i="25" s="1"/>
  <c r="U102" i="25"/>
  <c r="U113" i="25" s="1"/>
  <c r="M103" i="25"/>
  <c r="M114" i="25" s="1"/>
  <c r="E104" i="25"/>
  <c r="E115" i="25" s="1"/>
  <c r="E141" i="25" s="1"/>
  <c r="E154" i="25" s="1"/>
  <c r="I104" i="25"/>
  <c r="I115" i="25" s="1"/>
  <c r="I141" i="25" s="1"/>
  <c r="I154" i="25" s="1"/>
  <c r="M104" i="25"/>
  <c r="M115" i="25" s="1"/>
  <c r="M141" i="25" s="1"/>
  <c r="M154" i="25" s="1"/>
  <c r="Q104" i="25"/>
  <c r="Q115" i="25" s="1"/>
  <c r="Q141" i="25" s="1"/>
  <c r="Q154" i="25" s="1"/>
  <c r="U104" i="25"/>
  <c r="U115" i="25" s="1"/>
  <c r="U141" i="25" s="1"/>
  <c r="U154" i="25" s="1"/>
  <c r="Y104" i="25"/>
  <c r="Y115" i="25" s="1"/>
  <c r="Y141" i="25" s="1"/>
  <c r="Y154" i="25" s="1"/>
  <c r="E105" i="25"/>
  <c r="E116" i="25" s="1"/>
  <c r="I105" i="25"/>
  <c r="I116" i="25" s="1"/>
  <c r="M105" i="25"/>
  <c r="M116" i="25" s="1"/>
  <c r="Q105" i="25"/>
  <c r="Q116" i="25" s="1"/>
  <c r="U105" i="25"/>
  <c r="U116" i="25" s="1"/>
  <c r="Y105" i="25"/>
  <c r="Y116" i="25" s="1"/>
  <c r="E106" i="25"/>
  <c r="E117" i="25" s="1"/>
  <c r="I106" i="25"/>
  <c r="I117" i="25" s="1"/>
  <c r="M106" i="25"/>
  <c r="M117" i="25" s="1"/>
  <c r="Q106" i="25"/>
  <c r="Q117" i="25" s="1"/>
  <c r="U106" i="25"/>
  <c r="U117" i="25" s="1"/>
  <c r="Y106" i="25"/>
  <c r="Y117" i="25" s="1"/>
  <c r="E107" i="25"/>
  <c r="E118" i="25" s="1"/>
  <c r="I107" i="25"/>
  <c r="I118" i="25" s="1"/>
  <c r="M107" i="25"/>
  <c r="M118" i="25" s="1"/>
  <c r="Q107" i="25"/>
  <c r="Q118" i="25" s="1"/>
  <c r="U107" i="25"/>
  <c r="U118" i="25" s="1"/>
  <c r="Y107" i="25"/>
  <c r="Y118" i="25" s="1"/>
  <c r="E108" i="25"/>
  <c r="E119" i="25" s="1"/>
  <c r="E145" i="25" s="1"/>
  <c r="E158" i="25" s="1"/>
  <c r="I108" i="25"/>
  <c r="I119" i="25" s="1"/>
  <c r="M108" i="25"/>
  <c r="M119" i="25" s="1"/>
  <c r="M145" i="25" s="1"/>
  <c r="M158" i="25" s="1"/>
  <c r="Q108" i="25"/>
  <c r="Q119" i="25" s="1"/>
  <c r="U108" i="25"/>
  <c r="U119" i="25" s="1"/>
  <c r="Y108" i="25"/>
  <c r="Y119" i="25" s="1"/>
  <c r="F99" i="25"/>
  <c r="F110" i="25" s="1"/>
  <c r="F136" i="25" s="1"/>
  <c r="F149" i="25" s="1"/>
  <c r="J99" i="25"/>
  <c r="J110" i="25" s="1"/>
  <c r="J136" i="25" s="1"/>
  <c r="J149" i="25" s="1"/>
  <c r="J175" i="25" s="1"/>
  <c r="J185" i="25" s="1"/>
  <c r="J216" i="25" s="1"/>
  <c r="N99" i="25"/>
  <c r="N110" i="25" s="1"/>
  <c r="N136" i="25" s="1"/>
  <c r="N149" i="25" s="1"/>
  <c r="N201" i="25" s="1"/>
  <c r="N211" i="25" s="1"/>
  <c r="N218" i="25" s="1"/>
  <c r="R99" i="25"/>
  <c r="R110" i="25" s="1"/>
  <c r="R136" i="25" s="1"/>
  <c r="R149" i="25" s="1"/>
  <c r="R201" i="25" s="1"/>
  <c r="R211" i="25" s="1"/>
  <c r="R218" i="25" s="1"/>
  <c r="V99" i="25"/>
  <c r="V110" i="25" s="1"/>
  <c r="V136" i="25" s="1"/>
  <c r="V149" i="25" s="1"/>
  <c r="V175" i="25" s="1"/>
  <c r="V185" i="25" s="1"/>
  <c r="V216" i="25" s="1"/>
  <c r="B99" i="25"/>
  <c r="B110" i="25" s="1"/>
  <c r="B136" i="25" s="1"/>
  <c r="B149" i="25" s="1"/>
  <c r="I100" i="25"/>
  <c r="I111" i="25" s="1"/>
  <c r="I137" i="25" s="1"/>
  <c r="I150" i="25" s="1"/>
  <c r="Y100" i="25"/>
  <c r="Y111" i="25" s="1"/>
  <c r="Y137" i="25" s="1"/>
  <c r="Y150" i="25" s="1"/>
  <c r="Q101" i="25"/>
  <c r="Q112" i="25" s="1"/>
  <c r="Q138" i="25" s="1"/>
  <c r="Q151" i="25" s="1"/>
  <c r="I102" i="25"/>
  <c r="I113" i="25" s="1"/>
  <c r="Y102" i="25"/>
  <c r="Y113" i="25" s="1"/>
  <c r="Q103" i="25"/>
  <c r="Q114" i="25" s="1"/>
  <c r="F104" i="25"/>
  <c r="F115" i="25" s="1"/>
  <c r="J104" i="25"/>
  <c r="J115" i="25" s="1"/>
  <c r="N104" i="25"/>
  <c r="N115" i="25" s="1"/>
  <c r="R104" i="25"/>
  <c r="R115" i="25" s="1"/>
  <c r="V104" i="25"/>
  <c r="V115" i="25" s="1"/>
  <c r="B105" i="25"/>
  <c r="B116" i="25" s="1"/>
  <c r="F105" i="25"/>
  <c r="F116" i="25" s="1"/>
  <c r="J105" i="25"/>
  <c r="J116" i="25" s="1"/>
  <c r="N105" i="25"/>
  <c r="N116" i="25" s="1"/>
  <c r="R105" i="25"/>
  <c r="R116" i="25" s="1"/>
  <c r="V105" i="25"/>
  <c r="V116" i="25" s="1"/>
  <c r="B106" i="25"/>
  <c r="B117" i="25" s="1"/>
  <c r="F106" i="25"/>
  <c r="F117" i="25" s="1"/>
  <c r="J106" i="25"/>
  <c r="J117" i="25" s="1"/>
  <c r="N106" i="25"/>
  <c r="N117" i="25" s="1"/>
  <c r="R106" i="25"/>
  <c r="R117" i="25" s="1"/>
  <c r="V106" i="25"/>
  <c r="V117" i="25" s="1"/>
  <c r="B107" i="25"/>
  <c r="B118" i="25" s="1"/>
  <c r="F107" i="25"/>
  <c r="F118" i="25" s="1"/>
  <c r="F144" i="25" s="1"/>
  <c r="F157" i="25" s="1"/>
  <c r="J107" i="25"/>
  <c r="J118" i="25" s="1"/>
  <c r="N107" i="25"/>
  <c r="N118" i="25" s="1"/>
  <c r="N144" i="25" s="1"/>
  <c r="N157" i="25" s="1"/>
  <c r="R107" i="25"/>
  <c r="R118" i="25" s="1"/>
  <c r="V107" i="25"/>
  <c r="V118" i="25" s="1"/>
  <c r="V144" i="25" s="1"/>
  <c r="V157" i="25" s="1"/>
  <c r="B108" i="25"/>
  <c r="B119" i="25" s="1"/>
  <c r="F108" i="25"/>
  <c r="F119" i="25" s="1"/>
  <c r="J108" i="25"/>
  <c r="J119" i="25" s="1"/>
  <c r="N108" i="25"/>
  <c r="N119" i="25" s="1"/>
  <c r="R108" i="25"/>
  <c r="R119" i="25" s="1"/>
  <c r="V108" i="25"/>
  <c r="V119" i="25" s="1"/>
  <c r="C99" i="25"/>
  <c r="C110" i="25" s="1"/>
  <c r="C136" i="25" s="1"/>
  <c r="C149" i="25" s="1"/>
  <c r="G99" i="25"/>
  <c r="G110" i="25" s="1"/>
  <c r="G136" i="25" s="1"/>
  <c r="G149" i="25" s="1"/>
  <c r="K99" i="25"/>
  <c r="K110" i="25" s="1"/>
  <c r="K136" i="25" s="1"/>
  <c r="K149" i="25" s="1"/>
  <c r="K175" i="25" s="1"/>
  <c r="K185" i="25" s="1"/>
  <c r="K216" i="25" s="1"/>
  <c r="O99" i="25"/>
  <c r="O110" i="25" s="1"/>
  <c r="O136" i="25" s="1"/>
  <c r="O149" i="25" s="1"/>
  <c r="O201" i="25" s="1"/>
  <c r="O211" i="25" s="1"/>
  <c r="O218" i="25" s="1"/>
  <c r="S99" i="25"/>
  <c r="S110" i="25" s="1"/>
  <c r="S136" i="25" s="1"/>
  <c r="S149" i="25" s="1"/>
  <c r="S175" i="25" s="1"/>
  <c r="S185" i="25" s="1"/>
  <c r="S216" i="25" s="1"/>
  <c r="W99" i="25"/>
  <c r="W110" i="25" s="1"/>
  <c r="W136" i="25" s="1"/>
  <c r="W149" i="25" s="1"/>
  <c r="W175" i="25" s="1"/>
  <c r="W185" i="25" s="1"/>
  <c r="W216" i="25" s="1"/>
  <c r="M100" i="25"/>
  <c r="M111" i="25" s="1"/>
  <c r="M137" i="25" s="1"/>
  <c r="M150" i="25" s="1"/>
  <c r="E101" i="25"/>
  <c r="E112" i="25" s="1"/>
  <c r="E138" i="25" s="1"/>
  <c r="E151" i="25" s="1"/>
  <c r="U101" i="25"/>
  <c r="U112" i="25" s="1"/>
  <c r="U138" i="25" s="1"/>
  <c r="U151" i="25" s="1"/>
  <c r="M102" i="25"/>
  <c r="M113" i="25" s="1"/>
  <c r="E103" i="25"/>
  <c r="E114" i="25" s="1"/>
  <c r="U103" i="25"/>
  <c r="U114" i="25" s="1"/>
  <c r="G104" i="25"/>
  <c r="G115" i="25" s="1"/>
  <c r="K104" i="25"/>
  <c r="K115" i="25" s="1"/>
  <c r="O104" i="25"/>
  <c r="O115" i="25" s="1"/>
  <c r="S104" i="25"/>
  <c r="S115" i="25" s="1"/>
  <c r="W104" i="25"/>
  <c r="W115" i="25" s="1"/>
  <c r="C105" i="25"/>
  <c r="C116" i="25" s="1"/>
  <c r="G105" i="25"/>
  <c r="G116" i="25" s="1"/>
  <c r="K105" i="25"/>
  <c r="K116" i="25" s="1"/>
  <c r="O105" i="25"/>
  <c r="O116" i="25" s="1"/>
  <c r="S105" i="25"/>
  <c r="S116" i="25" s="1"/>
  <c r="W105" i="25"/>
  <c r="W116" i="25" s="1"/>
  <c r="C106" i="25"/>
  <c r="C117" i="25" s="1"/>
  <c r="G106" i="25"/>
  <c r="G117" i="25" s="1"/>
  <c r="G143" i="25" s="1"/>
  <c r="G156" i="25" s="1"/>
  <c r="K106" i="25"/>
  <c r="K117" i="25" s="1"/>
  <c r="O106" i="25"/>
  <c r="O117" i="25" s="1"/>
  <c r="O143" i="25" s="1"/>
  <c r="O156" i="25" s="1"/>
  <c r="S106" i="25"/>
  <c r="S117" i="25" s="1"/>
  <c r="W106" i="25"/>
  <c r="W117" i="25" s="1"/>
  <c r="W143" i="25" s="1"/>
  <c r="W156" i="25" s="1"/>
  <c r="C107" i="25"/>
  <c r="C118" i="25" s="1"/>
  <c r="G107" i="25"/>
  <c r="G118" i="25" s="1"/>
  <c r="K107" i="25"/>
  <c r="K118" i="25" s="1"/>
  <c r="O107" i="25"/>
  <c r="O118" i="25" s="1"/>
  <c r="S107" i="25"/>
  <c r="S118" i="25" s="1"/>
  <c r="W107" i="25"/>
  <c r="W118" i="25" s="1"/>
  <c r="C108" i="25"/>
  <c r="C119" i="25" s="1"/>
  <c r="G108" i="25"/>
  <c r="G119" i="25" s="1"/>
  <c r="K108" i="25"/>
  <c r="K119" i="25" s="1"/>
  <c r="O108" i="25"/>
  <c r="O119" i="25" s="1"/>
  <c r="S108" i="25"/>
  <c r="S119" i="25" s="1"/>
  <c r="W108" i="25"/>
  <c r="W119" i="25" s="1"/>
  <c r="D99" i="25"/>
  <c r="D110" i="25" s="1"/>
  <c r="D136" i="25" s="1"/>
  <c r="D149" i="25" s="1"/>
  <c r="H99" i="25"/>
  <c r="H110" i="25" s="1"/>
  <c r="H136" i="25" s="1"/>
  <c r="H149" i="25" s="1"/>
  <c r="H162" i="25" s="1"/>
  <c r="H172" i="25" s="1"/>
  <c r="H215" i="25" s="1"/>
  <c r="L99" i="25"/>
  <c r="L110" i="25" s="1"/>
  <c r="L136" i="25" s="1"/>
  <c r="L149" i="25" s="1"/>
  <c r="L201" i="25" s="1"/>
  <c r="L211" i="25" s="1"/>
  <c r="L218" i="25" s="1"/>
  <c r="P99" i="25"/>
  <c r="P110" i="25" s="1"/>
  <c r="P136" i="25" s="1"/>
  <c r="P149" i="25" s="1"/>
  <c r="P201" i="25" s="1"/>
  <c r="P211" i="25" s="1"/>
  <c r="P218" i="25" s="1"/>
  <c r="T99" i="25"/>
  <c r="T110" i="25" s="1"/>
  <c r="T136" i="25" s="1"/>
  <c r="T149" i="25" s="1"/>
  <c r="T175" i="25" s="1"/>
  <c r="T185" i="25" s="1"/>
  <c r="T216" i="25" s="1"/>
  <c r="X99" i="25"/>
  <c r="X110" i="25" s="1"/>
  <c r="X136" i="25" s="1"/>
  <c r="X149" i="25" s="1"/>
  <c r="X175" i="25" s="1"/>
  <c r="X185" i="25" s="1"/>
  <c r="X216" i="25" s="1"/>
  <c r="I99" i="25"/>
  <c r="I110" i="25" s="1"/>
  <c r="I136" i="25" s="1"/>
  <c r="I149" i="25" s="1"/>
  <c r="I162" i="25" s="1"/>
  <c r="I172" i="25" s="1"/>
  <c r="I215" i="25" s="1"/>
  <c r="X105" i="25"/>
  <c r="X116" i="25" s="1"/>
  <c r="X142" i="25" s="1"/>
  <c r="X155" i="25" s="1"/>
  <c r="Y107" i="26"/>
  <c r="Y118" i="26" s="1"/>
  <c r="D100" i="24"/>
  <c r="D111" i="24" s="1"/>
  <c r="H100" i="24"/>
  <c r="H111" i="24" s="1"/>
  <c r="L100" i="24"/>
  <c r="L111" i="24" s="1"/>
  <c r="P100" i="24"/>
  <c r="P111" i="24" s="1"/>
  <c r="T100" i="24"/>
  <c r="T111" i="24" s="1"/>
  <c r="X100" i="24"/>
  <c r="X111" i="24" s="1"/>
  <c r="D101" i="24"/>
  <c r="D112" i="24" s="1"/>
  <c r="H101" i="24"/>
  <c r="H112" i="24" s="1"/>
  <c r="H138" i="24" s="1"/>
  <c r="H151" i="24" s="1"/>
  <c r="L101" i="24"/>
  <c r="L112" i="24" s="1"/>
  <c r="P101" i="24"/>
  <c r="P112" i="24" s="1"/>
  <c r="P138" i="24" s="1"/>
  <c r="P151" i="24" s="1"/>
  <c r="T101" i="24"/>
  <c r="T112" i="24" s="1"/>
  <c r="X101" i="24"/>
  <c r="X112" i="24" s="1"/>
  <c r="X138" i="24" s="1"/>
  <c r="D102" i="24"/>
  <c r="D113" i="24" s="1"/>
  <c r="H102" i="24"/>
  <c r="H113" i="24" s="1"/>
  <c r="H139" i="24" s="1"/>
  <c r="H152" i="24" s="1"/>
  <c r="L102" i="24"/>
  <c r="L113" i="24" s="1"/>
  <c r="P102" i="24"/>
  <c r="P113" i="24" s="1"/>
  <c r="P139" i="24" s="1"/>
  <c r="P152" i="24" s="1"/>
  <c r="T102" i="24"/>
  <c r="T113" i="24" s="1"/>
  <c r="X102" i="24"/>
  <c r="X113" i="24" s="1"/>
  <c r="X139" i="24" s="1"/>
  <c r="X152" i="24" s="1"/>
  <c r="D103" i="24"/>
  <c r="D114" i="24" s="1"/>
  <c r="D140" i="24" s="1"/>
  <c r="D153" i="24" s="1"/>
  <c r="H103" i="24"/>
  <c r="H114" i="24" s="1"/>
  <c r="H140" i="24" s="1"/>
  <c r="H153" i="24" s="1"/>
  <c r="L103" i="24"/>
  <c r="L114" i="24" s="1"/>
  <c r="P103" i="24"/>
  <c r="P114" i="24" s="1"/>
  <c r="T103" i="24"/>
  <c r="T114" i="24" s="1"/>
  <c r="X103" i="24"/>
  <c r="X114" i="24" s="1"/>
  <c r="X140" i="24" s="1"/>
  <c r="X153" i="24" s="1"/>
  <c r="D104" i="24"/>
  <c r="D115" i="24" s="1"/>
  <c r="H104" i="24"/>
  <c r="H115" i="24" s="1"/>
  <c r="H141" i="24" s="1"/>
  <c r="H154" i="24" s="1"/>
  <c r="L104" i="24"/>
  <c r="L115" i="24" s="1"/>
  <c r="P104" i="24"/>
  <c r="P115" i="24" s="1"/>
  <c r="P141" i="24" s="1"/>
  <c r="P154" i="24" s="1"/>
  <c r="T104" i="24"/>
  <c r="T115" i="24" s="1"/>
  <c r="T141" i="24" s="1"/>
  <c r="T154" i="24" s="1"/>
  <c r="Y108" i="24"/>
  <c r="Y119" i="24" s="1"/>
  <c r="Y145" i="24" s="1"/>
  <c r="Y158" i="24" s="1"/>
  <c r="E100" i="24"/>
  <c r="E111" i="24" s="1"/>
  <c r="I100" i="24"/>
  <c r="I111" i="24" s="1"/>
  <c r="I137" i="24" s="1"/>
  <c r="I150" i="24" s="1"/>
  <c r="M100" i="24"/>
  <c r="M111" i="24" s="1"/>
  <c r="Q100" i="24"/>
  <c r="Q111" i="24" s="1"/>
  <c r="U100" i="24"/>
  <c r="U111" i="24" s="1"/>
  <c r="Y100" i="24"/>
  <c r="Y111" i="24" s="1"/>
  <c r="Y137" i="24" s="1"/>
  <c r="Y150" i="24" s="1"/>
  <c r="E101" i="24"/>
  <c r="E112" i="24" s="1"/>
  <c r="E138" i="24" s="1"/>
  <c r="E151" i="24" s="1"/>
  <c r="I101" i="24"/>
  <c r="I112" i="24" s="1"/>
  <c r="I138" i="24" s="1"/>
  <c r="I151" i="24" s="1"/>
  <c r="M101" i="24"/>
  <c r="M112" i="24" s="1"/>
  <c r="Q101" i="24"/>
  <c r="Q112" i="24" s="1"/>
  <c r="Q138" i="24" s="1"/>
  <c r="Q151" i="24" s="1"/>
  <c r="U101" i="24"/>
  <c r="U112" i="24" s="1"/>
  <c r="Y101" i="24"/>
  <c r="Y112" i="24" s="1"/>
  <c r="Y138" i="24" s="1"/>
  <c r="Y151" i="24" s="1"/>
  <c r="E102" i="24"/>
  <c r="E113" i="24" s="1"/>
  <c r="E139" i="24" s="1"/>
  <c r="E152" i="24" s="1"/>
  <c r="I102" i="24"/>
  <c r="I113" i="24" s="1"/>
  <c r="I139" i="24" s="1"/>
  <c r="I152" i="24" s="1"/>
  <c r="M102" i="24"/>
  <c r="M113" i="24" s="1"/>
  <c r="Q102" i="24"/>
  <c r="Q113" i="24" s="1"/>
  <c r="Q139" i="24" s="1"/>
  <c r="Q152" i="24" s="1"/>
  <c r="U102" i="24"/>
  <c r="U113" i="24" s="1"/>
  <c r="U139" i="24" s="1"/>
  <c r="U152" i="24" s="1"/>
  <c r="Y102" i="24"/>
  <c r="Y113" i="24" s="1"/>
  <c r="Y139" i="24" s="1"/>
  <c r="Y152" i="24" s="1"/>
  <c r="E103" i="24"/>
  <c r="E114" i="24" s="1"/>
  <c r="I103" i="24"/>
  <c r="I114" i="24" s="1"/>
  <c r="I140" i="24" s="1"/>
  <c r="I153" i="24" s="1"/>
  <c r="M103" i="24"/>
  <c r="M114" i="24" s="1"/>
  <c r="Q103" i="24"/>
  <c r="Q114" i="24" s="1"/>
  <c r="U103" i="24"/>
  <c r="U114" i="24" s="1"/>
  <c r="Y103" i="24"/>
  <c r="Y114" i="24" s="1"/>
  <c r="E104" i="24"/>
  <c r="E115" i="24" s="1"/>
  <c r="E141" i="24" s="1"/>
  <c r="E154" i="24" s="1"/>
  <c r="I104" i="24"/>
  <c r="I115" i="24" s="1"/>
  <c r="M104" i="24"/>
  <c r="M115" i="24" s="1"/>
  <c r="M141" i="24" s="1"/>
  <c r="M154" i="24" s="1"/>
  <c r="Q104" i="24"/>
  <c r="Q115" i="24" s="1"/>
  <c r="B100" i="24"/>
  <c r="B111" i="24" s="1"/>
  <c r="B137" i="24" s="1"/>
  <c r="B150" i="24" s="1"/>
  <c r="F100" i="24"/>
  <c r="F111" i="24" s="1"/>
  <c r="F137" i="24" s="1"/>
  <c r="F150" i="24" s="1"/>
  <c r="J100" i="24"/>
  <c r="J111" i="24" s="1"/>
  <c r="N100" i="24"/>
  <c r="N111" i="24" s="1"/>
  <c r="N137" i="24" s="1"/>
  <c r="N150" i="24" s="1"/>
  <c r="R100" i="24"/>
  <c r="R111" i="24" s="1"/>
  <c r="R137" i="24" s="1"/>
  <c r="R150" i="24" s="1"/>
  <c r="V100" i="24"/>
  <c r="V111" i="24" s="1"/>
  <c r="V137" i="24" s="1"/>
  <c r="V150" i="24" s="1"/>
  <c r="B101" i="24"/>
  <c r="B112" i="24" s="1"/>
  <c r="F101" i="24"/>
  <c r="F112" i="24" s="1"/>
  <c r="J101" i="24"/>
  <c r="J112" i="24" s="1"/>
  <c r="N101" i="24"/>
  <c r="N112" i="24" s="1"/>
  <c r="R101" i="24"/>
  <c r="R112" i="24" s="1"/>
  <c r="V101" i="24"/>
  <c r="V112" i="24" s="1"/>
  <c r="B102" i="24"/>
  <c r="B113" i="24" s="1"/>
  <c r="F102" i="24"/>
  <c r="F113" i="24" s="1"/>
  <c r="J102" i="24"/>
  <c r="J113" i="24" s="1"/>
  <c r="N102" i="24"/>
  <c r="N113" i="24" s="1"/>
  <c r="R102" i="24"/>
  <c r="R113" i="24" s="1"/>
  <c r="V102" i="24"/>
  <c r="V113" i="24" s="1"/>
  <c r="B103" i="24"/>
  <c r="B114" i="24" s="1"/>
  <c r="F103" i="24"/>
  <c r="F114" i="24" s="1"/>
  <c r="F140" i="24" s="1"/>
  <c r="F153" i="24" s="1"/>
  <c r="J103" i="24"/>
  <c r="J114" i="24" s="1"/>
  <c r="N103" i="24"/>
  <c r="N114" i="24" s="1"/>
  <c r="R103" i="24"/>
  <c r="R114" i="24" s="1"/>
  <c r="V103" i="24"/>
  <c r="V114" i="24" s="1"/>
  <c r="V140" i="24" s="1"/>
  <c r="B104" i="24"/>
  <c r="B115" i="24" s="1"/>
  <c r="B141" i="24" s="1"/>
  <c r="F104" i="24"/>
  <c r="F115" i="24" s="1"/>
  <c r="F141" i="24" s="1"/>
  <c r="F154" i="24" s="1"/>
  <c r="J104" i="24"/>
  <c r="J115" i="24" s="1"/>
  <c r="N104" i="24"/>
  <c r="N115" i="24" s="1"/>
  <c r="N141" i="24" s="1"/>
  <c r="N154" i="24" s="1"/>
  <c r="R104" i="24"/>
  <c r="R115" i="24" s="1"/>
  <c r="B99" i="24"/>
  <c r="B110" i="24" s="1"/>
  <c r="V99" i="24"/>
  <c r="V110" i="24" s="1"/>
  <c r="R99" i="24"/>
  <c r="R110" i="24" s="1"/>
  <c r="N99" i="24"/>
  <c r="N110" i="24" s="1"/>
  <c r="J99" i="24"/>
  <c r="J110" i="24" s="1"/>
  <c r="J136" i="24" s="1"/>
  <c r="J149" i="24" s="1"/>
  <c r="J175" i="24" s="1"/>
  <c r="J185" i="24" s="1"/>
  <c r="J216" i="24" s="1"/>
  <c r="F99" i="24"/>
  <c r="F110" i="24" s="1"/>
  <c r="X108" i="24"/>
  <c r="X119" i="24" s="1"/>
  <c r="X145" i="24" s="1"/>
  <c r="X158" i="24" s="1"/>
  <c r="T108" i="24"/>
  <c r="T119" i="24" s="1"/>
  <c r="T145" i="24" s="1"/>
  <c r="T158" i="24" s="1"/>
  <c r="P108" i="24"/>
  <c r="P119" i="24" s="1"/>
  <c r="P145" i="24" s="1"/>
  <c r="P158" i="24" s="1"/>
  <c r="L108" i="24"/>
  <c r="L119" i="24" s="1"/>
  <c r="L145" i="24" s="1"/>
  <c r="L158" i="24" s="1"/>
  <c r="H108" i="24"/>
  <c r="H119" i="24" s="1"/>
  <c r="H145" i="24" s="1"/>
  <c r="H158" i="24" s="1"/>
  <c r="D108" i="24"/>
  <c r="D119" i="24" s="1"/>
  <c r="D145" i="24" s="1"/>
  <c r="D158" i="24" s="1"/>
  <c r="X107" i="24"/>
  <c r="X118" i="24" s="1"/>
  <c r="T107" i="24"/>
  <c r="T118" i="24" s="1"/>
  <c r="T144" i="24" s="1"/>
  <c r="T157" i="24" s="1"/>
  <c r="P107" i="24"/>
  <c r="P118" i="24" s="1"/>
  <c r="L107" i="24"/>
  <c r="L118" i="24" s="1"/>
  <c r="L144" i="24" s="1"/>
  <c r="L157" i="24" s="1"/>
  <c r="H107" i="24"/>
  <c r="H118" i="24" s="1"/>
  <c r="D107" i="24"/>
  <c r="D118" i="24" s="1"/>
  <c r="D144" i="24" s="1"/>
  <c r="D157" i="24" s="1"/>
  <c r="X106" i="24"/>
  <c r="X117" i="24" s="1"/>
  <c r="X143" i="24" s="1"/>
  <c r="X156" i="24" s="1"/>
  <c r="T106" i="24"/>
  <c r="T117" i="24" s="1"/>
  <c r="P106" i="24"/>
  <c r="P117" i="24" s="1"/>
  <c r="P143" i="24" s="1"/>
  <c r="P156" i="24" s="1"/>
  <c r="L106" i="24"/>
  <c r="L117" i="24" s="1"/>
  <c r="L143" i="24" s="1"/>
  <c r="L156" i="24" s="1"/>
  <c r="H106" i="24"/>
  <c r="H117" i="24" s="1"/>
  <c r="H143" i="24" s="1"/>
  <c r="H156" i="24" s="1"/>
  <c r="D106" i="24"/>
  <c r="D117" i="24" s="1"/>
  <c r="X105" i="24"/>
  <c r="X116" i="24" s="1"/>
  <c r="T105" i="24"/>
  <c r="T116" i="24" s="1"/>
  <c r="T142" i="24" s="1"/>
  <c r="T155" i="24" s="1"/>
  <c r="P105" i="24"/>
  <c r="P116" i="24" s="1"/>
  <c r="L105" i="24"/>
  <c r="L116" i="24" s="1"/>
  <c r="H105" i="24"/>
  <c r="H116" i="24" s="1"/>
  <c r="D105" i="24"/>
  <c r="D116" i="24" s="1"/>
  <c r="D142" i="24" s="1"/>
  <c r="D155" i="24" s="1"/>
  <c r="X104" i="24"/>
  <c r="X115" i="24" s="1"/>
  <c r="X141" i="24" s="1"/>
  <c r="X154" i="24" s="1"/>
  <c r="S104" i="24"/>
  <c r="S115" i="24" s="1"/>
  <c r="C104" i="24"/>
  <c r="C115" i="24" s="1"/>
  <c r="C141" i="24" s="1"/>
  <c r="C154" i="24" s="1"/>
  <c r="K103" i="24"/>
  <c r="K114" i="24" s="1"/>
  <c r="S102" i="24"/>
  <c r="S113" i="24" s="1"/>
  <c r="C102" i="24"/>
  <c r="C113" i="24" s="1"/>
  <c r="K101" i="24"/>
  <c r="K112" i="24" s="1"/>
  <c r="S100" i="24"/>
  <c r="S111" i="24" s="1"/>
  <c r="S137" i="24" s="1"/>
  <c r="S150" i="24" s="1"/>
  <c r="C100" i="24"/>
  <c r="C111" i="24" s="1"/>
  <c r="C137" i="24" s="1"/>
  <c r="C150" i="24" s="1"/>
  <c r="M99" i="25"/>
  <c r="M110" i="25" s="1"/>
  <c r="M136" i="25" s="1"/>
  <c r="M149" i="25" s="1"/>
  <c r="M201" i="25" s="1"/>
  <c r="M211" i="25" s="1"/>
  <c r="M218" i="25" s="1"/>
  <c r="T108" i="25"/>
  <c r="T119" i="25" s="1"/>
  <c r="D108" i="25"/>
  <c r="D119" i="25" s="1"/>
  <c r="L107" i="25"/>
  <c r="L118" i="25" s="1"/>
  <c r="T106" i="25"/>
  <c r="T117" i="25" s="1"/>
  <c r="D106" i="25"/>
  <c r="D117" i="25" s="1"/>
  <c r="L105" i="25"/>
  <c r="L116" i="25" s="1"/>
  <c r="L142" i="25" s="1"/>
  <c r="L155" i="25" s="1"/>
  <c r="T104" i="25"/>
  <c r="T115" i="25" s="1"/>
  <c r="Y103" i="25"/>
  <c r="Y114" i="25" s="1"/>
  <c r="I101" i="25"/>
  <c r="I112" i="25" s="1"/>
  <c r="I138" i="25" s="1"/>
  <c r="I151" i="25" s="1"/>
  <c r="Q108" i="26"/>
  <c r="Q119" i="26" s="1"/>
  <c r="Y105" i="26"/>
  <c r="Y116" i="26" s="1"/>
  <c r="Y142" i="26" s="1"/>
  <c r="I103" i="26"/>
  <c r="I114" i="26" s="1"/>
  <c r="Q100" i="26"/>
  <c r="Q111" i="26" s="1"/>
  <c r="B99" i="18"/>
  <c r="Q99" i="18"/>
  <c r="I99" i="18"/>
  <c r="Y108" i="18"/>
  <c r="Q108" i="18"/>
  <c r="I108" i="18"/>
  <c r="Y107" i="18"/>
  <c r="Q107" i="18"/>
  <c r="I107" i="18"/>
  <c r="Y106" i="18"/>
  <c r="Q106" i="18"/>
  <c r="I106" i="18"/>
  <c r="Y105" i="18"/>
  <c r="Q105" i="18"/>
  <c r="I105" i="18"/>
  <c r="Y104" i="18"/>
  <c r="Q104" i="18"/>
  <c r="I104" i="18"/>
  <c r="Y103" i="18"/>
  <c r="Q103" i="18"/>
  <c r="I103" i="18"/>
  <c r="Y102" i="18"/>
  <c r="Q102" i="18"/>
  <c r="I102" i="18"/>
  <c r="Y101" i="18"/>
  <c r="Q101" i="18"/>
  <c r="I101" i="18"/>
  <c r="Y100" i="18"/>
  <c r="Q100" i="18"/>
  <c r="I100" i="18"/>
  <c r="X99" i="18"/>
  <c r="P99" i="18"/>
  <c r="H99" i="18"/>
  <c r="X108" i="18"/>
  <c r="P108" i="18"/>
  <c r="H108" i="18"/>
  <c r="X107" i="18"/>
  <c r="P107" i="18"/>
  <c r="H107" i="18"/>
  <c r="X106" i="18"/>
  <c r="P106" i="18"/>
  <c r="H106" i="18"/>
  <c r="X105" i="18"/>
  <c r="P105" i="18"/>
  <c r="H105" i="18"/>
  <c r="X104" i="18"/>
  <c r="P104" i="18"/>
  <c r="H104" i="18"/>
  <c r="X103" i="18"/>
  <c r="P103" i="18"/>
  <c r="H103" i="18"/>
  <c r="X102" i="18"/>
  <c r="P102" i="18"/>
  <c r="H102" i="18"/>
  <c r="X101" i="18"/>
  <c r="P101" i="18"/>
  <c r="H101" i="18"/>
  <c r="X100" i="18"/>
  <c r="P100" i="18"/>
  <c r="H100" i="18"/>
  <c r="W99" i="18"/>
  <c r="O99" i="18"/>
  <c r="G99" i="18"/>
  <c r="W108" i="18"/>
  <c r="O108" i="18"/>
  <c r="G108" i="18"/>
  <c r="W107" i="18"/>
  <c r="O107" i="18"/>
  <c r="G107" i="18"/>
  <c r="W106" i="18"/>
  <c r="O106" i="18"/>
  <c r="G106" i="18"/>
  <c r="W105" i="18"/>
  <c r="O105" i="18"/>
  <c r="G105" i="18"/>
  <c r="W104" i="18"/>
  <c r="O104" i="18"/>
  <c r="G104" i="18"/>
  <c r="W103" i="18"/>
  <c r="O103" i="18"/>
  <c r="G103" i="18"/>
  <c r="W102" i="18"/>
  <c r="O102" i="18"/>
  <c r="G102" i="18"/>
  <c r="W101" i="18"/>
  <c r="O101" i="18"/>
  <c r="G101" i="18"/>
  <c r="W100" i="18"/>
  <c r="O100" i="18"/>
  <c r="G100" i="18"/>
  <c r="V99" i="18"/>
  <c r="N99" i="18"/>
  <c r="F99" i="18"/>
  <c r="V108" i="18"/>
  <c r="N108" i="18"/>
  <c r="F108" i="18"/>
  <c r="V107" i="18"/>
  <c r="N107" i="18"/>
  <c r="F107" i="18"/>
  <c r="V106" i="18"/>
  <c r="N106" i="18"/>
  <c r="F106" i="18"/>
  <c r="V105" i="18"/>
  <c r="N105" i="18"/>
  <c r="F105" i="18"/>
  <c r="V104" i="18"/>
  <c r="N104" i="18"/>
  <c r="F104" i="18"/>
  <c r="V103" i="18"/>
  <c r="N103" i="18"/>
  <c r="F103" i="18"/>
  <c r="V102" i="18"/>
  <c r="N102" i="18"/>
  <c r="F102" i="18"/>
  <c r="V101" i="18"/>
  <c r="N101" i="18"/>
  <c r="F101" i="18"/>
  <c r="V100" i="18"/>
  <c r="N100" i="18"/>
  <c r="F100" i="18"/>
  <c r="U99" i="18"/>
  <c r="M99" i="18"/>
  <c r="E99" i="18"/>
  <c r="U108" i="18"/>
  <c r="M108" i="18"/>
  <c r="E108" i="18"/>
  <c r="U107" i="18"/>
  <c r="M107" i="18"/>
  <c r="E107" i="18"/>
  <c r="U106" i="18"/>
  <c r="M106" i="18"/>
  <c r="E106" i="18"/>
  <c r="U105" i="18"/>
  <c r="M105" i="18"/>
  <c r="E105" i="18"/>
  <c r="M104" i="18"/>
  <c r="E104" i="18"/>
  <c r="U103" i="18"/>
  <c r="M103" i="18"/>
  <c r="E103" i="18"/>
  <c r="U102" i="18"/>
  <c r="M102" i="18"/>
  <c r="E102" i="18"/>
  <c r="U101" i="18"/>
  <c r="M101" i="18"/>
  <c r="E101" i="18"/>
  <c r="U100" i="18"/>
  <c r="M100" i="18"/>
  <c r="E100" i="18"/>
  <c r="U104" i="18"/>
  <c r="T99" i="18"/>
  <c r="L99" i="18"/>
  <c r="D99" i="18"/>
  <c r="T108" i="18"/>
  <c r="L108" i="18"/>
  <c r="D108" i="18"/>
  <c r="T107" i="18"/>
  <c r="L107" i="18"/>
  <c r="D107" i="18"/>
  <c r="T106" i="18"/>
  <c r="L106" i="18"/>
  <c r="D106" i="18"/>
  <c r="T105" i="18"/>
  <c r="L105" i="18"/>
  <c r="D105" i="18"/>
  <c r="T104" i="18"/>
  <c r="L104" i="18"/>
  <c r="D104" i="18"/>
  <c r="T103" i="18"/>
  <c r="L103" i="18"/>
  <c r="D103" i="18"/>
  <c r="T102" i="18"/>
  <c r="L102" i="18"/>
  <c r="D102" i="18"/>
  <c r="T101" i="18"/>
  <c r="L101" i="18"/>
  <c r="D101" i="18"/>
  <c r="T100" i="18"/>
  <c r="L100" i="18"/>
  <c r="D100" i="18"/>
  <c r="S99" i="18"/>
  <c r="K99" i="18"/>
  <c r="C99" i="18"/>
  <c r="S108" i="18"/>
  <c r="K108" i="18"/>
  <c r="C108" i="18"/>
  <c r="S107" i="18"/>
  <c r="K107" i="18"/>
  <c r="C107" i="18"/>
  <c r="S106" i="18"/>
  <c r="K106" i="18"/>
  <c r="C106" i="18"/>
  <c r="S105" i="18"/>
  <c r="K105" i="18"/>
  <c r="C105" i="18"/>
  <c r="S104" i="18"/>
  <c r="K104" i="18"/>
  <c r="C104" i="18"/>
  <c r="S103" i="18"/>
  <c r="K103" i="18"/>
  <c r="C103" i="18"/>
  <c r="S102" i="18"/>
  <c r="K102" i="18"/>
  <c r="C102" i="18"/>
  <c r="S101" i="18"/>
  <c r="K101" i="18"/>
  <c r="C101" i="18"/>
  <c r="S100" i="18"/>
  <c r="K100" i="18"/>
  <c r="C100" i="18"/>
  <c r="R99" i="18"/>
  <c r="J99" i="18"/>
  <c r="Y99" i="18"/>
  <c r="R108" i="18"/>
  <c r="J108" i="18"/>
  <c r="B108" i="18"/>
  <c r="R107" i="18"/>
  <c r="J107" i="18"/>
  <c r="B107" i="18"/>
  <c r="R106" i="18"/>
  <c r="J106" i="18"/>
  <c r="B106" i="18"/>
  <c r="R105" i="18"/>
  <c r="J105" i="18"/>
  <c r="B105" i="18"/>
  <c r="R104" i="18"/>
  <c r="J104" i="18"/>
  <c r="B104" i="18"/>
  <c r="R103" i="18"/>
  <c r="J103" i="18"/>
  <c r="B103" i="18"/>
  <c r="R102" i="18"/>
  <c r="J102" i="18"/>
  <c r="B102" i="18"/>
  <c r="R101" i="18"/>
  <c r="J101" i="18"/>
  <c r="B101" i="18"/>
  <c r="R100" i="18"/>
  <c r="J100" i="18"/>
  <c r="P49" i="26"/>
  <c r="H49" i="26"/>
  <c r="T49" i="26"/>
  <c r="S63" i="26"/>
  <c r="B64" i="26"/>
  <c r="C63" i="26"/>
  <c r="J64" i="26"/>
  <c r="K63" i="26"/>
  <c r="Y112" i="25"/>
  <c r="Y138" i="25" s="1"/>
  <c r="Y151" i="25" s="1"/>
  <c r="Q198" i="25"/>
  <c r="Q217" i="25" s="1"/>
  <c r="D185" i="25"/>
  <c r="D216" i="25" s="1"/>
  <c r="N185" i="25"/>
  <c r="N216" i="25" s="1"/>
  <c r="L185" i="25"/>
  <c r="L216" i="25" s="1"/>
  <c r="I211" i="25"/>
  <c r="I218" i="25" s="1"/>
  <c r="C185" i="25"/>
  <c r="C216" i="25" s="1"/>
  <c r="B198" i="25"/>
  <c r="B217" i="25" s="1"/>
  <c r="E185" i="25"/>
  <c r="E216" i="25" s="1"/>
  <c r="O185" i="25"/>
  <c r="O216" i="25" s="1"/>
  <c r="M185" i="25"/>
  <c r="M216" i="25" s="1"/>
  <c r="I198" i="25"/>
  <c r="I217" i="25" s="1"/>
  <c r="W211" i="25"/>
  <c r="W218" i="25" s="1"/>
  <c r="P172" i="25"/>
  <c r="P215" i="25" s="1"/>
  <c r="X172" i="25"/>
  <c r="X215" i="25" s="1"/>
  <c r="G172" i="25"/>
  <c r="G215" i="25" s="1"/>
  <c r="O172" i="25"/>
  <c r="O215" i="25" s="1"/>
  <c r="F185" i="25"/>
  <c r="F216" i="25" s="1"/>
  <c r="P185" i="25"/>
  <c r="P216" i="25" s="1"/>
  <c r="Y198" i="25"/>
  <c r="Y217" i="25" s="1"/>
  <c r="G185" i="25"/>
  <c r="G216" i="25" s="1"/>
  <c r="Q185" i="25"/>
  <c r="Q216" i="25" s="1"/>
  <c r="F198" i="25"/>
  <c r="F217" i="25" s="1"/>
  <c r="N198" i="25"/>
  <c r="N217" i="25" s="1"/>
  <c r="V198" i="25"/>
  <c r="V217" i="25" s="1"/>
  <c r="C172" i="25"/>
  <c r="C215" i="25" s="1"/>
  <c r="J198" i="25"/>
  <c r="J217" i="25" s="1"/>
  <c r="H185" i="25"/>
  <c r="H216" i="25" s="1"/>
  <c r="G211" i="25"/>
  <c r="G218" i="25" s="1"/>
  <c r="R198" i="25"/>
  <c r="R217" i="25" s="1"/>
  <c r="N64" i="24"/>
  <c r="V64" i="24"/>
  <c r="G172" i="24"/>
  <c r="G215" i="24" s="1"/>
  <c r="L185" i="24"/>
  <c r="L216" i="24" s="1"/>
  <c r="I198" i="24"/>
  <c r="I217" i="24" s="1"/>
  <c r="W172" i="24"/>
  <c r="W215" i="24" s="1"/>
  <c r="F211" i="25"/>
  <c r="F218" i="25" s="1"/>
  <c r="V211" i="25"/>
  <c r="V218" i="25" s="1"/>
  <c r="W172" i="25"/>
  <c r="W215" i="25" s="1"/>
  <c r="O172" i="26"/>
  <c r="O215" i="26" s="1"/>
  <c r="W172" i="26"/>
  <c r="W215" i="26" s="1"/>
  <c r="P172" i="26"/>
  <c r="P215" i="26" s="1"/>
  <c r="X172" i="26"/>
  <c r="X215" i="26" s="1"/>
  <c r="T211" i="26"/>
  <c r="T218" i="26" s="1"/>
  <c r="S172" i="26"/>
  <c r="S215" i="26" s="1"/>
  <c r="J172" i="26"/>
  <c r="J215" i="26" s="1"/>
  <c r="I198" i="26"/>
  <c r="I217" i="26" s="1"/>
  <c r="Y198" i="26"/>
  <c r="Y217" i="26" s="1"/>
  <c r="H198" i="26"/>
  <c r="H217" i="26" s="1"/>
  <c r="P198" i="26"/>
  <c r="P217" i="26" s="1"/>
  <c r="X198" i="26"/>
  <c r="X217" i="26" s="1"/>
  <c r="G172" i="26"/>
  <c r="G215" i="26" s="1"/>
  <c r="M185" i="26"/>
  <c r="M216" i="26" s="1"/>
  <c r="B198" i="26"/>
  <c r="B217" i="26" s="1"/>
  <c r="J198" i="26"/>
  <c r="J217" i="26" s="1"/>
  <c r="R198" i="26"/>
  <c r="R217" i="26" s="1"/>
  <c r="Q198" i="26"/>
  <c r="Q217" i="26" s="1"/>
  <c r="L185" i="26"/>
  <c r="L216" i="26" s="1"/>
  <c r="C198" i="26"/>
  <c r="C217" i="26" s="1"/>
  <c r="K198" i="26"/>
  <c r="K217" i="26" s="1"/>
  <c r="S198" i="26"/>
  <c r="S217" i="26" s="1"/>
  <c r="G211" i="26"/>
  <c r="G218" i="26" s="1"/>
  <c r="E211" i="26"/>
  <c r="E218" i="26" s="1"/>
  <c r="U211" i="26"/>
  <c r="U218" i="26" s="1"/>
  <c r="E185" i="26"/>
  <c r="E216" i="26" s="1"/>
  <c r="D198" i="26"/>
  <c r="D217" i="26" s="1"/>
  <c r="L198" i="26"/>
  <c r="L217" i="26" s="1"/>
  <c r="T198" i="26"/>
  <c r="T217" i="26" s="1"/>
  <c r="H211" i="26"/>
  <c r="H218" i="26" s="1"/>
  <c r="W211" i="26"/>
  <c r="W218" i="26" s="1"/>
  <c r="F211" i="26"/>
  <c r="F218" i="26" s="1"/>
  <c r="V211" i="26"/>
  <c r="V218" i="26" s="1"/>
  <c r="C172" i="26"/>
  <c r="C215" i="26" s="1"/>
  <c r="E198" i="26"/>
  <c r="E217" i="26" s="1"/>
  <c r="M198" i="26"/>
  <c r="M217" i="26" s="1"/>
  <c r="U198" i="26"/>
  <c r="U217" i="26" s="1"/>
  <c r="I211" i="26"/>
  <c r="I218" i="26" s="1"/>
  <c r="X211" i="26"/>
  <c r="X218" i="26" s="1"/>
  <c r="Q185" i="26"/>
  <c r="Q216" i="26" s="1"/>
  <c r="F198" i="26"/>
  <c r="F217" i="26" s="1"/>
  <c r="N198" i="26"/>
  <c r="N217" i="26" s="1"/>
  <c r="V198" i="26"/>
  <c r="V217" i="26" s="1"/>
  <c r="Y211" i="26"/>
  <c r="Y218" i="26" s="1"/>
  <c r="D172" i="26"/>
  <c r="D215" i="26" s="1"/>
  <c r="G198" i="26"/>
  <c r="G217" i="26" s="1"/>
  <c r="O198" i="26"/>
  <c r="O217" i="26" s="1"/>
  <c r="W198" i="26"/>
  <c r="W217" i="26" s="1"/>
  <c r="C211" i="26"/>
  <c r="C218" i="26" s="1"/>
  <c r="K211" i="26"/>
  <c r="K218" i="26" s="1"/>
  <c r="F172" i="26"/>
  <c r="F215" i="26" s="1"/>
  <c r="N172" i="26"/>
  <c r="N215" i="26" s="1"/>
  <c r="V172" i="26"/>
  <c r="V215" i="26" s="1"/>
  <c r="K172" i="26"/>
  <c r="K215" i="26" s="1"/>
  <c r="D211" i="26"/>
  <c r="D218" i="26" s="1"/>
  <c r="BX28" i="26"/>
  <c r="AO28" i="26"/>
  <c r="AR25" i="24"/>
  <c r="BH25" i="24"/>
  <c r="AN23" i="26"/>
  <c r="CB25" i="24"/>
  <c r="BA23" i="26"/>
  <c r="BK23" i="26"/>
  <c r="AT26" i="24"/>
  <c r="BL23" i="26"/>
  <c r="AM29" i="26"/>
  <c r="BZ26" i="24"/>
  <c r="BX23" i="26"/>
  <c r="AP20" i="24"/>
  <c r="AN26" i="26"/>
  <c r="AP28" i="26"/>
  <c r="AN29" i="26"/>
  <c r="BZ23" i="26"/>
  <c r="AV26" i="26"/>
  <c r="BG28" i="26"/>
  <c r="BB29" i="26"/>
  <c r="AM23" i="26"/>
  <c r="BH28" i="26"/>
  <c r="BF29" i="26"/>
  <c r="BV26" i="24"/>
  <c r="BV28" i="26"/>
  <c r="BT29" i="26"/>
  <c r="AV18" i="26"/>
  <c r="AZ23" i="26"/>
  <c r="CB28" i="26"/>
  <c r="BU29" i="26"/>
  <c r="BW22" i="26"/>
  <c r="BT22" i="26"/>
  <c r="BH22" i="26"/>
  <c r="AT22" i="26"/>
  <c r="BS22" i="26"/>
  <c r="BD22" i="26"/>
  <c r="AS22" i="26"/>
  <c r="CD22" i="26"/>
  <c r="BR22" i="26"/>
  <c r="BC22" i="26"/>
  <c r="AR22" i="26"/>
  <c r="AU22" i="26"/>
  <c r="CC22" i="26"/>
  <c r="BP22" i="26"/>
  <c r="BB22" i="26"/>
  <c r="AN22" i="26"/>
  <c r="CB22" i="26"/>
  <c r="BL22" i="26"/>
  <c r="BA22" i="26"/>
  <c r="AM22" i="26"/>
  <c r="BU22" i="26"/>
  <c r="CA22" i="26"/>
  <c r="BK22" i="26"/>
  <c r="AZ22" i="26"/>
  <c r="AL22" i="26"/>
  <c r="BZ22" i="26"/>
  <c r="BJ22" i="26"/>
  <c r="AV22" i="26"/>
  <c r="BI22" i="26"/>
  <c r="BX27" i="26"/>
  <c r="BI27" i="26"/>
  <c r="BG27" i="26"/>
  <c r="AY27" i="26"/>
  <c r="BQ27" i="26"/>
  <c r="AU27" i="26"/>
  <c r="CE27" i="26"/>
  <c r="AM27" i="26"/>
  <c r="CA27" i="26"/>
  <c r="BS27" i="26"/>
  <c r="CC19" i="25"/>
  <c r="AZ19" i="25"/>
  <c r="AR19" i="25"/>
  <c r="BH19" i="25"/>
  <c r="BX19" i="25"/>
  <c r="BP19" i="25"/>
  <c r="BY21" i="25"/>
  <c r="AN21" i="25"/>
  <c r="AM21" i="25"/>
  <c r="CB21" i="25"/>
  <c r="BT21" i="25"/>
  <c r="BL21" i="25"/>
  <c r="BD21" i="25"/>
  <c r="AV21" i="25"/>
  <c r="AU21" i="25"/>
  <c r="BJ20" i="24"/>
  <c r="AT24" i="24"/>
  <c r="BJ25" i="24"/>
  <c r="AR23" i="25"/>
  <c r="AL18" i="26"/>
  <c r="AZ18" i="26"/>
  <c r="BK18" i="26"/>
  <c r="BY18" i="26"/>
  <c r="AW25" i="26"/>
  <c r="BJ18" i="26"/>
  <c r="BZ20" i="24"/>
  <c r="BJ24" i="24"/>
  <c r="BL25" i="24"/>
  <c r="AW30" i="24"/>
  <c r="AZ23" i="25"/>
  <c r="BA18" i="26"/>
  <c r="BL18" i="26"/>
  <c r="BZ18" i="26"/>
  <c r="AO23" i="26"/>
  <c r="BB23" i="26"/>
  <c r="BP23" i="26"/>
  <c r="CA23" i="26"/>
  <c r="BG25" i="26"/>
  <c r="AX26" i="26"/>
  <c r="AV28" i="26"/>
  <c r="BI28" i="26"/>
  <c r="CC28" i="26"/>
  <c r="AO29" i="26"/>
  <c r="BI29" i="26"/>
  <c r="BV29" i="26"/>
  <c r="BT25" i="24"/>
  <c r="BM30" i="24"/>
  <c r="BS23" i="25"/>
  <c r="AN18" i="26"/>
  <c r="BB18" i="26"/>
  <c r="BP18" i="26"/>
  <c r="CA18" i="26"/>
  <c r="AR23" i="26"/>
  <c r="BD23" i="26"/>
  <c r="BQ23" i="26"/>
  <c r="CB23" i="26"/>
  <c r="BQ25" i="26"/>
  <c r="BF26" i="26"/>
  <c r="AW28" i="26"/>
  <c r="BL28" i="26"/>
  <c r="CD28" i="26"/>
  <c r="AP29" i="26"/>
  <c r="BJ29" i="26"/>
  <c r="CC29" i="26"/>
  <c r="BP21" i="24"/>
  <c r="AP25" i="24"/>
  <c r="BZ25" i="24"/>
  <c r="AR18" i="26"/>
  <c r="BC18" i="26"/>
  <c r="BQ18" i="26"/>
  <c r="CB18" i="26"/>
  <c r="AT23" i="26"/>
  <c r="BE23" i="26"/>
  <c r="BR23" i="26"/>
  <c r="CC23" i="26"/>
  <c r="CC25" i="26"/>
  <c r="BJ26" i="26"/>
  <c r="AX28" i="26"/>
  <c r="BP28" i="26"/>
  <c r="CE28" i="26"/>
  <c r="AV29" i="26"/>
  <c r="BK29" i="26"/>
  <c r="CD29" i="26"/>
  <c r="AL24" i="25"/>
  <c r="AS18" i="26"/>
  <c r="BD18" i="26"/>
  <c r="BR18" i="26"/>
  <c r="AU23" i="26"/>
  <c r="BH23" i="26"/>
  <c r="BS23" i="26"/>
  <c r="BR26" i="26"/>
  <c r="AY28" i="26"/>
  <c r="BQ28" i="26"/>
  <c r="AW29" i="26"/>
  <c r="BL29" i="26"/>
  <c r="BX18" i="26"/>
  <c r="AT25" i="24"/>
  <c r="AT31" i="24"/>
  <c r="BI24" i="25"/>
  <c r="AT18" i="26"/>
  <c r="BH18" i="26"/>
  <c r="BS18" i="26"/>
  <c r="AV23" i="26"/>
  <c r="BI23" i="26"/>
  <c r="BT23" i="26"/>
  <c r="BT26" i="26"/>
  <c r="AZ28" i="26"/>
  <c r="BT28" i="26"/>
  <c r="AX29" i="26"/>
  <c r="BR29" i="26"/>
  <c r="AL20" i="24"/>
  <c r="AV23" i="24"/>
  <c r="BB25" i="24"/>
  <c r="AU18" i="26"/>
  <c r="BI18" i="26"/>
  <c r="BT18" i="26"/>
  <c r="AL23" i="26"/>
  <c r="AW23" i="26"/>
  <c r="BJ23" i="26"/>
  <c r="AL26" i="26"/>
  <c r="CD26" i="26"/>
  <c r="AN28" i="26"/>
  <c r="BF28" i="26"/>
  <c r="BU28" i="26"/>
  <c r="AL29" i="26"/>
  <c r="BA29" i="26"/>
  <c r="CA27" i="24"/>
  <c r="AQ27" i="24"/>
  <c r="CE27" i="24"/>
  <c r="AM27" i="24"/>
  <c r="BW27" i="24"/>
  <c r="AY27" i="24"/>
  <c r="BS27" i="24"/>
  <c r="BO27" i="24"/>
  <c r="BG27" i="24"/>
  <c r="BC27" i="24"/>
  <c r="BX29" i="24"/>
  <c r="BZ29" i="24"/>
  <c r="AR29" i="24"/>
  <c r="AT29" i="24"/>
  <c r="BV29" i="24"/>
  <c r="AP29" i="24"/>
  <c r="BQ29" i="24"/>
  <c r="BO29" i="24"/>
  <c r="BJ29" i="24"/>
  <c r="BH29" i="24"/>
  <c r="BA29" i="24"/>
  <c r="BT21" i="24"/>
  <c r="AZ23" i="24"/>
  <c r="BO30" i="24"/>
  <c r="BA31" i="24"/>
  <c r="P172" i="24"/>
  <c r="P215" i="24" s="1"/>
  <c r="X172" i="24"/>
  <c r="X215" i="24" s="1"/>
  <c r="O172" i="24"/>
  <c r="O215" i="24" s="1"/>
  <c r="N185" i="24"/>
  <c r="N216" i="24" s="1"/>
  <c r="D185" i="24"/>
  <c r="D216" i="24" s="1"/>
  <c r="B198" i="24"/>
  <c r="B217" i="24" s="1"/>
  <c r="J198" i="24"/>
  <c r="J217" i="24" s="1"/>
  <c r="R198" i="24"/>
  <c r="R217" i="24" s="1"/>
  <c r="Q198" i="24"/>
  <c r="Q217" i="24" s="1"/>
  <c r="Y198" i="24"/>
  <c r="Y217" i="24" s="1"/>
  <c r="G211" i="24"/>
  <c r="G218" i="24" s="1"/>
  <c r="AT20" i="24"/>
  <c r="BX21" i="24"/>
  <c r="BD23" i="24"/>
  <c r="BV30" i="24"/>
  <c r="BH31" i="24"/>
  <c r="Q172" i="24"/>
  <c r="Q215" i="24" s="1"/>
  <c r="Y172" i="24"/>
  <c r="Y215" i="24" s="1"/>
  <c r="E185" i="24"/>
  <c r="E216" i="24" s="1"/>
  <c r="O185" i="24"/>
  <c r="O216" i="24" s="1"/>
  <c r="C198" i="24"/>
  <c r="C217" i="24" s="1"/>
  <c r="K198" i="24"/>
  <c r="K217" i="24" s="1"/>
  <c r="S198" i="24"/>
  <c r="S217" i="24" s="1"/>
  <c r="H211" i="24"/>
  <c r="H218" i="24" s="1"/>
  <c r="W211" i="24"/>
  <c r="W218" i="24" s="1"/>
  <c r="F211" i="24"/>
  <c r="F218" i="24" s="1"/>
  <c r="V211" i="24"/>
  <c r="V218" i="24" s="1"/>
  <c r="BB20" i="24"/>
  <c r="BL23" i="24"/>
  <c r="BZ24" i="24"/>
  <c r="AV25" i="24"/>
  <c r="BP25" i="24"/>
  <c r="AN30" i="24"/>
  <c r="CC30" i="24"/>
  <c r="BL31" i="24"/>
  <c r="J172" i="24"/>
  <c r="J215" i="24" s="1"/>
  <c r="R172" i="24"/>
  <c r="R215" i="24" s="1"/>
  <c r="F185" i="24"/>
  <c r="F216" i="24" s="1"/>
  <c r="P185" i="24"/>
  <c r="P216" i="24" s="1"/>
  <c r="I211" i="24"/>
  <c r="I218" i="24" s="1"/>
  <c r="X211" i="24"/>
  <c r="X218" i="24" s="1"/>
  <c r="BF20" i="24"/>
  <c r="AR21" i="24"/>
  <c r="BP23" i="24"/>
  <c r="AZ25" i="24"/>
  <c r="BR25" i="24"/>
  <c r="AP26" i="24"/>
  <c r="AP30" i="24"/>
  <c r="BS31" i="24"/>
  <c r="K172" i="24"/>
  <c r="K215" i="24" s="1"/>
  <c r="S172" i="24"/>
  <c r="S215" i="24" s="1"/>
  <c r="B211" i="24"/>
  <c r="B218" i="24" s="1"/>
  <c r="J211" i="24"/>
  <c r="J218" i="24" s="1"/>
  <c r="Y211" i="24"/>
  <c r="Y218" i="24" s="1"/>
  <c r="AZ21" i="24"/>
  <c r="BT23" i="24"/>
  <c r="BZ31" i="24"/>
  <c r="B172" i="24"/>
  <c r="B215" i="24" s="1"/>
  <c r="H185" i="24"/>
  <c r="H216" i="24" s="1"/>
  <c r="R185" i="24"/>
  <c r="R216" i="24" s="1"/>
  <c r="F198" i="24"/>
  <c r="F217" i="24" s="1"/>
  <c r="N198" i="24"/>
  <c r="N217" i="24" s="1"/>
  <c r="V198" i="24"/>
  <c r="V217" i="24" s="1"/>
  <c r="C211" i="24"/>
  <c r="C218" i="24" s="1"/>
  <c r="K211" i="24"/>
  <c r="K218" i="24" s="1"/>
  <c r="BR20" i="24"/>
  <c r="BD21" i="24"/>
  <c r="CB23" i="24"/>
  <c r="AL25" i="24"/>
  <c r="BD25" i="24"/>
  <c r="BV25" i="24"/>
  <c r="BF26" i="24"/>
  <c r="BD30" i="24"/>
  <c r="M172" i="24"/>
  <c r="M215" i="24" s="1"/>
  <c r="U172" i="24"/>
  <c r="U215" i="24" s="1"/>
  <c r="G198" i="24"/>
  <c r="G217" i="24" s="1"/>
  <c r="O198" i="24"/>
  <c r="O217" i="24" s="1"/>
  <c r="W198" i="24"/>
  <c r="W217" i="24" s="1"/>
  <c r="D211" i="24"/>
  <c r="D218" i="24" s="1"/>
  <c r="BV20" i="24"/>
  <c r="BH21" i="24"/>
  <c r="AN23" i="24"/>
  <c r="AN25" i="24"/>
  <c r="BF25" i="24"/>
  <c r="BJ26" i="24"/>
  <c r="BK30" i="24"/>
  <c r="AM31" i="24"/>
  <c r="D172" i="24"/>
  <c r="D215" i="24" s="1"/>
  <c r="H198" i="24"/>
  <c r="H217" i="24" s="1"/>
  <c r="P198" i="24"/>
  <c r="P217" i="24" s="1"/>
  <c r="X198" i="24"/>
  <c r="X217" i="24" s="1"/>
  <c r="T211" i="24"/>
  <c r="T218" i="24" s="1"/>
  <c r="BY19" i="26"/>
  <c r="BQ19" i="26"/>
  <c r="BI19" i="26"/>
  <c r="BA19" i="26"/>
  <c r="AS19" i="26"/>
  <c r="BR19" i="26"/>
  <c r="BJ19" i="26"/>
  <c r="BX19" i="26"/>
  <c r="BP19" i="26"/>
  <c r="BH19" i="26"/>
  <c r="AZ19" i="26"/>
  <c r="AR19" i="26"/>
  <c r="AT19" i="26"/>
  <c r="CE19" i="26"/>
  <c r="BW19" i="26"/>
  <c r="BO19" i="26"/>
  <c r="BG19" i="26"/>
  <c r="AY19" i="26"/>
  <c r="AQ19" i="26"/>
  <c r="CD19" i="26"/>
  <c r="BV19" i="26"/>
  <c r="BN19" i="26"/>
  <c r="BF19" i="26"/>
  <c r="AX19" i="26"/>
  <c r="AP19" i="26"/>
  <c r="BB19" i="26"/>
  <c r="CC19" i="26"/>
  <c r="BU19" i="26"/>
  <c r="BM19" i="26"/>
  <c r="BE19" i="26"/>
  <c r="AW19" i="26"/>
  <c r="CB19" i="26"/>
  <c r="BT19" i="26"/>
  <c r="BL19" i="26"/>
  <c r="BD19" i="26"/>
  <c r="AV19" i="26"/>
  <c r="AN19" i="26"/>
  <c r="BZ19" i="26"/>
  <c r="CA19" i="26"/>
  <c r="BS19" i="26"/>
  <c r="BK19" i="26"/>
  <c r="BC19" i="26"/>
  <c r="AU19" i="26"/>
  <c r="AM19" i="26"/>
  <c r="CA31" i="26"/>
  <c r="BS31" i="26"/>
  <c r="BK31" i="26"/>
  <c r="BC31" i="26"/>
  <c r="AU31" i="26"/>
  <c r="AM31" i="26"/>
  <c r="BZ31" i="26"/>
  <c r="BR31" i="26"/>
  <c r="BJ31" i="26"/>
  <c r="BB31" i="26"/>
  <c r="AT31" i="26"/>
  <c r="AL31" i="26"/>
  <c r="BY31" i="26"/>
  <c r="BQ31" i="26"/>
  <c r="BI31" i="26"/>
  <c r="BA31" i="26"/>
  <c r="AS31" i="26"/>
  <c r="CE31" i="26"/>
  <c r="BT31" i="26"/>
  <c r="BF31" i="26"/>
  <c r="AR31" i="26"/>
  <c r="CD31" i="26"/>
  <c r="BP31" i="26"/>
  <c r="BE31" i="26"/>
  <c r="AQ31" i="26"/>
  <c r="BU31" i="26"/>
  <c r="CC31" i="26"/>
  <c r="BO31" i="26"/>
  <c r="BD31" i="26"/>
  <c r="AP31" i="26"/>
  <c r="CB31" i="26"/>
  <c r="BN31" i="26"/>
  <c r="AZ31" i="26"/>
  <c r="AO31" i="26"/>
  <c r="BG31" i="26"/>
  <c r="BX31" i="26"/>
  <c r="BM31" i="26"/>
  <c r="AY31" i="26"/>
  <c r="AN31" i="26"/>
  <c r="BW31" i="26"/>
  <c r="BL31" i="26"/>
  <c r="AX31" i="26"/>
  <c r="AV31" i="26"/>
  <c r="BV31" i="26"/>
  <c r="BH31" i="26"/>
  <c r="AW31" i="26"/>
  <c r="CE20" i="26"/>
  <c r="BW20" i="26"/>
  <c r="BO20" i="26"/>
  <c r="BG20" i="26"/>
  <c r="AY20" i="26"/>
  <c r="AQ20" i="26"/>
  <c r="BH20" i="26"/>
  <c r="CD20" i="26"/>
  <c r="BV20" i="26"/>
  <c r="BN20" i="26"/>
  <c r="BF20" i="26"/>
  <c r="AX20" i="26"/>
  <c r="AP20" i="26"/>
  <c r="AZ20" i="26"/>
  <c r="CC20" i="26"/>
  <c r="BU20" i="26"/>
  <c r="BM20" i="26"/>
  <c r="BE20" i="26"/>
  <c r="AW20" i="26"/>
  <c r="AO20" i="26"/>
  <c r="BX20" i="26"/>
  <c r="CB20" i="26"/>
  <c r="BT20" i="26"/>
  <c r="BL20" i="26"/>
  <c r="BD20" i="26"/>
  <c r="AV20" i="26"/>
  <c r="AN20" i="26"/>
  <c r="BP20" i="26"/>
  <c r="CA20" i="26"/>
  <c r="BS20" i="26"/>
  <c r="BK20" i="26"/>
  <c r="BC20" i="26"/>
  <c r="AU20" i="26"/>
  <c r="BZ20" i="26"/>
  <c r="BR20" i="26"/>
  <c r="BJ20" i="26"/>
  <c r="BB20" i="26"/>
  <c r="AT20" i="26"/>
  <c r="AL20" i="26"/>
  <c r="BY20" i="26"/>
  <c r="BQ20" i="26"/>
  <c r="BI20" i="26"/>
  <c r="BA20" i="26"/>
  <c r="AS20" i="26"/>
  <c r="AR20" i="26"/>
  <c r="CC21" i="26"/>
  <c r="BU21" i="26"/>
  <c r="BM21" i="26"/>
  <c r="BE21" i="26"/>
  <c r="AW21" i="26"/>
  <c r="AO21" i="26"/>
  <c r="CD21" i="26"/>
  <c r="AP21" i="26"/>
  <c r="CB21" i="26"/>
  <c r="BT21" i="26"/>
  <c r="BL21" i="26"/>
  <c r="BD21" i="26"/>
  <c r="AV21" i="26"/>
  <c r="BV21" i="26"/>
  <c r="CA21" i="26"/>
  <c r="BS21" i="26"/>
  <c r="BK21" i="26"/>
  <c r="BC21" i="26"/>
  <c r="AU21" i="26"/>
  <c r="AM21" i="26"/>
  <c r="BN21" i="26"/>
  <c r="AX21" i="26"/>
  <c r="BZ21" i="26"/>
  <c r="BR21" i="26"/>
  <c r="BJ21" i="26"/>
  <c r="BB21" i="26"/>
  <c r="AT21" i="26"/>
  <c r="BY21" i="26"/>
  <c r="BQ21" i="26"/>
  <c r="BI21" i="26"/>
  <c r="BA21" i="26"/>
  <c r="AS21" i="26"/>
  <c r="BX21" i="26"/>
  <c r="BP21" i="26"/>
  <c r="BH21" i="26"/>
  <c r="AZ21" i="26"/>
  <c r="AR21" i="26"/>
  <c r="CE21" i="26"/>
  <c r="BW21" i="26"/>
  <c r="BO21" i="26"/>
  <c r="BG21" i="26"/>
  <c r="AY21" i="26"/>
  <c r="BF21" i="26"/>
  <c r="AO18" i="26"/>
  <c r="AW18" i="26"/>
  <c r="BE18" i="26"/>
  <c r="BM18" i="26"/>
  <c r="BU18" i="26"/>
  <c r="CC18" i="26"/>
  <c r="AO22" i="26"/>
  <c r="AW22" i="26"/>
  <c r="BE22" i="26"/>
  <c r="BM22" i="26"/>
  <c r="BV22" i="26"/>
  <c r="CE22" i="26"/>
  <c r="AT24" i="26"/>
  <c r="BF24" i="26"/>
  <c r="BP24" i="26"/>
  <c r="AN25" i="26"/>
  <c r="AX25" i="26"/>
  <c r="BH25" i="26"/>
  <c r="BT25" i="26"/>
  <c r="CD25" i="26"/>
  <c r="AO26" i="26"/>
  <c r="AY26" i="26"/>
  <c r="BK26" i="26"/>
  <c r="BU26" i="26"/>
  <c r="CE26" i="26"/>
  <c r="AZ27" i="26"/>
  <c r="BJ27" i="26"/>
  <c r="BT27" i="26"/>
  <c r="AQ28" i="26"/>
  <c r="BA28" i="26"/>
  <c r="BM28" i="26"/>
  <c r="BW28" i="26"/>
  <c r="BY29" i="26"/>
  <c r="BX29" i="26"/>
  <c r="BP29" i="26"/>
  <c r="BH29" i="26"/>
  <c r="AZ29" i="26"/>
  <c r="AR29" i="26"/>
  <c r="CE29" i="26"/>
  <c r="BW29" i="26"/>
  <c r="BO29" i="26"/>
  <c r="BG29" i="26"/>
  <c r="AY29" i="26"/>
  <c r="AQ29" i="26"/>
  <c r="AS29" i="26"/>
  <c r="BC29" i="26"/>
  <c r="BM29" i="26"/>
  <c r="BZ29" i="26"/>
  <c r="AU30" i="26"/>
  <c r="BI30" i="26"/>
  <c r="BW30" i="26"/>
  <c r="W49" i="26"/>
  <c r="CC24" i="26"/>
  <c r="BU24" i="26"/>
  <c r="BM24" i="26"/>
  <c r="BE24" i="26"/>
  <c r="AW24" i="26"/>
  <c r="AO24" i="26"/>
  <c r="CB24" i="26"/>
  <c r="BT24" i="26"/>
  <c r="BL24" i="26"/>
  <c r="BD24" i="26"/>
  <c r="AV24" i="26"/>
  <c r="AN24" i="26"/>
  <c r="AT30" i="26"/>
  <c r="AP18" i="26"/>
  <c r="AX18" i="26"/>
  <c r="BF18" i="26"/>
  <c r="BN18" i="26"/>
  <c r="BV18" i="26"/>
  <c r="CD18" i="26"/>
  <c r="BF22" i="26"/>
  <c r="BN22" i="26"/>
  <c r="CE23" i="26"/>
  <c r="BW23" i="26"/>
  <c r="BO23" i="26"/>
  <c r="BG23" i="26"/>
  <c r="AY23" i="26"/>
  <c r="AQ23" i="26"/>
  <c r="CD23" i="26"/>
  <c r="BV23" i="26"/>
  <c r="BN23" i="26"/>
  <c r="BF23" i="26"/>
  <c r="AX23" i="26"/>
  <c r="AP23" i="26"/>
  <c r="AS23" i="26"/>
  <c r="BC23" i="26"/>
  <c r="BM23" i="26"/>
  <c r="BY23" i="26"/>
  <c r="AU24" i="26"/>
  <c r="BG24" i="26"/>
  <c r="BQ24" i="26"/>
  <c r="CA24" i="26"/>
  <c r="AO25" i="26"/>
  <c r="AY25" i="26"/>
  <c r="BI25" i="26"/>
  <c r="BU25" i="26"/>
  <c r="CE25" i="26"/>
  <c r="AP26" i="26"/>
  <c r="BB26" i="26"/>
  <c r="BL26" i="26"/>
  <c r="BV26" i="26"/>
  <c r="AQ27" i="26"/>
  <c r="BA27" i="26"/>
  <c r="BK27" i="26"/>
  <c r="BW27" i="26"/>
  <c r="AR28" i="26"/>
  <c r="BD28" i="26"/>
  <c r="BN28" i="26"/>
  <c r="AT29" i="26"/>
  <c r="BD29" i="26"/>
  <c r="BN29" i="26"/>
  <c r="CA29" i="26"/>
  <c r="AY30" i="26"/>
  <c r="BJ30" i="26"/>
  <c r="BX30" i="26"/>
  <c r="I63" i="26"/>
  <c r="Q63" i="26"/>
  <c r="Y63" i="26"/>
  <c r="H64" i="26"/>
  <c r="P64" i="26"/>
  <c r="X49" i="26"/>
  <c r="X64" i="26"/>
  <c r="G65" i="26"/>
  <c r="O65" i="26"/>
  <c r="W65" i="26"/>
  <c r="F66" i="26"/>
  <c r="N66" i="26"/>
  <c r="V66" i="26"/>
  <c r="M67" i="26"/>
  <c r="U67" i="26"/>
  <c r="D68" i="26"/>
  <c r="T68" i="26"/>
  <c r="C69" i="26"/>
  <c r="K69" i="26"/>
  <c r="B70" i="26"/>
  <c r="J70" i="26"/>
  <c r="R70" i="26"/>
  <c r="I71" i="26"/>
  <c r="Q71" i="26"/>
  <c r="Y71" i="26"/>
  <c r="H72" i="26"/>
  <c r="P72" i="26"/>
  <c r="X72" i="26"/>
  <c r="AQ18" i="26"/>
  <c r="AY18" i="26"/>
  <c r="BG18" i="26"/>
  <c r="BO18" i="26"/>
  <c r="BW18" i="26"/>
  <c r="BY22" i="26"/>
  <c r="BQ22" i="26"/>
  <c r="AQ22" i="26"/>
  <c r="AY22" i="26"/>
  <c r="BG22" i="26"/>
  <c r="BO22" i="26"/>
  <c r="BX22" i="26"/>
  <c r="AL24" i="26"/>
  <c r="AX24" i="26"/>
  <c r="BH24" i="26"/>
  <c r="BR24" i="26"/>
  <c r="CD24" i="26"/>
  <c r="AP25" i="26"/>
  <c r="AZ25" i="26"/>
  <c r="BL25" i="26"/>
  <c r="BV25" i="26"/>
  <c r="AQ26" i="26"/>
  <c r="BC26" i="26"/>
  <c r="BM26" i="26"/>
  <c r="AR27" i="26"/>
  <c r="BB27" i="26"/>
  <c r="BL27" i="26"/>
  <c r="CA28" i="26"/>
  <c r="BS28" i="26"/>
  <c r="BK28" i="26"/>
  <c r="BC28" i="26"/>
  <c r="AU28" i="26"/>
  <c r="AM28" i="26"/>
  <c r="BZ28" i="26"/>
  <c r="BR28" i="26"/>
  <c r="BJ28" i="26"/>
  <c r="BB28" i="26"/>
  <c r="AT28" i="26"/>
  <c r="AS28" i="26"/>
  <c r="BE28" i="26"/>
  <c r="BO28" i="26"/>
  <c r="BY28" i="26"/>
  <c r="AU29" i="26"/>
  <c r="BE29" i="26"/>
  <c r="BQ29" i="26"/>
  <c r="CB29" i="26"/>
  <c r="AL30" i="26"/>
  <c r="AZ30" i="26"/>
  <c r="BK30" i="26"/>
  <c r="BY30" i="26"/>
  <c r="B49" i="26"/>
  <c r="B63" i="26"/>
  <c r="J49" i="26"/>
  <c r="J63" i="26"/>
  <c r="R49" i="26"/>
  <c r="R63" i="26"/>
  <c r="I64" i="26"/>
  <c r="Q64" i="26"/>
  <c r="Y64" i="26"/>
  <c r="H65" i="26"/>
  <c r="P65" i="26"/>
  <c r="X65" i="26"/>
  <c r="G66" i="26"/>
  <c r="O66" i="26"/>
  <c r="W66" i="26"/>
  <c r="F67" i="26"/>
  <c r="N67" i="26"/>
  <c r="V67" i="26"/>
  <c r="E68" i="26"/>
  <c r="M68" i="26"/>
  <c r="U68" i="26"/>
  <c r="D69" i="26"/>
  <c r="L69" i="26"/>
  <c r="T69" i="26"/>
  <c r="C70" i="26"/>
  <c r="K70" i="26"/>
  <c r="S70" i="26"/>
  <c r="B71" i="26"/>
  <c r="J71" i="26"/>
  <c r="R71" i="26"/>
  <c r="I72" i="26"/>
  <c r="Q72" i="26"/>
  <c r="Y72" i="26"/>
  <c r="Y49" i="26"/>
  <c r="L68" i="26"/>
  <c r="F70" i="26"/>
  <c r="BY24" i="26"/>
  <c r="BH30" i="26"/>
  <c r="AM24" i="26"/>
  <c r="AY24" i="26"/>
  <c r="BI24" i="26"/>
  <c r="BS24" i="26"/>
  <c r="CE24" i="26"/>
  <c r="AQ25" i="26"/>
  <c r="BA25" i="26"/>
  <c r="BM25" i="26"/>
  <c r="BW25" i="26"/>
  <c r="BY26" i="26"/>
  <c r="BQ26" i="26"/>
  <c r="BI26" i="26"/>
  <c r="BA26" i="26"/>
  <c r="AS26" i="26"/>
  <c r="BX26" i="26"/>
  <c r="BP26" i="26"/>
  <c r="BH26" i="26"/>
  <c r="AZ26" i="26"/>
  <c r="AR26" i="26"/>
  <c r="AT26" i="26"/>
  <c r="BD26" i="26"/>
  <c r="BN26" i="26"/>
  <c r="BZ26" i="26"/>
  <c r="CD27" i="26"/>
  <c r="BV27" i="26"/>
  <c r="BN27" i="26"/>
  <c r="BF27" i="26"/>
  <c r="AX27" i="26"/>
  <c r="AP27" i="26"/>
  <c r="CC27" i="26"/>
  <c r="BU27" i="26"/>
  <c r="BM27" i="26"/>
  <c r="BE27" i="26"/>
  <c r="AW27" i="26"/>
  <c r="AO27" i="26"/>
  <c r="AS27" i="26"/>
  <c r="BC27" i="26"/>
  <c r="BO27" i="26"/>
  <c r="BY27" i="26"/>
  <c r="AM30" i="26"/>
  <c r="BA30" i="26"/>
  <c r="BO30" i="26"/>
  <c r="BZ30" i="26"/>
  <c r="D49" i="26"/>
  <c r="Q67" i="26"/>
  <c r="AS24" i="26"/>
  <c r="AP24" i="26"/>
  <c r="AZ24" i="26"/>
  <c r="BJ24" i="26"/>
  <c r="BV24" i="26"/>
  <c r="AR25" i="26"/>
  <c r="BD25" i="26"/>
  <c r="BN25" i="26"/>
  <c r="AU26" i="26"/>
  <c r="BE26" i="26"/>
  <c r="BO26" i="26"/>
  <c r="CA26" i="26"/>
  <c r="AT27" i="26"/>
  <c r="BD27" i="26"/>
  <c r="BP27" i="26"/>
  <c r="BZ27" i="26"/>
  <c r="AQ30" i="26"/>
  <c r="BB30" i="26"/>
  <c r="BP30" i="26"/>
  <c r="D63" i="26"/>
  <c r="L63" i="26"/>
  <c r="T63" i="26"/>
  <c r="C64" i="26"/>
  <c r="K64" i="26"/>
  <c r="S64" i="26"/>
  <c r="B65" i="26"/>
  <c r="J65" i="26"/>
  <c r="BO24" i="26"/>
  <c r="CD30" i="26"/>
  <c r="BV30" i="26"/>
  <c r="BN30" i="26"/>
  <c r="BF30" i="26"/>
  <c r="AX30" i="26"/>
  <c r="AP30" i="26"/>
  <c r="CC30" i="26"/>
  <c r="BU30" i="26"/>
  <c r="BM30" i="26"/>
  <c r="BE30" i="26"/>
  <c r="AW30" i="26"/>
  <c r="AO30" i="26"/>
  <c r="CB30" i="26"/>
  <c r="BT30" i="26"/>
  <c r="BL30" i="26"/>
  <c r="BD30" i="26"/>
  <c r="AV30" i="26"/>
  <c r="AN30" i="26"/>
  <c r="AQ24" i="26"/>
  <c r="BA24" i="26"/>
  <c r="BK24" i="26"/>
  <c r="BW24" i="26"/>
  <c r="CA25" i="26"/>
  <c r="BS25" i="26"/>
  <c r="BK25" i="26"/>
  <c r="BC25" i="26"/>
  <c r="AU25" i="26"/>
  <c r="AM25" i="26"/>
  <c r="BZ25" i="26"/>
  <c r="BR25" i="26"/>
  <c r="BJ25" i="26"/>
  <c r="BB25" i="26"/>
  <c r="AT25" i="26"/>
  <c r="AL25" i="26"/>
  <c r="AS25" i="26"/>
  <c r="BE25" i="26"/>
  <c r="BO25" i="26"/>
  <c r="BY25" i="26"/>
  <c r="CB26" i="26"/>
  <c r="AR30" i="26"/>
  <c r="BC30" i="26"/>
  <c r="BQ30" i="26"/>
  <c r="CE30" i="26"/>
  <c r="E63" i="26"/>
  <c r="E49" i="26"/>
  <c r="M63" i="26"/>
  <c r="M49" i="26"/>
  <c r="U63" i="26"/>
  <c r="U49" i="26"/>
  <c r="L64" i="26"/>
  <c r="T64" i="26"/>
  <c r="C65" i="26"/>
  <c r="K65" i="26"/>
  <c r="S65" i="26"/>
  <c r="B66" i="26"/>
  <c r="J66" i="26"/>
  <c r="R66" i="26"/>
  <c r="I67" i="26"/>
  <c r="Y67" i="26"/>
  <c r="H68" i="26"/>
  <c r="P68" i="26"/>
  <c r="G69" i="26"/>
  <c r="O69" i="26"/>
  <c r="W69" i="26"/>
  <c r="N70" i="26"/>
  <c r="V70" i="26"/>
  <c r="E71" i="26"/>
  <c r="U71" i="26"/>
  <c r="D72" i="26"/>
  <c r="L72" i="26"/>
  <c r="T72" i="26"/>
  <c r="I49" i="26"/>
  <c r="M71" i="26"/>
  <c r="BC24" i="26"/>
  <c r="BS30" i="26"/>
  <c r="AR24" i="26"/>
  <c r="BB24" i="26"/>
  <c r="BN24" i="26"/>
  <c r="BX24" i="26"/>
  <c r="AV25" i="26"/>
  <c r="BF25" i="26"/>
  <c r="BP25" i="26"/>
  <c r="CB25" i="26"/>
  <c r="AM26" i="26"/>
  <c r="AW26" i="26"/>
  <c r="BG26" i="26"/>
  <c r="BS26" i="26"/>
  <c r="CC26" i="26"/>
  <c r="AL27" i="26"/>
  <c r="AV27" i="26"/>
  <c r="BH27" i="26"/>
  <c r="BR27" i="26"/>
  <c r="CB27" i="26"/>
  <c r="AS30" i="26"/>
  <c r="BG30" i="26"/>
  <c r="BR30" i="26"/>
  <c r="F49" i="26"/>
  <c r="L49" i="26"/>
  <c r="X68" i="26"/>
  <c r="G63" i="26"/>
  <c r="W63" i="26"/>
  <c r="F64" i="26"/>
  <c r="V64" i="26"/>
  <c r="E65" i="26"/>
  <c r="M65" i="26"/>
  <c r="D66" i="26"/>
  <c r="L66" i="26"/>
  <c r="U66" i="26"/>
  <c r="H67" i="26"/>
  <c r="R67" i="26"/>
  <c r="C68" i="26"/>
  <c r="O68" i="26"/>
  <c r="Y68" i="26"/>
  <c r="J69" i="26"/>
  <c r="V69" i="26"/>
  <c r="G70" i="26"/>
  <c r="Q70" i="26"/>
  <c r="D71" i="26"/>
  <c r="N71" i="26"/>
  <c r="X71" i="26"/>
  <c r="N49" i="26"/>
  <c r="V49" i="26"/>
  <c r="H63" i="26"/>
  <c r="X63" i="26"/>
  <c r="G64" i="26"/>
  <c r="O64" i="26"/>
  <c r="W64" i="26"/>
  <c r="F65" i="26"/>
  <c r="N65" i="26"/>
  <c r="V65" i="26"/>
  <c r="M66" i="26"/>
  <c r="S67" i="26"/>
  <c r="H70" i="26"/>
  <c r="O71" i="26"/>
  <c r="K72" i="26"/>
  <c r="U72" i="26"/>
  <c r="G49" i="26"/>
  <c r="O49" i="26"/>
  <c r="Y66" i="26"/>
  <c r="T67" i="26"/>
  <c r="B69" i="26"/>
  <c r="I70" i="26"/>
  <c r="P71" i="26"/>
  <c r="C185" i="26"/>
  <c r="C216" i="26" s="1"/>
  <c r="X66" i="26"/>
  <c r="G67" i="26"/>
  <c r="F68" i="26"/>
  <c r="N68" i="26"/>
  <c r="M69" i="26"/>
  <c r="U69" i="26"/>
  <c r="T70" i="26"/>
  <c r="C71" i="26"/>
  <c r="J72" i="26"/>
  <c r="R72" i="26"/>
  <c r="R65" i="26"/>
  <c r="C49" i="26"/>
  <c r="K49" i="26"/>
  <c r="S49" i="26"/>
  <c r="L71" i="26"/>
  <c r="H185" i="26"/>
  <c r="H216" i="26" s="1"/>
  <c r="R185" i="26"/>
  <c r="R216" i="26" s="1"/>
  <c r="B172" i="26"/>
  <c r="R172" i="26"/>
  <c r="R215" i="26" s="1"/>
  <c r="I185" i="26"/>
  <c r="I216" i="26" s="1"/>
  <c r="G185" i="26"/>
  <c r="G216" i="26" s="1"/>
  <c r="O185" i="26"/>
  <c r="O216" i="26" s="1"/>
  <c r="L172" i="26"/>
  <c r="L215" i="26" s="1"/>
  <c r="T172" i="26"/>
  <c r="T215" i="26" s="1"/>
  <c r="D185" i="26"/>
  <c r="D216" i="26" s="1"/>
  <c r="Q172" i="26"/>
  <c r="Q215" i="26" s="1"/>
  <c r="Y172" i="26"/>
  <c r="Y215" i="26" s="1"/>
  <c r="B185" i="26"/>
  <c r="S211" i="26"/>
  <c r="S218" i="26" s="1"/>
  <c r="B211" i="26"/>
  <c r="J211" i="26"/>
  <c r="J218" i="26" s="1"/>
  <c r="N185" i="26"/>
  <c r="N216" i="26" s="1"/>
  <c r="E172" i="26"/>
  <c r="E215" i="26" s="1"/>
  <c r="M172" i="26"/>
  <c r="M215" i="26" s="1"/>
  <c r="U172" i="26"/>
  <c r="U215" i="26" s="1"/>
  <c r="F185" i="26"/>
  <c r="F216" i="26" s="1"/>
  <c r="P185" i="26"/>
  <c r="P216" i="26" s="1"/>
  <c r="CA20" i="25"/>
  <c r="BS20" i="25"/>
  <c r="BK20" i="25"/>
  <c r="BC20" i="25"/>
  <c r="AU20" i="25"/>
  <c r="BZ20" i="25"/>
  <c r="BR20" i="25"/>
  <c r="BJ20" i="25"/>
  <c r="BB20" i="25"/>
  <c r="AT20" i="25"/>
  <c r="AL20" i="25"/>
  <c r="BY20" i="25"/>
  <c r="BQ20" i="25"/>
  <c r="BI20" i="25"/>
  <c r="BA20" i="25"/>
  <c r="AS20" i="25"/>
  <c r="BX20" i="25"/>
  <c r="BP20" i="25"/>
  <c r="BH20" i="25"/>
  <c r="AZ20" i="25"/>
  <c r="AR20" i="25"/>
  <c r="CE20" i="25"/>
  <c r="BW20" i="25"/>
  <c r="BO20" i="25"/>
  <c r="BG20" i="25"/>
  <c r="AY20" i="25"/>
  <c r="AQ20" i="25"/>
  <c r="CD20" i="25"/>
  <c r="BV20" i="25"/>
  <c r="BN20" i="25"/>
  <c r="BF20" i="25"/>
  <c r="AX20" i="25"/>
  <c r="AP20" i="25"/>
  <c r="CC20" i="25"/>
  <c r="BU20" i="25"/>
  <c r="BM20" i="25"/>
  <c r="BE20" i="25"/>
  <c r="AW20" i="25"/>
  <c r="AO20" i="25"/>
  <c r="CB20" i="25"/>
  <c r="BT20" i="25"/>
  <c r="BL20" i="25"/>
  <c r="BD20" i="25"/>
  <c r="AV20" i="25"/>
  <c r="AN20" i="25"/>
  <c r="CE22" i="25"/>
  <c r="BW22" i="25"/>
  <c r="BO22" i="25"/>
  <c r="BG22" i="25"/>
  <c r="AY22" i="25"/>
  <c r="AQ22" i="25"/>
  <c r="CD22" i="25"/>
  <c r="BV22" i="25"/>
  <c r="BN22" i="25"/>
  <c r="BF22" i="25"/>
  <c r="CC22" i="25"/>
  <c r="BU22" i="25"/>
  <c r="BM22" i="25"/>
  <c r="BE22" i="25"/>
  <c r="AW22" i="25"/>
  <c r="AO22" i="25"/>
  <c r="CB22" i="25"/>
  <c r="BT22" i="25"/>
  <c r="BL22" i="25"/>
  <c r="BD22" i="25"/>
  <c r="AV22" i="25"/>
  <c r="AN22" i="25"/>
  <c r="CA22" i="25"/>
  <c r="BS22" i="25"/>
  <c r="BK22" i="25"/>
  <c r="BC22" i="25"/>
  <c r="AU22" i="25"/>
  <c r="AM22" i="25"/>
  <c r="BZ22" i="25"/>
  <c r="BR22" i="25"/>
  <c r="BJ22" i="25"/>
  <c r="BB22" i="25"/>
  <c r="AT22" i="25"/>
  <c r="AL22" i="25"/>
  <c r="BY22" i="25"/>
  <c r="BQ22" i="25"/>
  <c r="BI22" i="25"/>
  <c r="BA22" i="25"/>
  <c r="AS22" i="25"/>
  <c r="BX22" i="25"/>
  <c r="BP22" i="25"/>
  <c r="BH22" i="25"/>
  <c r="AZ22" i="25"/>
  <c r="AR22" i="25"/>
  <c r="CE18" i="25"/>
  <c r="BW18" i="25"/>
  <c r="BO18" i="25"/>
  <c r="BG18" i="25"/>
  <c r="AY18" i="25"/>
  <c r="AQ18" i="25"/>
  <c r="CD18" i="25"/>
  <c r="BV18" i="25"/>
  <c r="BN18" i="25"/>
  <c r="BF18" i="25"/>
  <c r="AX18" i="25"/>
  <c r="AP18" i="25"/>
  <c r="CC18" i="25"/>
  <c r="BU18" i="25"/>
  <c r="BM18" i="25"/>
  <c r="BE18" i="25"/>
  <c r="AW18" i="25"/>
  <c r="AO18" i="25"/>
  <c r="CB18" i="25"/>
  <c r="BT18" i="25"/>
  <c r="BL18" i="25"/>
  <c r="BD18" i="25"/>
  <c r="AV18" i="25"/>
  <c r="AN18" i="25"/>
  <c r="CA18" i="25"/>
  <c r="BS18" i="25"/>
  <c r="BK18" i="25"/>
  <c r="BC18" i="25"/>
  <c r="AU18" i="25"/>
  <c r="AM18" i="25"/>
  <c r="BZ18" i="25"/>
  <c r="BR18" i="25"/>
  <c r="BJ18" i="25"/>
  <c r="BB18" i="25"/>
  <c r="AT18" i="25"/>
  <c r="AL18" i="25"/>
  <c r="BY18" i="25"/>
  <c r="BQ18" i="25"/>
  <c r="BI18" i="25"/>
  <c r="BA18" i="25"/>
  <c r="AS18" i="25"/>
  <c r="BX18" i="25"/>
  <c r="BP18" i="25"/>
  <c r="BH18" i="25"/>
  <c r="AZ18" i="25"/>
  <c r="AR18" i="25"/>
  <c r="AP19" i="25"/>
  <c r="AX19" i="25"/>
  <c r="BF19" i="25"/>
  <c r="BN19" i="25"/>
  <c r="BV19" i="25"/>
  <c r="CD19" i="25"/>
  <c r="AT21" i="25"/>
  <c r="BB21" i="25"/>
  <c r="BJ21" i="25"/>
  <c r="BR21" i="25"/>
  <c r="BZ21" i="25"/>
  <c r="AP23" i="25"/>
  <c r="AX23" i="25"/>
  <c r="BR27" i="25"/>
  <c r="AQ19" i="25"/>
  <c r="AY19" i="25"/>
  <c r="BG19" i="25"/>
  <c r="BO19" i="25"/>
  <c r="BW19" i="25"/>
  <c r="CE19" i="25"/>
  <c r="BC21" i="25"/>
  <c r="BK21" i="25"/>
  <c r="BS21" i="25"/>
  <c r="CA21" i="25"/>
  <c r="BZ23" i="25"/>
  <c r="BR23" i="25"/>
  <c r="BJ23" i="25"/>
  <c r="BB23" i="25"/>
  <c r="BY23" i="25"/>
  <c r="BQ23" i="25"/>
  <c r="BI23" i="25"/>
  <c r="BX23" i="25"/>
  <c r="BP23" i="25"/>
  <c r="BH23" i="25"/>
  <c r="CE23" i="25"/>
  <c r="CD23" i="25"/>
  <c r="BV23" i="25"/>
  <c r="BN23" i="25"/>
  <c r="BF23" i="25"/>
  <c r="CC23" i="25"/>
  <c r="BU23" i="25"/>
  <c r="BM23" i="25"/>
  <c r="BE23" i="25"/>
  <c r="AQ23" i="25"/>
  <c r="AY23" i="25"/>
  <c r="BO23" i="25"/>
  <c r="CD25" i="25"/>
  <c r="BV25" i="25"/>
  <c r="BN25" i="25"/>
  <c r="BF25" i="25"/>
  <c r="AX25" i="25"/>
  <c r="AP25" i="25"/>
  <c r="CC25" i="25"/>
  <c r="BU25" i="25"/>
  <c r="BM25" i="25"/>
  <c r="BE25" i="25"/>
  <c r="AW25" i="25"/>
  <c r="AO25" i="25"/>
  <c r="CB25" i="25"/>
  <c r="BT25" i="25"/>
  <c r="BL25" i="25"/>
  <c r="BD25" i="25"/>
  <c r="AV25" i="25"/>
  <c r="AN25" i="25"/>
  <c r="CA25" i="25"/>
  <c r="BS25" i="25"/>
  <c r="BK25" i="25"/>
  <c r="BC25" i="25"/>
  <c r="AU25" i="25"/>
  <c r="AM25" i="25"/>
  <c r="BZ25" i="25"/>
  <c r="BR25" i="25"/>
  <c r="BJ25" i="25"/>
  <c r="BB25" i="25"/>
  <c r="AT25" i="25"/>
  <c r="AL25" i="25"/>
  <c r="BY25" i="25"/>
  <c r="BQ25" i="25"/>
  <c r="BI25" i="25"/>
  <c r="BA25" i="25"/>
  <c r="AS25" i="25"/>
  <c r="BX25" i="25"/>
  <c r="BP25" i="25"/>
  <c r="BH25" i="25"/>
  <c r="AZ25" i="25"/>
  <c r="AR25" i="25"/>
  <c r="CB26" i="25"/>
  <c r="BT26" i="25"/>
  <c r="BL26" i="25"/>
  <c r="BD26" i="25"/>
  <c r="AV26" i="25"/>
  <c r="AN26" i="25"/>
  <c r="CA26" i="25"/>
  <c r="BS26" i="25"/>
  <c r="BK26" i="25"/>
  <c r="BC26" i="25"/>
  <c r="AU26" i="25"/>
  <c r="AM26" i="25"/>
  <c r="BZ26" i="25"/>
  <c r="BR26" i="25"/>
  <c r="BJ26" i="25"/>
  <c r="BB26" i="25"/>
  <c r="AT26" i="25"/>
  <c r="AL26" i="25"/>
  <c r="BY26" i="25"/>
  <c r="BQ26" i="25"/>
  <c r="BI26" i="25"/>
  <c r="BA26" i="25"/>
  <c r="AS26" i="25"/>
  <c r="BX26" i="25"/>
  <c r="BP26" i="25"/>
  <c r="BH26" i="25"/>
  <c r="AZ26" i="25"/>
  <c r="AR26" i="25"/>
  <c r="CE26" i="25"/>
  <c r="BW26" i="25"/>
  <c r="BO26" i="25"/>
  <c r="BG26" i="25"/>
  <c r="AY26" i="25"/>
  <c r="AQ26" i="25"/>
  <c r="CD26" i="25"/>
  <c r="BV26" i="25"/>
  <c r="BN26" i="25"/>
  <c r="BF26" i="25"/>
  <c r="AX26" i="25"/>
  <c r="AP26" i="25"/>
  <c r="BY27" i="25"/>
  <c r="BQ27" i="25"/>
  <c r="BI27" i="25"/>
  <c r="BA27" i="25"/>
  <c r="AS27" i="25"/>
  <c r="BX27" i="25"/>
  <c r="BP27" i="25"/>
  <c r="BH27" i="25"/>
  <c r="AZ27" i="25"/>
  <c r="AR27" i="25"/>
  <c r="CE27" i="25"/>
  <c r="BW27" i="25"/>
  <c r="BO27" i="25"/>
  <c r="BG27" i="25"/>
  <c r="AY27" i="25"/>
  <c r="AQ27" i="25"/>
  <c r="CD27" i="25"/>
  <c r="BV27" i="25"/>
  <c r="BN27" i="25"/>
  <c r="BF27" i="25"/>
  <c r="AX27" i="25"/>
  <c r="AP27" i="25"/>
  <c r="CC27" i="25"/>
  <c r="BU27" i="25"/>
  <c r="BM27" i="25"/>
  <c r="BE27" i="25"/>
  <c r="AW27" i="25"/>
  <c r="AO27" i="25"/>
  <c r="CB27" i="25"/>
  <c r="BT27" i="25"/>
  <c r="BL27" i="25"/>
  <c r="BD27" i="25"/>
  <c r="AV27" i="25"/>
  <c r="CA27" i="25"/>
  <c r="BS27" i="25"/>
  <c r="BK27" i="25"/>
  <c r="BC27" i="25"/>
  <c r="AU27" i="25"/>
  <c r="AM27" i="25"/>
  <c r="BY30" i="25"/>
  <c r="BQ30" i="25"/>
  <c r="BI30" i="25"/>
  <c r="BA30" i="25"/>
  <c r="AS30" i="25"/>
  <c r="BX30" i="25"/>
  <c r="BP30" i="25"/>
  <c r="BH30" i="25"/>
  <c r="AZ30" i="25"/>
  <c r="AR30" i="25"/>
  <c r="CE30" i="25"/>
  <c r="BW30" i="25"/>
  <c r="BO30" i="25"/>
  <c r="BG30" i="25"/>
  <c r="AY30" i="25"/>
  <c r="AQ30" i="25"/>
  <c r="CD30" i="25"/>
  <c r="BV30" i="25"/>
  <c r="BN30" i="25"/>
  <c r="BF30" i="25"/>
  <c r="AX30" i="25"/>
  <c r="AP30" i="25"/>
  <c r="CC30" i="25"/>
  <c r="BU30" i="25"/>
  <c r="BM30" i="25"/>
  <c r="BE30" i="25"/>
  <c r="AW30" i="25"/>
  <c r="AO30" i="25"/>
  <c r="CB30" i="25"/>
  <c r="BT30" i="25"/>
  <c r="BL30" i="25"/>
  <c r="BD30" i="25"/>
  <c r="AV30" i="25"/>
  <c r="AN30" i="25"/>
  <c r="CA30" i="25"/>
  <c r="BS30" i="25"/>
  <c r="BK30" i="25"/>
  <c r="BC30" i="25"/>
  <c r="AU30" i="25"/>
  <c r="AM30" i="25"/>
  <c r="BZ30" i="25"/>
  <c r="BR30" i="25"/>
  <c r="BJ30" i="25"/>
  <c r="BB30" i="25"/>
  <c r="AT30" i="25"/>
  <c r="AL30" i="25"/>
  <c r="AS19" i="25"/>
  <c r="BA19" i="25"/>
  <c r="BI19" i="25"/>
  <c r="BQ19" i="25"/>
  <c r="BY19" i="25"/>
  <c r="AO21" i="25"/>
  <c r="AW21" i="25"/>
  <c r="BE21" i="25"/>
  <c r="BM21" i="25"/>
  <c r="BU21" i="25"/>
  <c r="CC21" i="25"/>
  <c r="AS23" i="25"/>
  <c r="BA23" i="25"/>
  <c r="BT23" i="25"/>
  <c r="AS24" i="25"/>
  <c r="AQ25" i="25"/>
  <c r="AO26" i="25"/>
  <c r="AT19" i="25"/>
  <c r="BB19" i="25"/>
  <c r="BJ19" i="25"/>
  <c r="BR19" i="25"/>
  <c r="BZ19" i="25"/>
  <c r="AP21" i="25"/>
  <c r="AX21" i="25"/>
  <c r="BF21" i="25"/>
  <c r="BN21" i="25"/>
  <c r="BV21" i="25"/>
  <c r="CD21" i="25"/>
  <c r="AL23" i="25"/>
  <c r="AT23" i="25"/>
  <c r="BC23" i="25"/>
  <c r="BW23" i="25"/>
  <c r="BA24" i="25"/>
  <c r="AY25" i="25"/>
  <c r="AW26" i="25"/>
  <c r="AL27" i="25"/>
  <c r="AM19" i="25"/>
  <c r="AU19" i="25"/>
  <c r="BC19" i="25"/>
  <c r="BK19" i="25"/>
  <c r="BS19" i="25"/>
  <c r="CA19" i="25"/>
  <c r="AY21" i="25"/>
  <c r="BG21" i="25"/>
  <c r="BO21" i="25"/>
  <c r="BW21" i="25"/>
  <c r="CE21" i="25"/>
  <c r="AM23" i="25"/>
  <c r="AU23" i="25"/>
  <c r="BD23" i="25"/>
  <c r="CA23" i="25"/>
  <c r="BG25" i="25"/>
  <c r="BE26" i="25"/>
  <c r="AT27" i="25"/>
  <c r="CD31" i="25"/>
  <c r="BV31" i="25"/>
  <c r="BN31" i="25"/>
  <c r="BF31" i="25"/>
  <c r="AX31" i="25"/>
  <c r="AP31" i="25"/>
  <c r="CC31" i="25"/>
  <c r="BU31" i="25"/>
  <c r="BM31" i="25"/>
  <c r="BE31" i="25"/>
  <c r="AW31" i="25"/>
  <c r="AO31" i="25"/>
  <c r="CB31" i="25"/>
  <c r="BT31" i="25"/>
  <c r="BL31" i="25"/>
  <c r="BD31" i="25"/>
  <c r="AV31" i="25"/>
  <c r="AN31" i="25"/>
  <c r="CA31" i="25"/>
  <c r="BS31" i="25"/>
  <c r="BK31" i="25"/>
  <c r="BC31" i="25"/>
  <c r="AU31" i="25"/>
  <c r="AM31" i="25"/>
  <c r="BZ31" i="25"/>
  <c r="BR31" i="25"/>
  <c r="BJ31" i="25"/>
  <c r="BB31" i="25"/>
  <c r="AT31" i="25"/>
  <c r="AL31" i="25"/>
  <c r="BY31" i="25"/>
  <c r="BQ31" i="25"/>
  <c r="BI31" i="25"/>
  <c r="BA31" i="25"/>
  <c r="AS31" i="25"/>
  <c r="BX31" i="25"/>
  <c r="BP31" i="25"/>
  <c r="BH31" i="25"/>
  <c r="AZ31" i="25"/>
  <c r="AR31" i="25"/>
  <c r="CE31" i="25"/>
  <c r="BW31" i="25"/>
  <c r="BO31" i="25"/>
  <c r="BG31" i="25"/>
  <c r="AY31" i="25"/>
  <c r="AQ31" i="25"/>
  <c r="AN19" i="25"/>
  <c r="AV19" i="25"/>
  <c r="BD19" i="25"/>
  <c r="BL19" i="25"/>
  <c r="BT19" i="25"/>
  <c r="CB19" i="25"/>
  <c r="AR21" i="25"/>
  <c r="AZ21" i="25"/>
  <c r="BH21" i="25"/>
  <c r="BP21" i="25"/>
  <c r="BX21" i="25"/>
  <c r="AN23" i="25"/>
  <c r="AV23" i="25"/>
  <c r="BG23" i="25"/>
  <c r="CB23" i="25"/>
  <c r="BO25" i="25"/>
  <c r="BM26" i="25"/>
  <c r="BB27" i="25"/>
  <c r="AW19" i="25"/>
  <c r="BE19" i="25"/>
  <c r="BM19" i="25"/>
  <c r="BU19" i="25"/>
  <c r="AS21" i="25"/>
  <c r="BA21" i="25"/>
  <c r="BI21" i="25"/>
  <c r="BQ21" i="25"/>
  <c r="AO23" i="25"/>
  <c r="AW23" i="25"/>
  <c r="BK23" i="25"/>
  <c r="BX24" i="25"/>
  <c r="BP24" i="25"/>
  <c r="BH24" i="25"/>
  <c r="AZ24" i="25"/>
  <c r="AR24" i="25"/>
  <c r="CE24" i="25"/>
  <c r="BW24" i="25"/>
  <c r="BO24" i="25"/>
  <c r="BG24" i="25"/>
  <c r="AY24" i="25"/>
  <c r="AQ24" i="25"/>
  <c r="CD24" i="25"/>
  <c r="BV24" i="25"/>
  <c r="BN24" i="25"/>
  <c r="BF24" i="25"/>
  <c r="AX24" i="25"/>
  <c r="AP24" i="25"/>
  <c r="CC24" i="25"/>
  <c r="BU24" i="25"/>
  <c r="BM24" i="25"/>
  <c r="BE24" i="25"/>
  <c r="AW24" i="25"/>
  <c r="AO24" i="25"/>
  <c r="CB24" i="25"/>
  <c r="BT24" i="25"/>
  <c r="BL24" i="25"/>
  <c r="BD24" i="25"/>
  <c r="AV24" i="25"/>
  <c r="AN24" i="25"/>
  <c r="CA24" i="25"/>
  <c r="BS24" i="25"/>
  <c r="BK24" i="25"/>
  <c r="BC24" i="25"/>
  <c r="AU24" i="25"/>
  <c r="AM24" i="25"/>
  <c r="BZ24" i="25"/>
  <c r="BR24" i="25"/>
  <c r="BJ24" i="25"/>
  <c r="BB24" i="25"/>
  <c r="AT24" i="25"/>
  <c r="BY24" i="25"/>
  <c r="BW25" i="25"/>
  <c r="BU26" i="25"/>
  <c r="BJ27" i="25"/>
  <c r="CB29" i="25"/>
  <c r="BT29" i="25"/>
  <c r="BL29" i="25"/>
  <c r="BD29" i="25"/>
  <c r="AV29" i="25"/>
  <c r="AN29" i="25"/>
  <c r="CA29" i="25"/>
  <c r="BS29" i="25"/>
  <c r="BK29" i="25"/>
  <c r="BC29" i="25"/>
  <c r="AU29" i="25"/>
  <c r="AM29" i="25"/>
  <c r="BZ29" i="25"/>
  <c r="BR29" i="25"/>
  <c r="BJ29" i="25"/>
  <c r="BB29" i="25"/>
  <c r="AT29" i="25"/>
  <c r="AL29" i="25"/>
  <c r="BY29" i="25"/>
  <c r="BQ29" i="25"/>
  <c r="BI29" i="25"/>
  <c r="BA29" i="25"/>
  <c r="AS29" i="25"/>
  <c r="BX29" i="25"/>
  <c r="BP29" i="25"/>
  <c r="BH29" i="25"/>
  <c r="AZ29" i="25"/>
  <c r="AR29" i="25"/>
  <c r="CE29" i="25"/>
  <c r="BW29" i="25"/>
  <c r="BO29" i="25"/>
  <c r="BG29" i="25"/>
  <c r="AY29" i="25"/>
  <c r="AQ29" i="25"/>
  <c r="CD29" i="25"/>
  <c r="BV29" i="25"/>
  <c r="BN29" i="25"/>
  <c r="BF29" i="25"/>
  <c r="AX29" i="25"/>
  <c r="AP29" i="25"/>
  <c r="CC29" i="25"/>
  <c r="BU29" i="25"/>
  <c r="BM29" i="25"/>
  <c r="BE29" i="25"/>
  <c r="AW29" i="25"/>
  <c r="AO29" i="25"/>
  <c r="AR28" i="25"/>
  <c r="AZ28" i="25"/>
  <c r="BH28" i="25"/>
  <c r="BP28" i="25"/>
  <c r="BX28" i="25"/>
  <c r="I66" i="25"/>
  <c r="Q66" i="25"/>
  <c r="Y66" i="25"/>
  <c r="H67" i="25"/>
  <c r="P67" i="25"/>
  <c r="X67" i="25"/>
  <c r="G68" i="25"/>
  <c r="O68" i="25"/>
  <c r="W68" i="25"/>
  <c r="F69" i="25"/>
  <c r="N69" i="25"/>
  <c r="V69" i="25"/>
  <c r="E70" i="25"/>
  <c r="M70" i="25"/>
  <c r="U70" i="25"/>
  <c r="D71" i="25"/>
  <c r="L71" i="25"/>
  <c r="T71" i="25"/>
  <c r="C72" i="25"/>
  <c r="K72" i="25"/>
  <c r="S72" i="25"/>
  <c r="C49" i="25"/>
  <c r="K49" i="25"/>
  <c r="S49" i="25"/>
  <c r="E63" i="25"/>
  <c r="M63" i="25"/>
  <c r="U63" i="25"/>
  <c r="D64" i="25"/>
  <c r="L64" i="25"/>
  <c r="T64" i="25"/>
  <c r="C65" i="25"/>
  <c r="K65" i="25"/>
  <c r="S65" i="25"/>
  <c r="B66" i="25"/>
  <c r="O66" i="25"/>
  <c r="N67" i="25"/>
  <c r="U68" i="25"/>
  <c r="AS28" i="25"/>
  <c r="BA28" i="25"/>
  <c r="BI28" i="25"/>
  <c r="BQ28" i="25"/>
  <c r="BY28" i="25"/>
  <c r="I67" i="25"/>
  <c r="Q67" i="25"/>
  <c r="Y67" i="25"/>
  <c r="H68" i="25"/>
  <c r="P68" i="25"/>
  <c r="X68" i="25"/>
  <c r="G69" i="25"/>
  <c r="O69" i="25"/>
  <c r="W69" i="25"/>
  <c r="F70" i="25"/>
  <c r="N70" i="25"/>
  <c r="V70" i="25"/>
  <c r="E71" i="25"/>
  <c r="M71" i="25"/>
  <c r="U71" i="25"/>
  <c r="D72" i="25"/>
  <c r="L72" i="25"/>
  <c r="T72" i="25"/>
  <c r="D49" i="25"/>
  <c r="L49" i="25"/>
  <c r="T49" i="25"/>
  <c r="F63" i="25"/>
  <c r="N63" i="25"/>
  <c r="V63" i="25"/>
  <c r="E64" i="25"/>
  <c r="M64" i="25"/>
  <c r="U64" i="25"/>
  <c r="D65" i="25"/>
  <c r="L65" i="25"/>
  <c r="T65" i="25"/>
  <c r="C66" i="25"/>
  <c r="R66" i="25"/>
  <c r="R67" i="25"/>
  <c r="Y68" i="25"/>
  <c r="G70" i="25"/>
  <c r="E72" i="25"/>
  <c r="AT28" i="25"/>
  <c r="BB28" i="25"/>
  <c r="BJ28" i="25"/>
  <c r="BR28" i="25"/>
  <c r="BZ28" i="25"/>
  <c r="U72" i="25"/>
  <c r="E49" i="25"/>
  <c r="M49" i="25"/>
  <c r="U49" i="25"/>
  <c r="G63" i="25"/>
  <c r="O63" i="25"/>
  <c r="W63" i="25"/>
  <c r="F64" i="25"/>
  <c r="N64" i="25"/>
  <c r="V64" i="25"/>
  <c r="E65" i="25"/>
  <c r="M65" i="25"/>
  <c r="U65" i="25"/>
  <c r="D66" i="25"/>
  <c r="S66" i="25"/>
  <c r="V67" i="25"/>
  <c r="O70" i="25"/>
  <c r="M72" i="25"/>
  <c r="AM28" i="25"/>
  <c r="AU28" i="25"/>
  <c r="BC28" i="25"/>
  <c r="BK28" i="25"/>
  <c r="BS28" i="25"/>
  <c r="CA28" i="25"/>
  <c r="T66" i="25"/>
  <c r="C67" i="25"/>
  <c r="K67" i="25"/>
  <c r="S67" i="25"/>
  <c r="B68" i="25"/>
  <c r="J68" i="25"/>
  <c r="R68" i="25"/>
  <c r="I69" i="25"/>
  <c r="Q69" i="25"/>
  <c r="Y69" i="25"/>
  <c r="H70" i="25"/>
  <c r="P70" i="25"/>
  <c r="X70" i="25"/>
  <c r="G71" i="25"/>
  <c r="O71" i="25"/>
  <c r="W71" i="25"/>
  <c r="F72" i="25"/>
  <c r="N72" i="25"/>
  <c r="V72" i="25"/>
  <c r="F49" i="25"/>
  <c r="N49" i="25"/>
  <c r="V49" i="25"/>
  <c r="H63" i="25"/>
  <c r="P63" i="25"/>
  <c r="X63" i="25"/>
  <c r="G64" i="25"/>
  <c r="O64" i="25"/>
  <c r="W64" i="25"/>
  <c r="F65" i="25"/>
  <c r="N65" i="25"/>
  <c r="V65" i="25"/>
  <c r="F66" i="25"/>
  <c r="W66" i="25"/>
  <c r="D69" i="25"/>
  <c r="W70" i="25"/>
  <c r="AN28" i="25"/>
  <c r="AV28" i="25"/>
  <c r="BD28" i="25"/>
  <c r="BL28" i="25"/>
  <c r="BT28" i="25"/>
  <c r="CB28" i="25"/>
  <c r="E66" i="25"/>
  <c r="M66" i="25"/>
  <c r="U66" i="25"/>
  <c r="D67" i="25"/>
  <c r="L67" i="25"/>
  <c r="T67" i="25"/>
  <c r="C68" i="25"/>
  <c r="K68" i="25"/>
  <c r="S68" i="25"/>
  <c r="B69" i="25"/>
  <c r="J69" i="25"/>
  <c r="R69" i="25"/>
  <c r="I70" i="25"/>
  <c r="Q70" i="25"/>
  <c r="Y70" i="25"/>
  <c r="H71" i="25"/>
  <c r="P71" i="25"/>
  <c r="X71" i="25"/>
  <c r="G72" i="25"/>
  <c r="O72" i="25"/>
  <c r="W72" i="25"/>
  <c r="G49" i="25"/>
  <c r="O49" i="25"/>
  <c r="W49" i="25"/>
  <c r="I63" i="25"/>
  <c r="Q63" i="25"/>
  <c r="Y63" i="25"/>
  <c r="H64" i="25"/>
  <c r="P64" i="25"/>
  <c r="X64" i="25"/>
  <c r="G65" i="25"/>
  <c r="O65" i="25"/>
  <c r="W65" i="25"/>
  <c r="G66" i="25"/>
  <c r="E68" i="25"/>
  <c r="H69" i="25"/>
  <c r="AO28" i="25"/>
  <c r="AW28" i="25"/>
  <c r="BE28" i="25"/>
  <c r="BM28" i="25"/>
  <c r="BU28" i="25"/>
  <c r="CC28" i="25"/>
  <c r="N66" i="25"/>
  <c r="V66" i="25"/>
  <c r="E67" i="25"/>
  <c r="M67" i="25"/>
  <c r="U67" i="25"/>
  <c r="D68" i="25"/>
  <c r="L68" i="25"/>
  <c r="T68" i="25"/>
  <c r="C69" i="25"/>
  <c r="K69" i="25"/>
  <c r="S69" i="25"/>
  <c r="B70" i="25"/>
  <c r="J70" i="25"/>
  <c r="R70" i="25"/>
  <c r="I71" i="25"/>
  <c r="Q71" i="25"/>
  <c r="Y71" i="25"/>
  <c r="H72" i="25"/>
  <c r="P72" i="25"/>
  <c r="X72" i="25"/>
  <c r="H49" i="25"/>
  <c r="P49" i="25"/>
  <c r="X49" i="25"/>
  <c r="B63" i="25"/>
  <c r="J63" i="25"/>
  <c r="R63" i="25"/>
  <c r="I64" i="25"/>
  <c r="Q64" i="25"/>
  <c r="Y64" i="25"/>
  <c r="H65" i="25"/>
  <c r="P65" i="25"/>
  <c r="X65" i="25"/>
  <c r="J66" i="25"/>
  <c r="B67" i="25"/>
  <c r="I68" i="25"/>
  <c r="L69" i="25"/>
  <c r="F71" i="25"/>
  <c r="AP28" i="25"/>
  <c r="AX28" i="25"/>
  <c r="BF28" i="25"/>
  <c r="BN28" i="25"/>
  <c r="BV28" i="25"/>
  <c r="CD28" i="25"/>
  <c r="T69" i="25"/>
  <c r="C70" i="25"/>
  <c r="K70" i="25"/>
  <c r="S70" i="25"/>
  <c r="B71" i="25"/>
  <c r="J71" i="25"/>
  <c r="R71" i="25"/>
  <c r="I72" i="25"/>
  <c r="Q72" i="25"/>
  <c r="Y72" i="25"/>
  <c r="I49" i="25"/>
  <c r="Q49" i="25"/>
  <c r="Y49" i="25"/>
  <c r="C63" i="25"/>
  <c r="K63" i="25"/>
  <c r="S63" i="25"/>
  <c r="B64" i="25"/>
  <c r="J64" i="25"/>
  <c r="R64" i="25"/>
  <c r="I65" i="25"/>
  <c r="Q65" i="25"/>
  <c r="Y65" i="25"/>
  <c r="K66" i="25"/>
  <c r="F67" i="25"/>
  <c r="M68" i="25"/>
  <c r="P69" i="25"/>
  <c r="N71" i="25"/>
  <c r="AQ28" i="25"/>
  <c r="AY28" i="25"/>
  <c r="BG28" i="25"/>
  <c r="BO28" i="25"/>
  <c r="BW28" i="25"/>
  <c r="H66" i="25"/>
  <c r="P66" i="25"/>
  <c r="X66" i="25"/>
  <c r="G67" i="25"/>
  <c r="O67" i="25"/>
  <c r="W67" i="25"/>
  <c r="F68" i="25"/>
  <c r="N68" i="25"/>
  <c r="V68" i="25"/>
  <c r="E69" i="25"/>
  <c r="M69" i="25"/>
  <c r="U69" i="25"/>
  <c r="D70" i="25"/>
  <c r="L70" i="25"/>
  <c r="T70" i="25"/>
  <c r="C71" i="25"/>
  <c r="K71" i="25"/>
  <c r="S71" i="25"/>
  <c r="B72" i="25"/>
  <c r="J72" i="25"/>
  <c r="R72" i="25"/>
  <c r="B49" i="25"/>
  <c r="J49" i="25"/>
  <c r="R49" i="25"/>
  <c r="D63" i="25"/>
  <c r="L63" i="25"/>
  <c r="T63" i="25"/>
  <c r="C64" i="25"/>
  <c r="K64" i="25"/>
  <c r="S64" i="25"/>
  <c r="B65" i="25"/>
  <c r="J65" i="25"/>
  <c r="R65" i="25"/>
  <c r="L66" i="25"/>
  <c r="J67" i="25"/>
  <c r="Q68" i="25"/>
  <c r="X69" i="25"/>
  <c r="V71" i="25"/>
  <c r="B172" i="25"/>
  <c r="K172" i="25"/>
  <c r="K215" i="25" s="1"/>
  <c r="S172" i="25"/>
  <c r="S215" i="25" s="1"/>
  <c r="D211" i="25"/>
  <c r="D218" i="25" s="1"/>
  <c r="E211" i="25"/>
  <c r="E218" i="25" s="1"/>
  <c r="S211" i="25"/>
  <c r="S218" i="25" s="1"/>
  <c r="D172" i="25"/>
  <c r="D215" i="25" s="1"/>
  <c r="M172" i="25"/>
  <c r="M215" i="25" s="1"/>
  <c r="U172" i="25"/>
  <c r="U215" i="25" s="1"/>
  <c r="R185" i="25"/>
  <c r="R216" i="25" s="1"/>
  <c r="C198" i="25"/>
  <c r="C217" i="25" s="1"/>
  <c r="K198" i="25"/>
  <c r="K217" i="25" s="1"/>
  <c r="S198" i="25"/>
  <c r="S217" i="25" s="1"/>
  <c r="T211" i="25"/>
  <c r="T218" i="25" s="1"/>
  <c r="E172" i="25"/>
  <c r="E215" i="25" s="1"/>
  <c r="N172" i="25"/>
  <c r="N215" i="25" s="1"/>
  <c r="V172" i="25"/>
  <c r="V215" i="25" s="1"/>
  <c r="I185" i="25"/>
  <c r="I216" i="25" s="1"/>
  <c r="D198" i="25"/>
  <c r="D217" i="25" s="1"/>
  <c r="L198" i="25"/>
  <c r="L217" i="25" s="1"/>
  <c r="T198" i="25"/>
  <c r="T217" i="25" s="1"/>
  <c r="U211" i="25"/>
  <c r="U218" i="25" s="1"/>
  <c r="F172" i="25"/>
  <c r="F215" i="25" s="1"/>
  <c r="B185" i="25"/>
  <c r="E198" i="25"/>
  <c r="E217" i="25" s="1"/>
  <c r="M198" i="25"/>
  <c r="M217" i="25" s="1"/>
  <c r="U198" i="25"/>
  <c r="U217" i="25" s="1"/>
  <c r="H211" i="25"/>
  <c r="H218" i="25" s="1"/>
  <c r="Q172" i="25"/>
  <c r="Q215" i="25" s="1"/>
  <c r="Y172" i="25"/>
  <c r="Y215" i="25" s="1"/>
  <c r="G198" i="25"/>
  <c r="G217" i="25" s="1"/>
  <c r="O198" i="25"/>
  <c r="O217" i="25" s="1"/>
  <c r="W198" i="25"/>
  <c r="W217" i="25" s="1"/>
  <c r="B211" i="25"/>
  <c r="J211" i="25"/>
  <c r="J218" i="25" s="1"/>
  <c r="X211" i="25"/>
  <c r="X218" i="25" s="1"/>
  <c r="J172" i="25"/>
  <c r="J215" i="25" s="1"/>
  <c r="R172" i="25"/>
  <c r="R215" i="25" s="1"/>
  <c r="H198" i="25"/>
  <c r="H217" i="25" s="1"/>
  <c r="P198" i="25"/>
  <c r="P217" i="25" s="1"/>
  <c r="X198" i="25"/>
  <c r="X217" i="25" s="1"/>
  <c r="C211" i="25"/>
  <c r="C218" i="25" s="1"/>
  <c r="K211" i="25"/>
  <c r="K218" i="25" s="1"/>
  <c r="Y211" i="25"/>
  <c r="Y218" i="25" s="1"/>
  <c r="CC18" i="24"/>
  <c r="BU18" i="24"/>
  <c r="BM18" i="24"/>
  <c r="BE18" i="24"/>
  <c r="AW18" i="24"/>
  <c r="AO18" i="24"/>
  <c r="BL18" i="24"/>
  <c r="CA18" i="24"/>
  <c r="BS18" i="24"/>
  <c r="BK18" i="24"/>
  <c r="BC18" i="24"/>
  <c r="AU18" i="24"/>
  <c r="BZ18" i="24"/>
  <c r="BR18" i="24"/>
  <c r="BB18" i="24"/>
  <c r="AL18" i="24"/>
  <c r="CD18" i="24"/>
  <c r="BF18" i="24"/>
  <c r="AP18" i="24"/>
  <c r="BT18" i="24"/>
  <c r="AN18" i="24"/>
  <c r="BJ18" i="24"/>
  <c r="AT18" i="24"/>
  <c r="BX18" i="24"/>
  <c r="BH18" i="24"/>
  <c r="BD18" i="24"/>
  <c r="BY18" i="24"/>
  <c r="BQ18" i="24"/>
  <c r="BI18" i="24"/>
  <c r="BA18" i="24"/>
  <c r="AS18" i="24"/>
  <c r="BP18" i="24"/>
  <c r="AR18" i="24"/>
  <c r="BV18" i="24"/>
  <c r="AX18" i="24"/>
  <c r="CB18" i="24"/>
  <c r="AV18" i="24"/>
  <c r="AZ18" i="24"/>
  <c r="BN18" i="24"/>
  <c r="CE18" i="24"/>
  <c r="BW18" i="24"/>
  <c r="BO18" i="24"/>
  <c r="BG18" i="24"/>
  <c r="AY18" i="24"/>
  <c r="AQ18" i="24"/>
  <c r="CA19" i="24"/>
  <c r="BS19" i="24"/>
  <c r="BY19" i="24"/>
  <c r="CE19" i="24"/>
  <c r="BW19" i="24"/>
  <c r="BO19" i="24"/>
  <c r="CC19" i="24"/>
  <c r="BU19" i="24"/>
  <c r="BV19" i="24"/>
  <c r="BK19" i="24"/>
  <c r="BC19" i="24"/>
  <c r="AU19" i="24"/>
  <c r="AM19" i="24"/>
  <c r="BT19" i="24"/>
  <c r="AT19" i="24"/>
  <c r="BR19" i="24"/>
  <c r="BI19" i="24"/>
  <c r="BA19" i="24"/>
  <c r="AS19" i="24"/>
  <c r="CB19" i="24"/>
  <c r="BF19" i="24"/>
  <c r="BL19" i="24"/>
  <c r="AV19" i="24"/>
  <c r="BB19" i="24"/>
  <c r="BQ19" i="24"/>
  <c r="BH19" i="24"/>
  <c r="AZ19" i="24"/>
  <c r="AR19" i="24"/>
  <c r="BN19" i="24"/>
  <c r="AX19" i="24"/>
  <c r="AN19" i="24"/>
  <c r="AL19" i="24"/>
  <c r="CD19" i="24"/>
  <c r="BP19" i="24"/>
  <c r="BG19" i="24"/>
  <c r="AY19" i="24"/>
  <c r="AQ19" i="24"/>
  <c r="AP19" i="24"/>
  <c r="BX19" i="24"/>
  <c r="BD19" i="24"/>
  <c r="BJ19" i="24"/>
  <c r="BZ19" i="24"/>
  <c r="BM19" i="24"/>
  <c r="BE19" i="24"/>
  <c r="AW19" i="24"/>
  <c r="AO19" i="24"/>
  <c r="BX28" i="24"/>
  <c r="BP28" i="24"/>
  <c r="BH28" i="24"/>
  <c r="AZ28" i="24"/>
  <c r="AR28" i="24"/>
  <c r="CE28" i="24"/>
  <c r="BW28" i="24"/>
  <c r="BO28" i="24"/>
  <c r="BG28" i="24"/>
  <c r="AY28" i="24"/>
  <c r="AQ28" i="24"/>
  <c r="CD28" i="24"/>
  <c r="BV28" i="24"/>
  <c r="BN28" i="24"/>
  <c r="BF28" i="24"/>
  <c r="AX28" i="24"/>
  <c r="AP28" i="24"/>
  <c r="BT28" i="24"/>
  <c r="BI28" i="24"/>
  <c r="AU28" i="24"/>
  <c r="CC28" i="24"/>
  <c r="BR28" i="24"/>
  <c r="BD28" i="24"/>
  <c r="AS28" i="24"/>
  <c r="CA28" i="24"/>
  <c r="BM28" i="24"/>
  <c r="BB28" i="24"/>
  <c r="AN28" i="24"/>
  <c r="BY28" i="24"/>
  <c r="BK28" i="24"/>
  <c r="AW28" i="24"/>
  <c r="BC28" i="24"/>
  <c r="H49" i="24"/>
  <c r="H63" i="24"/>
  <c r="P49" i="24"/>
  <c r="P63" i="24"/>
  <c r="X49" i="24"/>
  <c r="X63" i="24"/>
  <c r="G64" i="24"/>
  <c r="G111" i="24"/>
  <c r="O64" i="24"/>
  <c r="F65" i="24"/>
  <c r="AR20" i="24"/>
  <c r="BH20" i="24"/>
  <c r="BX20" i="24"/>
  <c r="AP21" i="24"/>
  <c r="BF21" i="24"/>
  <c r="BV21" i="24"/>
  <c r="AN22" i="24"/>
  <c r="BD22" i="24"/>
  <c r="AL23" i="24"/>
  <c r="BB23" i="24"/>
  <c r="BR23" i="24"/>
  <c r="AZ24" i="24"/>
  <c r="BP24" i="24"/>
  <c r="CE25" i="24"/>
  <c r="BW25" i="24"/>
  <c r="BO25" i="24"/>
  <c r="BG25" i="24"/>
  <c r="AY25" i="24"/>
  <c r="AQ25" i="24"/>
  <c r="CC25" i="24"/>
  <c r="BU25" i="24"/>
  <c r="BM25" i="24"/>
  <c r="BE25" i="24"/>
  <c r="AW25" i="24"/>
  <c r="AO25" i="24"/>
  <c r="CA25" i="24"/>
  <c r="BS25" i="24"/>
  <c r="BK25" i="24"/>
  <c r="BC25" i="24"/>
  <c r="AU25" i="24"/>
  <c r="AM25" i="24"/>
  <c r="BY25" i="24"/>
  <c r="BQ25" i="24"/>
  <c r="BI25" i="24"/>
  <c r="BA25" i="24"/>
  <c r="AS25" i="24"/>
  <c r="AX25" i="24"/>
  <c r="BN25" i="24"/>
  <c r="CD25" i="24"/>
  <c r="AV26" i="24"/>
  <c r="BL26" i="24"/>
  <c r="AO27" i="24"/>
  <c r="BE27" i="24"/>
  <c r="BU27" i="24"/>
  <c r="BE28" i="24"/>
  <c r="AY29" i="24"/>
  <c r="AU30" i="24"/>
  <c r="BT30" i="24"/>
  <c r="BJ31" i="24"/>
  <c r="CC22" i="24"/>
  <c r="BU22" i="24"/>
  <c r="BM22" i="24"/>
  <c r="BE22" i="24"/>
  <c r="AW22" i="24"/>
  <c r="AO22" i="24"/>
  <c r="CA22" i="24"/>
  <c r="BS22" i="24"/>
  <c r="BK22" i="24"/>
  <c r="BC22" i="24"/>
  <c r="AU22" i="24"/>
  <c r="AM22" i="24"/>
  <c r="BY22" i="24"/>
  <c r="BQ22" i="24"/>
  <c r="BI22" i="24"/>
  <c r="BA22" i="24"/>
  <c r="AS22" i="24"/>
  <c r="CE22" i="24"/>
  <c r="BW22" i="24"/>
  <c r="BO22" i="24"/>
  <c r="BG22" i="24"/>
  <c r="AY22" i="24"/>
  <c r="AQ22" i="24"/>
  <c r="V63" i="24"/>
  <c r="V49" i="24"/>
  <c r="BB22" i="24"/>
  <c r="BR22" i="24"/>
  <c r="AX24" i="24"/>
  <c r="CC26" i="24"/>
  <c r="BU26" i="24"/>
  <c r="BM26" i="24"/>
  <c r="BE26" i="24"/>
  <c r="AW26" i="24"/>
  <c r="AO26" i="24"/>
  <c r="CA26" i="24"/>
  <c r="BS26" i="24"/>
  <c r="BK26" i="24"/>
  <c r="BC26" i="24"/>
  <c r="AU26" i="24"/>
  <c r="AM26" i="24"/>
  <c r="BY26" i="24"/>
  <c r="BQ26" i="24"/>
  <c r="BI26" i="24"/>
  <c r="BA26" i="24"/>
  <c r="AS26" i="24"/>
  <c r="CE26" i="24"/>
  <c r="BW26" i="24"/>
  <c r="BO26" i="24"/>
  <c r="BG26" i="24"/>
  <c r="AY26" i="24"/>
  <c r="AQ26" i="24"/>
  <c r="AX26" i="24"/>
  <c r="CD26" i="24"/>
  <c r="AV20" i="24"/>
  <c r="BL20" i="24"/>
  <c r="AT21" i="24"/>
  <c r="BJ21" i="24"/>
  <c r="BZ21" i="24"/>
  <c r="AR22" i="24"/>
  <c r="BH22" i="24"/>
  <c r="BX22" i="24"/>
  <c r="AP23" i="24"/>
  <c r="BF23" i="24"/>
  <c r="BV23" i="24"/>
  <c r="AN24" i="24"/>
  <c r="BD24" i="24"/>
  <c r="AZ26" i="24"/>
  <c r="BP26" i="24"/>
  <c r="AS27" i="24"/>
  <c r="BI27" i="24"/>
  <c r="BY27" i="24"/>
  <c r="AM28" i="24"/>
  <c r="BL28" i="24"/>
  <c r="CC29" i="24"/>
  <c r="BU29" i="24"/>
  <c r="BM29" i="24"/>
  <c r="BE29" i="24"/>
  <c r="AW29" i="24"/>
  <c r="AO29" i="24"/>
  <c r="CB29" i="24"/>
  <c r="BT29" i="24"/>
  <c r="BL29" i="24"/>
  <c r="BD29" i="24"/>
  <c r="AV29" i="24"/>
  <c r="AN29" i="24"/>
  <c r="CA29" i="24"/>
  <c r="BS29" i="24"/>
  <c r="BK29" i="24"/>
  <c r="BC29" i="24"/>
  <c r="AU29" i="24"/>
  <c r="AM29" i="24"/>
  <c r="BR29" i="24"/>
  <c r="BG29" i="24"/>
  <c r="AS29" i="24"/>
  <c r="CD29" i="24"/>
  <c r="BP29" i="24"/>
  <c r="BB29" i="24"/>
  <c r="AQ29" i="24"/>
  <c r="BY29" i="24"/>
  <c r="BN29" i="24"/>
  <c r="AZ29" i="24"/>
  <c r="AL29" i="24"/>
  <c r="BW29" i="24"/>
  <c r="BI29" i="24"/>
  <c r="AX29" i="24"/>
  <c r="BF29" i="24"/>
  <c r="CE29" i="24"/>
  <c r="AY30" i="24"/>
  <c r="AR31" i="24"/>
  <c r="BQ31" i="24"/>
  <c r="AX22" i="24"/>
  <c r="F63" i="24"/>
  <c r="F49" i="24"/>
  <c r="BY24" i="24"/>
  <c r="BQ24" i="24"/>
  <c r="BI24" i="24"/>
  <c r="BA24" i="24"/>
  <c r="AS24" i="24"/>
  <c r="CE24" i="24"/>
  <c r="BW24" i="24"/>
  <c r="BO24" i="24"/>
  <c r="BG24" i="24"/>
  <c r="AY24" i="24"/>
  <c r="AQ24" i="24"/>
  <c r="CC24" i="24"/>
  <c r="BU24" i="24"/>
  <c r="BM24" i="24"/>
  <c r="BE24" i="24"/>
  <c r="AW24" i="24"/>
  <c r="AO24" i="24"/>
  <c r="CA24" i="24"/>
  <c r="BS24" i="24"/>
  <c r="BK24" i="24"/>
  <c r="BC24" i="24"/>
  <c r="AU24" i="24"/>
  <c r="AM24" i="24"/>
  <c r="CD24" i="24"/>
  <c r="BV22" i="24"/>
  <c r="BR24" i="24"/>
  <c r="BY20" i="24"/>
  <c r="BQ20" i="24"/>
  <c r="BI20" i="24"/>
  <c r="BA20" i="24"/>
  <c r="AS20" i="24"/>
  <c r="CE20" i="24"/>
  <c r="BW20" i="24"/>
  <c r="BO20" i="24"/>
  <c r="BG20" i="24"/>
  <c r="AY20" i="24"/>
  <c r="AQ20" i="24"/>
  <c r="CC20" i="24"/>
  <c r="BU20" i="24"/>
  <c r="BM20" i="24"/>
  <c r="BE20" i="24"/>
  <c r="AW20" i="24"/>
  <c r="AO20" i="24"/>
  <c r="CA20" i="24"/>
  <c r="BS20" i="24"/>
  <c r="BK20" i="24"/>
  <c r="BC20" i="24"/>
  <c r="AU20" i="24"/>
  <c r="AX20" i="24"/>
  <c r="BN20" i="24"/>
  <c r="CD20" i="24"/>
  <c r="AV21" i="24"/>
  <c r="BL21" i="24"/>
  <c r="AT22" i="24"/>
  <c r="BJ22" i="24"/>
  <c r="BZ22" i="24"/>
  <c r="AR23" i="24"/>
  <c r="BH23" i="24"/>
  <c r="BX23" i="24"/>
  <c r="AP24" i="24"/>
  <c r="BF24" i="24"/>
  <c r="BV24" i="24"/>
  <c r="AL26" i="24"/>
  <c r="BB26" i="24"/>
  <c r="BR26" i="24"/>
  <c r="AU27" i="24"/>
  <c r="BK27" i="24"/>
  <c r="AO28" i="24"/>
  <c r="BQ28" i="24"/>
  <c r="CD22" i="24"/>
  <c r="AL22" i="24"/>
  <c r="BN24" i="24"/>
  <c r="CB28" i="24"/>
  <c r="AP22" i="24"/>
  <c r="BF22" i="24"/>
  <c r="AL24" i="24"/>
  <c r="BB24" i="24"/>
  <c r="BN26" i="24"/>
  <c r="BJ28" i="24"/>
  <c r="AZ20" i="24"/>
  <c r="BP20" i="24"/>
  <c r="CE21" i="24"/>
  <c r="BW21" i="24"/>
  <c r="BO21" i="24"/>
  <c r="BG21" i="24"/>
  <c r="AY21" i="24"/>
  <c r="AQ21" i="24"/>
  <c r="CC21" i="24"/>
  <c r="BU21" i="24"/>
  <c r="BM21" i="24"/>
  <c r="BE21" i="24"/>
  <c r="AW21" i="24"/>
  <c r="AO21" i="24"/>
  <c r="CA21" i="24"/>
  <c r="BS21" i="24"/>
  <c r="BK21" i="24"/>
  <c r="BC21" i="24"/>
  <c r="AU21" i="24"/>
  <c r="AM21" i="24"/>
  <c r="BY21" i="24"/>
  <c r="BQ21" i="24"/>
  <c r="BI21" i="24"/>
  <c r="BA21" i="24"/>
  <c r="AS21" i="24"/>
  <c r="AX21" i="24"/>
  <c r="BN21" i="24"/>
  <c r="CD21" i="24"/>
  <c r="AV22" i="24"/>
  <c r="BL22" i="24"/>
  <c r="CB22" i="24"/>
  <c r="AT23" i="24"/>
  <c r="BJ23" i="24"/>
  <c r="AR24" i="24"/>
  <c r="BH24" i="24"/>
  <c r="BX24" i="24"/>
  <c r="AN26" i="24"/>
  <c r="BD26" i="24"/>
  <c r="BT26" i="24"/>
  <c r="BZ27" i="24"/>
  <c r="BR27" i="24"/>
  <c r="BJ27" i="24"/>
  <c r="BB27" i="24"/>
  <c r="AT27" i="24"/>
  <c r="AL27" i="24"/>
  <c r="BX27" i="24"/>
  <c r="BP27" i="24"/>
  <c r="BH27" i="24"/>
  <c r="AZ27" i="24"/>
  <c r="AR27" i="24"/>
  <c r="CD27" i="24"/>
  <c r="BV27" i="24"/>
  <c r="BN27" i="24"/>
  <c r="BF27" i="24"/>
  <c r="AX27" i="24"/>
  <c r="AP27" i="24"/>
  <c r="CB27" i="24"/>
  <c r="BT27" i="24"/>
  <c r="BL27" i="24"/>
  <c r="BD27" i="24"/>
  <c r="AV27" i="24"/>
  <c r="AN27" i="24"/>
  <c r="AW27" i="24"/>
  <c r="BM27" i="24"/>
  <c r="CC27" i="24"/>
  <c r="AT28" i="24"/>
  <c r="BS28" i="24"/>
  <c r="BZ30" i="24"/>
  <c r="BR30" i="24"/>
  <c r="BJ30" i="24"/>
  <c r="BB30" i="24"/>
  <c r="AT30" i="24"/>
  <c r="AL30" i="24"/>
  <c r="BY30" i="24"/>
  <c r="BQ30" i="24"/>
  <c r="BI30" i="24"/>
  <c r="BA30" i="24"/>
  <c r="AS30" i="24"/>
  <c r="BX30" i="24"/>
  <c r="BP30" i="24"/>
  <c r="BH30" i="24"/>
  <c r="AZ30" i="24"/>
  <c r="AR30" i="24"/>
  <c r="CD30" i="24"/>
  <c r="BS30" i="24"/>
  <c r="BE30" i="24"/>
  <c r="AQ30" i="24"/>
  <c r="CB30" i="24"/>
  <c r="BN30" i="24"/>
  <c r="BC30" i="24"/>
  <c r="AO30" i="24"/>
  <c r="BW30" i="24"/>
  <c r="BL30" i="24"/>
  <c r="AX30" i="24"/>
  <c r="AM30" i="24"/>
  <c r="BU30" i="24"/>
  <c r="BG30" i="24"/>
  <c r="AV30" i="24"/>
  <c r="BF30" i="24"/>
  <c r="CE30" i="24"/>
  <c r="AV31" i="24"/>
  <c r="E49" i="24"/>
  <c r="BN22" i="24"/>
  <c r="AV28" i="24"/>
  <c r="BU28" i="24"/>
  <c r="N63" i="24"/>
  <c r="N49" i="24"/>
  <c r="E64" i="24"/>
  <c r="M64" i="24"/>
  <c r="U64" i="24"/>
  <c r="D65" i="24"/>
  <c r="L65" i="24"/>
  <c r="T65" i="24"/>
  <c r="C66" i="24"/>
  <c r="K66" i="24"/>
  <c r="S66" i="24"/>
  <c r="B67" i="24"/>
  <c r="J67" i="24"/>
  <c r="R67" i="24"/>
  <c r="I68" i="24"/>
  <c r="Q68" i="24"/>
  <c r="Y68" i="24"/>
  <c r="H69" i="24"/>
  <c r="X69" i="24"/>
  <c r="G70" i="24"/>
  <c r="O70" i="24"/>
  <c r="W70" i="24"/>
  <c r="F71" i="24"/>
  <c r="N71" i="24"/>
  <c r="V71" i="24"/>
  <c r="E72" i="24"/>
  <c r="M72" i="24"/>
  <c r="U72" i="24"/>
  <c r="P69" i="24"/>
  <c r="AN20" i="24"/>
  <c r="BD20" i="24"/>
  <c r="BT20" i="24"/>
  <c r="AL21" i="24"/>
  <c r="BB21" i="24"/>
  <c r="BR21" i="24"/>
  <c r="AZ22" i="24"/>
  <c r="BP22" i="24"/>
  <c r="CA23" i="24"/>
  <c r="BS23" i="24"/>
  <c r="BK23" i="24"/>
  <c r="BC23" i="24"/>
  <c r="AU23" i="24"/>
  <c r="AM23" i="24"/>
  <c r="BY23" i="24"/>
  <c r="BQ23" i="24"/>
  <c r="BI23" i="24"/>
  <c r="BA23" i="24"/>
  <c r="AS23" i="24"/>
  <c r="CE23" i="24"/>
  <c r="BW23" i="24"/>
  <c r="BO23" i="24"/>
  <c r="BG23" i="24"/>
  <c r="AY23" i="24"/>
  <c r="AQ23" i="24"/>
  <c r="CC23" i="24"/>
  <c r="BU23" i="24"/>
  <c r="BM23" i="24"/>
  <c r="BE23" i="24"/>
  <c r="AW23" i="24"/>
  <c r="AO23" i="24"/>
  <c r="AX23" i="24"/>
  <c r="BN23" i="24"/>
  <c r="CD23" i="24"/>
  <c r="AV24" i="24"/>
  <c r="BL24" i="24"/>
  <c r="CB24" i="24"/>
  <c r="AR26" i="24"/>
  <c r="BH26" i="24"/>
  <c r="BX26" i="24"/>
  <c r="BA27" i="24"/>
  <c r="BQ27" i="24"/>
  <c r="BA28" i="24"/>
  <c r="BZ28" i="24"/>
  <c r="CE31" i="24"/>
  <c r="BW31" i="24"/>
  <c r="BO31" i="24"/>
  <c r="BG31" i="24"/>
  <c r="AY31" i="24"/>
  <c r="AQ31" i="24"/>
  <c r="CD31" i="24"/>
  <c r="BV31" i="24"/>
  <c r="BN31" i="24"/>
  <c r="BF31" i="24"/>
  <c r="AX31" i="24"/>
  <c r="AP31" i="24"/>
  <c r="CC31" i="24"/>
  <c r="BU31" i="24"/>
  <c r="BM31" i="24"/>
  <c r="BE31" i="24"/>
  <c r="AW31" i="24"/>
  <c r="AO31" i="24"/>
  <c r="CA31" i="24"/>
  <c r="BP31" i="24"/>
  <c r="BB31" i="24"/>
  <c r="AN31" i="24"/>
  <c r="BY31" i="24"/>
  <c r="BK31" i="24"/>
  <c r="AZ31" i="24"/>
  <c r="AL31" i="24"/>
  <c r="BT31" i="24"/>
  <c r="BI31" i="24"/>
  <c r="AU31" i="24"/>
  <c r="BR31" i="24"/>
  <c r="BD31" i="24"/>
  <c r="AS31" i="24"/>
  <c r="BC31" i="24"/>
  <c r="CB31" i="24"/>
  <c r="G49" i="24"/>
  <c r="O49" i="24"/>
  <c r="W49" i="24"/>
  <c r="M65" i="24"/>
  <c r="U65" i="24"/>
  <c r="D66" i="24"/>
  <c r="L66" i="24"/>
  <c r="T66" i="24"/>
  <c r="C67" i="24"/>
  <c r="K67" i="24"/>
  <c r="J68" i="24"/>
  <c r="R68" i="24"/>
  <c r="I69" i="24"/>
  <c r="Q69" i="24"/>
  <c r="I49" i="24"/>
  <c r="I63" i="24"/>
  <c r="Q49" i="24"/>
  <c r="Q63" i="24"/>
  <c r="Y49" i="24"/>
  <c r="Y63" i="24"/>
  <c r="H64" i="24"/>
  <c r="P64" i="24"/>
  <c r="X64" i="24"/>
  <c r="G65" i="24"/>
  <c r="O65" i="24"/>
  <c r="F66" i="24"/>
  <c r="N66" i="24"/>
  <c r="V66" i="24"/>
  <c r="E67" i="24"/>
  <c r="M67" i="24"/>
  <c r="U67" i="24"/>
  <c r="D68" i="24"/>
  <c r="L68" i="24"/>
  <c r="C69" i="24"/>
  <c r="E65" i="24"/>
  <c r="B49" i="24"/>
  <c r="R49" i="24"/>
  <c r="C49" i="24"/>
  <c r="S49" i="24"/>
  <c r="E63" i="24"/>
  <c r="M63" i="24"/>
  <c r="U63" i="24"/>
  <c r="D49" i="24"/>
  <c r="D64" i="24"/>
  <c r="L49" i="24"/>
  <c r="L64" i="24"/>
  <c r="T49" i="24"/>
  <c r="T64" i="24"/>
  <c r="C65" i="24"/>
  <c r="K65" i="24"/>
  <c r="S65" i="24"/>
  <c r="B66" i="24"/>
  <c r="J66" i="24"/>
  <c r="R66" i="24"/>
  <c r="Q67" i="24"/>
  <c r="Y67" i="24"/>
  <c r="U49" i="24"/>
  <c r="S67" i="24"/>
  <c r="T68" i="24"/>
  <c r="T67" i="24"/>
  <c r="C68" i="24"/>
  <c r="W69" i="24"/>
  <c r="H70" i="24"/>
  <c r="Q70" i="24"/>
  <c r="L72" i="24"/>
  <c r="V72" i="24"/>
  <c r="O69" i="24"/>
  <c r="Y69" i="24"/>
  <c r="I70" i="24"/>
  <c r="R70" i="24"/>
  <c r="D72" i="24"/>
  <c r="N72" i="24"/>
  <c r="W72" i="24"/>
  <c r="D67" i="24"/>
  <c r="G69" i="24"/>
  <c r="J70" i="24"/>
  <c r="U71" i="24"/>
  <c r="F72" i="24"/>
  <c r="X72" i="24"/>
  <c r="C63" i="24"/>
  <c r="K63" i="24"/>
  <c r="S63" i="24"/>
  <c r="B64" i="24"/>
  <c r="R64" i="24"/>
  <c r="I65" i="24"/>
  <c r="W67" i="24"/>
  <c r="F68" i="24"/>
  <c r="X68" i="24"/>
  <c r="R69" i="24"/>
  <c r="B70" i="24"/>
  <c r="K70" i="24"/>
  <c r="D71" i="24"/>
  <c r="M71" i="24"/>
  <c r="W71" i="24"/>
  <c r="G72" i="24"/>
  <c r="P72" i="24"/>
  <c r="Y72" i="24"/>
  <c r="J49" i="24"/>
  <c r="L63" i="24"/>
  <c r="C64" i="24"/>
  <c r="S64" i="24"/>
  <c r="J65" i="24"/>
  <c r="F67" i="24"/>
  <c r="G68" i="24"/>
  <c r="P68" i="24"/>
  <c r="S69" i="24"/>
  <c r="L70" i="24"/>
  <c r="U70" i="24"/>
  <c r="E71" i="24"/>
  <c r="O71" i="24"/>
  <c r="H72" i="24"/>
  <c r="K49" i="24"/>
  <c r="G67" i="24"/>
  <c r="H68" i="24"/>
  <c r="B69" i="24"/>
  <c r="K69" i="24"/>
  <c r="T69" i="24"/>
  <c r="M70" i="24"/>
  <c r="V70" i="24"/>
  <c r="G71" i="24"/>
  <c r="Y71" i="24"/>
  <c r="N70" i="24"/>
  <c r="X70" i="24"/>
  <c r="Q71" i="24"/>
  <c r="C172" i="24"/>
  <c r="C215" i="24" s="1"/>
  <c r="L172" i="24"/>
  <c r="L215" i="24" s="1"/>
  <c r="T172" i="24"/>
  <c r="T215" i="24" s="1"/>
  <c r="G185" i="24"/>
  <c r="G216" i="24" s="1"/>
  <c r="Q185" i="24"/>
  <c r="Q216" i="24" s="1"/>
  <c r="E211" i="24"/>
  <c r="E218" i="24" s="1"/>
  <c r="S211" i="24"/>
  <c r="S218" i="24" s="1"/>
  <c r="E172" i="24"/>
  <c r="E215" i="24" s="1"/>
  <c r="N172" i="24"/>
  <c r="N215" i="24" s="1"/>
  <c r="V172" i="24"/>
  <c r="V215" i="24" s="1"/>
  <c r="I185" i="24"/>
  <c r="I216" i="24" s="1"/>
  <c r="D198" i="24"/>
  <c r="D217" i="24" s="1"/>
  <c r="L198" i="24"/>
  <c r="L217" i="24" s="1"/>
  <c r="T198" i="24"/>
  <c r="T217" i="24" s="1"/>
  <c r="U211" i="24"/>
  <c r="U218" i="24" s="1"/>
  <c r="F172" i="24"/>
  <c r="F215" i="24" s="1"/>
  <c r="B185" i="24"/>
  <c r="E198" i="24"/>
  <c r="E217" i="24" s="1"/>
  <c r="M198" i="24"/>
  <c r="M217" i="24" s="1"/>
  <c r="U198" i="24"/>
  <c r="U217" i="24" s="1"/>
  <c r="C185" i="24"/>
  <c r="C216" i="24" s="1"/>
  <c r="M185" i="24"/>
  <c r="M216" i="24" s="1"/>
  <c r="H55" i="23"/>
  <c r="F55" i="23"/>
  <c r="H10" i="23"/>
  <c r="C303" i="33" s="1"/>
  <c r="H59" i="23"/>
  <c r="I59" i="23"/>
  <c r="J59" i="23"/>
  <c r="G59" i="23"/>
  <c r="K59" i="23"/>
  <c r="F59" i="23"/>
  <c r="I60" i="23"/>
  <c r="G60" i="23"/>
  <c r="H60" i="23"/>
  <c r="F60" i="23"/>
  <c r="J60" i="23"/>
  <c r="K60" i="23"/>
  <c r="F56" i="23"/>
  <c r="I56" i="23"/>
  <c r="H56" i="23"/>
  <c r="J56" i="23"/>
  <c r="K56" i="23"/>
  <c r="G56" i="23"/>
  <c r="G54" i="23"/>
  <c r="H54" i="23"/>
  <c r="I54" i="23"/>
  <c r="J54" i="23"/>
  <c r="F54" i="23"/>
  <c r="K54" i="23"/>
  <c r="G58" i="23"/>
  <c r="F58" i="23"/>
  <c r="H58" i="23"/>
  <c r="I58" i="23"/>
  <c r="J58" i="23"/>
  <c r="K58" i="23"/>
  <c r="H52" i="23"/>
  <c r="I52" i="23"/>
  <c r="J52" i="23"/>
  <c r="K52" i="23"/>
  <c r="G52" i="23"/>
  <c r="F52" i="23"/>
  <c r="K51" i="23"/>
  <c r="J51" i="23"/>
  <c r="I51" i="23"/>
  <c r="H51" i="23"/>
  <c r="G55" i="23"/>
  <c r="K57" i="23"/>
  <c r="K55" i="23"/>
  <c r="J57" i="23"/>
  <c r="J55" i="23"/>
  <c r="F57" i="23"/>
  <c r="I57" i="23"/>
  <c r="I55" i="23"/>
  <c r="G57" i="23"/>
  <c r="G53" i="23"/>
  <c r="F53" i="23"/>
  <c r="H53" i="23"/>
  <c r="J53" i="23"/>
  <c r="K53" i="23"/>
  <c r="I53" i="23"/>
  <c r="AH18" i="18"/>
  <c r="AW163" i="33" l="1"/>
  <c r="AX163" i="33"/>
  <c r="BS163" i="33"/>
  <c r="AV163" i="33"/>
  <c r="BR163" i="33"/>
  <c r="BQ163" i="33"/>
  <c r="AL18" i="18"/>
  <c r="AM18" i="18"/>
  <c r="AN18" i="18"/>
  <c r="BD163" i="33"/>
  <c r="BO163" i="33"/>
  <c r="BJ163" i="33"/>
  <c r="BL163" i="33"/>
  <c r="BK163" i="33"/>
  <c r="BI163" i="33"/>
  <c r="BG163" i="33"/>
  <c r="BN163" i="33"/>
  <c r="BH163" i="33"/>
  <c r="BA163" i="33"/>
  <c r="AZ163" i="33"/>
  <c r="BM163" i="33"/>
  <c r="J122" i="31"/>
  <c r="J124" i="31"/>
  <c r="J123" i="31"/>
  <c r="D249" i="33"/>
  <c r="BE163" i="33"/>
  <c r="BF163" i="33"/>
  <c r="D250" i="33"/>
  <c r="DL79" i="31"/>
  <c r="BH79" i="31"/>
  <c r="J73" i="24"/>
  <c r="O156" i="26"/>
  <c r="V157" i="26"/>
  <c r="G157" i="26"/>
  <c r="AG13" i="31"/>
  <c r="AF13" i="31"/>
  <c r="AJ13" i="31"/>
  <c r="AI13" i="31"/>
  <c r="AH13" i="31"/>
  <c r="AH14" i="31"/>
  <c r="AF14" i="31"/>
  <c r="AI14" i="31"/>
  <c r="AG14" i="31"/>
  <c r="AJ14" i="31"/>
  <c r="AJ9" i="31"/>
  <c r="AI9" i="31"/>
  <c r="AF9" i="31"/>
  <c r="AH9" i="31"/>
  <c r="AG9" i="31"/>
  <c r="AH6" i="31"/>
  <c r="AF6" i="31"/>
  <c r="AI6" i="31"/>
  <c r="AG6" i="31"/>
  <c r="AJ6" i="31"/>
  <c r="AH7" i="31"/>
  <c r="AF7" i="31"/>
  <c r="AI7" i="31"/>
  <c r="AG7" i="31"/>
  <c r="AJ7" i="31"/>
  <c r="AJ12" i="31"/>
  <c r="AI12" i="31"/>
  <c r="AH12" i="31"/>
  <c r="AF12" i="31"/>
  <c r="AG12" i="31"/>
  <c r="AJ15" i="31"/>
  <c r="AI15" i="31"/>
  <c r="AF15" i="31"/>
  <c r="AH15" i="31"/>
  <c r="AG15" i="31"/>
  <c r="AH8" i="31"/>
  <c r="AF8" i="31"/>
  <c r="AJ8" i="31"/>
  <c r="AI8" i="31"/>
  <c r="AG8" i="31"/>
  <c r="AH10" i="31"/>
  <c r="AF10" i="31"/>
  <c r="AG10" i="31"/>
  <c r="AJ10" i="31"/>
  <c r="AI10" i="31"/>
  <c r="AJ11" i="31"/>
  <c r="AI11" i="31"/>
  <c r="AH11" i="31"/>
  <c r="AG11" i="31"/>
  <c r="AF11" i="31"/>
  <c r="R73" i="24"/>
  <c r="X73" i="26"/>
  <c r="D151" i="26"/>
  <c r="BY54" i="26"/>
  <c r="CA54" i="25"/>
  <c r="BX54" i="24"/>
  <c r="CE54" i="25"/>
  <c r="AZ54" i="24"/>
  <c r="CD104" i="31" s="1"/>
  <c r="E97" i="31" s="1"/>
  <c r="L97" i="31" s="1"/>
  <c r="AS54" i="24"/>
  <c r="CD97" i="31" s="1"/>
  <c r="E90" i="31" s="1"/>
  <c r="L90" i="31" s="1"/>
  <c r="AT54" i="24"/>
  <c r="CD98" i="31" s="1"/>
  <c r="E91" i="31" s="1"/>
  <c r="L91" i="31" s="1"/>
  <c r="BB54" i="24"/>
  <c r="CD106" i="31" s="1"/>
  <c r="E99" i="31" s="1"/>
  <c r="L99" i="31" s="1"/>
  <c r="BL54" i="24"/>
  <c r="BA54" i="25"/>
  <c r="CE105" i="31" s="1"/>
  <c r="F98" i="31" s="1"/>
  <c r="M98" i="31" s="1"/>
  <c r="BR54" i="25"/>
  <c r="BE54" i="25"/>
  <c r="CE109" i="31" s="1"/>
  <c r="F102" i="31" s="1"/>
  <c r="M102" i="31" s="1"/>
  <c r="BV54" i="25"/>
  <c r="AQ54" i="24"/>
  <c r="CD95" i="31" s="1"/>
  <c r="E88" i="31" s="1"/>
  <c r="L88" i="31" s="1"/>
  <c r="AV54" i="24"/>
  <c r="CD100" i="31" s="1"/>
  <c r="E93" i="31" s="1"/>
  <c r="L93" i="31" s="1"/>
  <c r="BA54" i="24"/>
  <c r="CD105" i="31" s="1"/>
  <c r="E98" i="31" s="1"/>
  <c r="L98" i="31" s="1"/>
  <c r="BJ54" i="24"/>
  <c r="BR54" i="24"/>
  <c r="AO54" i="24"/>
  <c r="CD93" i="31" s="1"/>
  <c r="E86" i="31" s="1"/>
  <c r="L86" i="31" s="1"/>
  <c r="BI54" i="25"/>
  <c r="CE113" i="31" s="1"/>
  <c r="F106" i="31" s="1"/>
  <c r="M106" i="31" s="1"/>
  <c r="BZ54" i="25"/>
  <c r="AV54" i="25"/>
  <c r="CE100" i="31" s="1"/>
  <c r="F93" i="31" s="1"/>
  <c r="M93" i="31" s="1"/>
  <c r="BM54" i="25"/>
  <c r="CD54" i="25"/>
  <c r="AS54" i="25"/>
  <c r="CE97" i="31" s="1"/>
  <c r="F90" i="31" s="1"/>
  <c r="M90" i="31" s="1"/>
  <c r="AY54" i="24"/>
  <c r="CD103" i="31" s="1"/>
  <c r="E96" i="31" s="1"/>
  <c r="L96" i="31" s="1"/>
  <c r="CB54" i="24"/>
  <c r="BI54" i="24"/>
  <c r="CD113" i="31" s="1"/>
  <c r="E106" i="31" s="1"/>
  <c r="L106" i="31" s="1"/>
  <c r="BZ54" i="24"/>
  <c r="AW54" i="24"/>
  <c r="CD101" i="31" s="1"/>
  <c r="E94" i="31" s="1"/>
  <c r="L94" i="31" s="1"/>
  <c r="AR54" i="25"/>
  <c r="CE96" i="31" s="1"/>
  <c r="F89" i="31" s="1"/>
  <c r="M89" i="31" s="1"/>
  <c r="BQ54" i="25"/>
  <c r="BD54" i="25"/>
  <c r="CE108" i="31" s="1"/>
  <c r="F101" i="31" s="1"/>
  <c r="M101" i="31" s="1"/>
  <c r="BU54" i="25"/>
  <c r="BF54" i="26"/>
  <c r="BN54" i="24"/>
  <c r="AW54" i="25"/>
  <c r="CE101" i="31" s="1"/>
  <c r="F94" i="31" s="1"/>
  <c r="M94" i="31" s="1"/>
  <c r="BG54" i="24"/>
  <c r="CD111" i="31" s="1"/>
  <c r="E104" i="31" s="1"/>
  <c r="L104" i="31" s="1"/>
  <c r="AX54" i="24"/>
  <c r="CD102" i="31" s="1"/>
  <c r="E95" i="31" s="1"/>
  <c r="L95" i="31" s="1"/>
  <c r="BQ54" i="24"/>
  <c r="BT54" i="24"/>
  <c r="AU54" i="24"/>
  <c r="CD99" i="31" s="1"/>
  <c r="E92" i="31" s="1"/>
  <c r="L92" i="31" s="1"/>
  <c r="BE54" i="24"/>
  <c r="CD109" i="31" s="1"/>
  <c r="E102" i="31" s="1"/>
  <c r="L102" i="31" s="1"/>
  <c r="AZ54" i="25"/>
  <c r="CE104" i="31" s="1"/>
  <c r="F97" i="31" s="1"/>
  <c r="M97" i="31" s="1"/>
  <c r="BY54" i="25"/>
  <c r="AU54" i="25"/>
  <c r="CE99" i="31" s="1"/>
  <c r="F92" i="31" s="1"/>
  <c r="M92" i="31" s="1"/>
  <c r="BL54" i="25"/>
  <c r="CC54" i="25"/>
  <c r="AY54" i="25"/>
  <c r="CE103" i="31" s="1"/>
  <c r="F96" i="31" s="1"/>
  <c r="M96" i="31" s="1"/>
  <c r="BO54" i="24"/>
  <c r="BV54" i="24"/>
  <c r="BY54" i="24"/>
  <c r="BC54" i="24"/>
  <c r="CD107" i="31" s="1"/>
  <c r="E100" i="31" s="1"/>
  <c r="L100" i="31" s="1"/>
  <c r="BM54" i="24"/>
  <c r="BH54" i="25"/>
  <c r="CE112" i="31" s="1"/>
  <c r="F105" i="31" s="1"/>
  <c r="M105" i="31" s="1"/>
  <c r="BC54" i="25"/>
  <c r="CE107" i="31" s="1"/>
  <c r="F100" i="31" s="1"/>
  <c r="M100" i="31" s="1"/>
  <c r="BT54" i="25"/>
  <c r="BG54" i="25"/>
  <c r="CE111" i="31" s="1"/>
  <c r="F104" i="31" s="1"/>
  <c r="M104" i="31" s="1"/>
  <c r="CA54" i="24"/>
  <c r="BN54" i="25"/>
  <c r="BW54" i="24"/>
  <c r="AR54" i="24"/>
  <c r="CD96" i="31" s="1"/>
  <c r="E89" i="31" s="1"/>
  <c r="L89" i="31" s="1"/>
  <c r="BD54" i="24"/>
  <c r="CD108" i="31" s="1"/>
  <c r="E101" i="31" s="1"/>
  <c r="L101" i="31" s="1"/>
  <c r="BF54" i="24"/>
  <c r="CD110" i="31" s="1"/>
  <c r="E103" i="31" s="1"/>
  <c r="L103" i="31" s="1"/>
  <c r="BK54" i="24"/>
  <c r="BU54" i="24"/>
  <c r="BP54" i="25"/>
  <c r="AT54" i="25"/>
  <c r="CE98" i="31" s="1"/>
  <c r="F91" i="31" s="1"/>
  <c r="M91" i="31" s="1"/>
  <c r="BK54" i="25"/>
  <c r="CB54" i="25"/>
  <c r="BO54" i="25"/>
  <c r="BJ54" i="25"/>
  <c r="CE54" i="24"/>
  <c r="BP54" i="24"/>
  <c r="BH54" i="24"/>
  <c r="CD112" i="31" s="1"/>
  <c r="E105" i="31" s="1"/>
  <c r="L105" i="31" s="1"/>
  <c r="CD54" i="24"/>
  <c r="BS54" i="24"/>
  <c r="CC54" i="24"/>
  <c r="BX54" i="25"/>
  <c r="BB54" i="25"/>
  <c r="CE106" i="31" s="1"/>
  <c r="F99" i="31" s="1"/>
  <c r="M99" i="31" s="1"/>
  <c r="BS54" i="25"/>
  <c r="BF54" i="25"/>
  <c r="CE110" i="31" s="1"/>
  <c r="F103" i="31" s="1"/>
  <c r="M103" i="31" s="1"/>
  <c r="BW54" i="25"/>
  <c r="BR54" i="26"/>
  <c r="CB54" i="26"/>
  <c r="BO54" i="26"/>
  <c r="BZ54" i="26"/>
  <c r="AR54" i="26"/>
  <c r="BX54" i="26"/>
  <c r="BP54" i="26"/>
  <c r="BE54" i="26"/>
  <c r="AS54" i="26"/>
  <c r="AU54" i="26"/>
  <c r="BW54" i="26"/>
  <c r="BC54" i="26"/>
  <c r="BM54" i="26"/>
  <c r="AT54" i="26"/>
  <c r="BA54" i="26"/>
  <c r="BV54" i="26"/>
  <c r="CE54" i="26"/>
  <c r="BB54" i="26"/>
  <c r="BU54" i="26"/>
  <c r="BT54" i="26"/>
  <c r="BJ54" i="26"/>
  <c r="CA54" i="26"/>
  <c r="AZ54" i="26"/>
  <c r="BI54" i="26"/>
  <c r="BH54" i="26"/>
  <c r="AW54" i="26"/>
  <c r="BG54" i="26"/>
  <c r="AV54" i="26"/>
  <c r="BK54" i="26"/>
  <c r="CD54" i="26"/>
  <c r="CC54" i="26"/>
  <c r="BS54" i="26"/>
  <c r="BL54" i="26"/>
  <c r="BN54" i="26"/>
  <c r="BD54" i="26"/>
  <c r="AY54" i="26"/>
  <c r="BQ54" i="26"/>
  <c r="E138" i="26"/>
  <c r="E151" i="26" s="1"/>
  <c r="R154" i="26"/>
  <c r="C6" i="22"/>
  <c r="F10" i="23" s="1"/>
  <c r="K10" i="23" s="1"/>
  <c r="T73" i="24"/>
  <c r="W73" i="24"/>
  <c r="N73" i="26"/>
  <c r="V73" i="26"/>
  <c r="O73" i="24"/>
  <c r="F73" i="26"/>
  <c r="G73" i="24"/>
  <c r="P73" i="26"/>
  <c r="D73" i="24"/>
  <c r="S73" i="26"/>
  <c r="T153" i="26"/>
  <c r="J150" i="26"/>
  <c r="S154" i="26"/>
  <c r="H143" i="26"/>
  <c r="H156" i="26" s="1"/>
  <c r="V145" i="26"/>
  <c r="V158" i="26" s="1"/>
  <c r="F158" i="26"/>
  <c r="S139" i="25"/>
  <c r="S152" i="25" s="1"/>
  <c r="M144" i="24"/>
  <c r="M157" i="24" s="1"/>
  <c r="K139" i="25"/>
  <c r="K152" i="25" s="1"/>
  <c r="J138" i="24"/>
  <c r="J151" i="24" s="1"/>
  <c r="R140" i="25"/>
  <c r="R153" i="25" s="1"/>
  <c r="C141" i="26"/>
  <c r="C154" i="26" s="1"/>
  <c r="U155" i="24"/>
  <c r="U151" i="26"/>
  <c r="K120" i="24"/>
  <c r="Y155" i="26"/>
  <c r="Q156" i="26"/>
  <c r="D157" i="26"/>
  <c r="T152" i="26"/>
  <c r="F143" i="26"/>
  <c r="F156" i="26" s="1"/>
  <c r="C73" i="26"/>
  <c r="V150" i="26"/>
  <c r="D152" i="26"/>
  <c r="O73" i="26"/>
  <c r="K73" i="26"/>
  <c r="D120" i="25"/>
  <c r="D73" i="25"/>
  <c r="K137" i="25"/>
  <c r="K150" i="25" s="1"/>
  <c r="C137" i="25"/>
  <c r="C150" i="25" s="1"/>
  <c r="I120" i="25"/>
  <c r="M120" i="25"/>
  <c r="L137" i="25"/>
  <c r="L150" i="25" s="1"/>
  <c r="K120" i="25"/>
  <c r="O120" i="25"/>
  <c r="H120" i="25"/>
  <c r="N120" i="25"/>
  <c r="R120" i="25"/>
  <c r="E120" i="25"/>
  <c r="T120" i="25"/>
  <c r="I143" i="24"/>
  <c r="I156" i="24" s="1"/>
  <c r="J157" i="24"/>
  <c r="V153" i="24"/>
  <c r="B73" i="24"/>
  <c r="J120" i="24"/>
  <c r="X151" i="24"/>
  <c r="Q137" i="24"/>
  <c r="Q150" i="24" s="1"/>
  <c r="T140" i="24"/>
  <c r="T153" i="24" s="1"/>
  <c r="Q154" i="26"/>
  <c r="E137" i="26"/>
  <c r="E150" i="26" s="1"/>
  <c r="X141" i="26"/>
  <c r="X154" i="26" s="1"/>
  <c r="Q140" i="26"/>
  <c r="Q153" i="26" s="1"/>
  <c r="L152" i="26"/>
  <c r="U152" i="26"/>
  <c r="B155" i="26"/>
  <c r="C152" i="26"/>
  <c r="O154" i="26"/>
  <c r="K120" i="26"/>
  <c r="P120" i="26"/>
  <c r="P142" i="26"/>
  <c r="P155" i="26" s="1"/>
  <c r="H120" i="26"/>
  <c r="S120" i="26"/>
  <c r="AA198" i="26"/>
  <c r="G120" i="26"/>
  <c r="X142" i="26"/>
  <c r="X155" i="26" s="1"/>
  <c r="R142" i="24"/>
  <c r="R155" i="24" s="1"/>
  <c r="L142" i="24"/>
  <c r="L155" i="24" s="1"/>
  <c r="O139" i="26"/>
  <c r="O152" i="26" s="1"/>
  <c r="W140" i="26"/>
  <c r="W153" i="26" s="1"/>
  <c r="N142" i="26"/>
  <c r="N155" i="26" s="1"/>
  <c r="H73" i="26"/>
  <c r="B145" i="26"/>
  <c r="B158" i="26" s="1"/>
  <c r="W73" i="26"/>
  <c r="U144" i="26"/>
  <c r="U157" i="26" s="1"/>
  <c r="N143" i="26"/>
  <c r="N156" i="26" s="1"/>
  <c r="G142" i="26"/>
  <c r="G155" i="26" s="1"/>
  <c r="Y140" i="26"/>
  <c r="Y153" i="26" s="1"/>
  <c r="J139" i="26"/>
  <c r="J152" i="26" s="1"/>
  <c r="C138" i="26"/>
  <c r="C151" i="26" s="1"/>
  <c r="D73" i="26"/>
  <c r="Y145" i="26"/>
  <c r="Y158" i="26" s="1"/>
  <c r="J144" i="26"/>
  <c r="J157" i="26" s="1"/>
  <c r="C143" i="26"/>
  <c r="C156" i="26" s="1"/>
  <c r="U141" i="26"/>
  <c r="U154" i="26" s="1"/>
  <c r="N140" i="26"/>
  <c r="N153" i="26" s="1"/>
  <c r="G139" i="26"/>
  <c r="G152" i="26" s="1"/>
  <c r="Y137" i="26"/>
  <c r="Y150" i="26" s="1"/>
  <c r="R120" i="26"/>
  <c r="R136" i="26"/>
  <c r="R149" i="26" s="1"/>
  <c r="R201" i="26" s="1"/>
  <c r="R211" i="26" s="1"/>
  <c r="R218" i="26" s="1"/>
  <c r="X137" i="26"/>
  <c r="X150" i="26" s="1"/>
  <c r="Q136" i="26"/>
  <c r="Q149" i="26" s="1"/>
  <c r="Q201" i="26" s="1"/>
  <c r="Q211" i="26" s="1"/>
  <c r="Q218" i="26" s="1"/>
  <c r="Q120" i="26"/>
  <c r="E142" i="26"/>
  <c r="E155" i="26" s="1"/>
  <c r="T143" i="26"/>
  <c r="T156" i="26" s="1"/>
  <c r="F141" i="26"/>
  <c r="F154" i="26" s="1"/>
  <c r="P140" i="26"/>
  <c r="P153" i="26" s="1"/>
  <c r="V141" i="26"/>
  <c r="V154" i="26" s="1"/>
  <c r="U143" i="26"/>
  <c r="U156" i="26" s="1"/>
  <c r="G73" i="26"/>
  <c r="M120" i="26"/>
  <c r="M136" i="26"/>
  <c r="M149" i="26" s="1"/>
  <c r="M201" i="26" s="1"/>
  <c r="M211" i="26" s="1"/>
  <c r="M218" i="26" s="1"/>
  <c r="K137" i="26"/>
  <c r="K150" i="26" s="1"/>
  <c r="D120" i="26"/>
  <c r="D136" i="26"/>
  <c r="D149" i="26" s="1"/>
  <c r="J73" i="26"/>
  <c r="P145" i="26"/>
  <c r="P158" i="26" s="1"/>
  <c r="I144" i="26"/>
  <c r="I157" i="26" s="1"/>
  <c r="W138" i="26"/>
  <c r="W151" i="26" s="1"/>
  <c r="I73" i="26"/>
  <c r="S144" i="26"/>
  <c r="S157" i="26" s="1"/>
  <c r="E143" i="26"/>
  <c r="E156" i="26" s="1"/>
  <c r="E139" i="26"/>
  <c r="E152" i="26" s="1"/>
  <c r="T145" i="26"/>
  <c r="T158" i="26" s="1"/>
  <c r="B139" i="26"/>
  <c r="B152" i="26" s="1"/>
  <c r="T137" i="26"/>
  <c r="T150" i="26" s="1"/>
  <c r="M73" i="26"/>
  <c r="Q145" i="26"/>
  <c r="Q158" i="26" s="1"/>
  <c r="P137" i="26"/>
  <c r="P150" i="26" s="1"/>
  <c r="I136" i="26"/>
  <c r="I149" i="26" s="1"/>
  <c r="I162" i="26" s="1"/>
  <c r="I172" i="26" s="1"/>
  <c r="I120" i="26"/>
  <c r="E120" i="26"/>
  <c r="G140" i="26"/>
  <c r="G153" i="26" s="1"/>
  <c r="G141" i="26"/>
  <c r="G154" i="26" s="1"/>
  <c r="F140" i="26"/>
  <c r="F153" i="26" s="1"/>
  <c r="R145" i="26"/>
  <c r="R158" i="26" s="1"/>
  <c r="L143" i="26"/>
  <c r="L156" i="26" s="1"/>
  <c r="I139" i="26"/>
  <c r="I152" i="26" s="1"/>
  <c r="W141" i="26"/>
  <c r="W154" i="26" s="1"/>
  <c r="W137" i="26"/>
  <c r="W150" i="26" s="1"/>
  <c r="V120" i="26"/>
  <c r="J138" i="26"/>
  <c r="J151" i="26" s="1"/>
  <c r="C137" i="26"/>
  <c r="C150" i="26" s="1"/>
  <c r="B144" i="26"/>
  <c r="B157" i="26" s="1"/>
  <c r="X138" i="26"/>
  <c r="X151" i="26" s="1"/>
  <c r="Q137" i="26"/>
  <c r="Q150" i="26" s="1"/>
  <c r="J120" i="26"/>
  <c r="J136" i="26"/>
  <c r="J149" i="26" s="1"/>
  <c r="J175" i="26" s="1"/>
  <c r="J185" i="26" s="1"/>
  <c r="H145" i="26"/>
  <c r="H158" i="26" s="1"/>
  <c r="R143" i="26"/>
  <c r="R156" i="26" s="1"/>
  <c r="K142" i="26"/>
  <c r="K155" i="26" s="1"/>
  <c r="D141" i="26"/>
  <c r="D154" i="26" s="1"/>
  <c r="V139" i="26"/>
  <c r="V152" i="26" s="1"/>
  <c r="O138" i="26"/>
  <c r="O151" i="26" s="1"/>
  <c r="D137" i="26"/>
  <c r="D150" i="26" s="1"/>
  <c r="T142" i="26"/>
  <c r="T155" i="26" s="1"/>
  <c r="B215" i="26"/>
  <c r="O140" i="26"/>
  <c r="O153" i="26" s="1"/>
  <c r="F136" i="26"/>
  <c r="F149" i="26" s="1"/>
  <c r="F120" i="26"/>
  <c r="L145" i="26"/>
  <c r="L158" i="26" s="1"/>
  <c r="E144" i="26"/>
  <c r="E157" i="26" s="1"/>
  <c r="W142" i="26"/>
  <c r="W155" i="26" s="1"/>
  <c r="P141" i="26"/>
  <c r="P154" i="26" s="1"/>
  <c r="I140" i="26"/>
  <c r="S138" i="26"/>
  <c r="S151" i="26" s="1"/>
  <c r="L137" i="26"/>
  <c r="L150" i="26" s="1"/>
  <c r="E73" i="26"/>
  <c r="B138" i="26"/>
  <c r="B151" i="26" s="1"/>
  <c r="T120" i="26"/>
  <c r="T136" i="26"/>
  <c r="T149" i="26" s="1"/>
  <c r="T175" i="26" s="1"/>
  <c r="T185" i="26" s="1"/>
  <c r="T216" i="26" s="1"/>
  <c r="W120" i="26"/>
  <c r="C120" i="26"/>
  <c r="B73" i="26"/>
  <c r="H137" i="26"/>
  <c r="H150" i="26" s="1"/>
  <c r="U142" i="26"/>
  <c r="U155" i="26" s="1"/>
  <c r="M141" i="26"/>
  <c r="M154" i="26" s="1"/>
  <c r="J145" i="26"/>
  <c r="J158" i="26" s="1"/>
  <c r="M142" i="26"/>
  <c r="M155" i="26" s="1"/>
  <c r="X139" i="26"/>
  <c r="X152" i="26" s="1"/>
  <c r="T73" i="26"/>
  <c r="I145" i="26"/>
  <c r="I158" i="26" s="1"/>
  <c r="S143" i="26"/>
  <c r="S156" i="26" s="1"/>
  <c r="L142" i="26"/>
  <c r="L155" i="26" s="1"/>
  <c r="E141" i="26"/>
  <c r="E154" i="26" s="1"/>
  <c r="W139" i="26"/>
  <c r="W152" i="26" s="1"/>
  <c r="P138" i="26"/>
  <c r="P151" i="26" s="1"/>
  <c r="I137" i="26"/>
  <c r="I150" i="26" s="1"/>
  <c r="AA49" i="26"/>
  <c r="Y144" i="26"/>
  <c r="Y157" i="26" s="1"/>
  <c r="J143" i="26"/>
  <c r="J156" i="26" s="1"/>
  <c r="C142" i="26"/>
  <c r="C155" i="26" s="1"/>
  <c r="U140" i="26"/>
  <c r="U153" i="26" s="1"/>
  <c r="N139" i="26"/>
  <c r="N152" i="26" s="1"/>
  <c r="N120" i="26"/>
  <c r="G138" i="26"/>
  <c r="G151" i="26" s="1"/>
  <c r="Y73" i="26"/>
  <c r="B216" i="26"/>
  <c r="B218" i="26"/>
  <c r="N141" i="26"/>
  <c r="K144" i="26"/>
  <c r="K157" i="26" s="1"/>
  <c r="D145" i="26"/>
  <c r="D158" i="26" s="1"/>
  <c r="V143" i="26"/>
  <c r="V156" i="26" s="1"/>
  <c r="O142" i="26"/>
  <c r="O155" i="26" s="1"/>
  <c r="H141" i="26"/>
  <c r="H154" i="26" s="1"/>
  <c r="R139" i="26"/>
  <c r="R152" i="26" s="1"/>
  <c r="K138" i="26"/>
  <c r="K151" i="26" s="1"/>
  <c r="U136" i="26"/>
  <c r="U149" i="26" s="1"/>
  <c r="U175" i="26" s="1"/>
  <c r="U185" i="26" s="1"/>
  <c r="U216" i="26" s="1"/>
  <c r="U120" i="26"/>
  <c r="L120" i="26"/>
  <c r="L136" i="26"/>
  <c r="L149" i="26" s="1"/>
  <c r="L201" i="26" s="1"/>
  <c r="L211" i="26" s="1"/>
  <c r="R144" i="26"/>
  <c r="R157" i="26" s="1"/>
  <c r="K143" i="26"/>
  <c r="K156" i="26" s="1"/>
  <c r="D142" i="26"/>
  <c r="D155" i="26" s="1"/>
  <c r="V140" i="26"/>
  <c r="V153" i="26" s="1"/>
  <c r="R73" i="26"/>
  <c r="B120" i="26"/>
  <c r="B136" i="26"/>
  <c r="B149" i="26" s="1"/>
  <c r="Y120" i="26"/>
  <c r="Y136" i="26"/>
  <c r="Y149" i="26" s="1"/>
  <c r="Y175" i="26" s="1"/>
  <c r="Y185" i="26" s="1"/>
  <c r="Y216" i="26" s="1"/>
  <c r="X120" i="26"/>
  <c r="C144" i="26"/>
  <c r="C157" i="26" s="1"/>
  <c r="D143" i="26"/>
  <c r="D156" i="26" s="1"/>
  <c r="O120" i="26"/>
  <c r="U73" i="26"/>
  <c r="S137" i="26"/>
  <c r="S150" i="26" s="1"/>
  <c r="L73" i="26"/>
  <c r="H138" i="26"/>
  <c r="H151" i="26" s="1"/>
  <c r="X145" i="26"/>
  <c r="X158" i="26" s="1"/>
  <c r="Q144" i="26"/>
  <c r="Q157" i="26" s="1"/>
  <c r="B143" i="26"/>
  <c r="B156" i="26" s="1"/>
  <c r="T141" i="26"/>
  <c r="T154" i="26" s="1"/>
  <c r="M140" i="26"/>
  <c r="M153" i="26" s="1"/>
  <c r="F139" i="26"/>
  <c r="F152" i="26" s="1"/>
  <c r="Q73" i="26"/>
  <c r="B218" i="25"/>
  <c r="AA221" i="25" s="1"/>
  <c r="AA211" i="25"/>
  <c r="L73" i="25"/>
  <c r="J145" i="25"/>
  <c r="J158" i="25" s="1"/>
  <c r="C144" i="25"/>
  <c r="C157" i="25" s="1"/>
  <c r="U142" i="25"/>
  <c r="U155" i="25" s="1"/>
  <c r="N141" i="25"/>
  <c r="N154" i="25" s="1"/>
  <c r="G140" i="25"/>
  <c r="G153" i="25" s="1"/>
  <c r="I73" i="25"/>
  <c r="G145" i="25"/>
  <c r="G158" i="25" s="1"/>
  <c r="Y143" i="25"/>
  <c r="Y156" i="25" s="1"/>
  <c r="J142" i="25"/>
  <c r="J155" i="25" s="1"/>
  <c r="C141" i="25"/>
  <c r="C154" i="25" s="1"/>
  <c r="U139" i="25"/>
  <c r="U152" i="25" s="1"/>
  <c r="W144" i="25"/>
  <c r="W157" i="25" s="1"/>
  <c r="P143" i="25"/>
  <c r="P156" i="25" s="1"/>
  <c r="I142" i="25"/>
  <c r="I155" i="25" s="1"/>
  <c r="S140" i="25"/>
  <c r="S153" i="25" s="1"/>
  <c r="U145" i="25"/>
  <c r="U158" i="25" s="1"/>
  <c r="V73" i="25"/>
  <c r="C145" i="25"/>
  <c r="C158" i="25" s="1"/>
  <c r="U143" i="25"/>
  <c r="U156" i="25" s="1"/>
  <c r="N142" i="25"/>
  <c r="N155" i="25" s="1"/>
  <c r="G141" i="25"/>
  <c r="G154" i="25" s="1"/>
  <c r="Y139" i="25"/>
  <c r="Y152" i="25" s="1"/>
  <c r="R144" i="25"/>
  <c r="R157" i="25" s="1"/>
  <c r="K143" i="25"/>
  <c r="K156" i="25" s="1"/>
  <c r="X145" i="25"/>
  <c r="X158" i="25" s="1"/>
  <c r="Q144" i="25"/>
  <c r="Q157" i="25" s="1"/>
  <c r="B143" i="25"/>
  <c r="B156" i="25" s="1"/>
  <c r="T141" i="25"/>
  <c r="T154" i="25" s="1"/>
  <c r="M140" i="25"/>
  <c r="M153" i="25" s="1"/>
  <c r="Q120" i="25"/>
  <c r="W73" i="25"/>
  <c r="N73" i="25"/>
  <c r="L145" i="25"/>
  <c r="L158" i="25" s="1"/>
  <c r="E144" i="25"/>
  <c r="E157" i="25" s="1"/>
  <c r="W142" i="25"/>
  <c r="W155" i="25" s="1"/>
  <c r="P141" i="25"/>
  <c r="P154" i="25" s="1"/>
  <c r="I140" i="25"/>
  <c r="I153" i="25" s="1"/>
  <c r="AA185" i="25"/>
  <c r="B216" i="25"/>
  <c r="B145" i="25"/>
  <c r="B158" i="25" s="1"/>
  <c r="T143" i="25"/>
  <c r="T156" i="25" s="1"/>
  <c r="M142" i="25"/>
  <c r="M155" i="25" s="1"/>
  <c r="F141" i="25"/>
  <c r="F154" i="25" s="1"/>
  <c r="X139" i="25"/>
  <c r="X152" i="25" s="1"/>
  <c r="B150" i="25"/>
  <c r="C120" i="25"/>
  <c r="R73" i="25"/>
  <c r="X144" i="25"/>
  <c r="X157" i="25" s="1"/>
  <c r="Q143" i="25"/>
  <c r="Q156" i="25" s="1"/>
  <c r="B142" i="25"/>
  <c r="T140" i="25"/>
  <c r="T153" i="25" s="1"/>
  <c r="M139" i="25"/>
  <c r="M152" i="25" s="1"/>
  <c r="X120" i="25"/>
  <c r="V145" i="25"/>
  <c r="V158" i="25" s="1"/>
  <c r="O144" i="25"/>
  <c r="O157" i="25" s="1"/>
  <c r="H143" i="25"/>
  <c r="H156" i="25" s="1"/>
  <c r="R141" i="25"/>
  <c r="R154" i="25" s="1"/>
  <c r="K140" i="25"/>
  <c r="K153" i="25" s="1"/>
  <c r="O73" i="25"/>
  <c r="B153" i="25"/>
  <c r="F73" i="25"/>
  <c r="T144" i="25"/>
  <c r="T157" i="25" s="1"/>
  <c r="M143" i="25"/>
  <c r="M156" i="25" s="1"/>
  <c r="F142" i="25"/>
  <c r="F155" i="25" s="1"/>
  <c r="X140" i="25"/>
  <c r="X153" i="25" s="1"/>
  <c r="Q139" i="25"/>
  <c r="Q152" i="25" s="1"/>
  <c r="AA138" i="25"/>
  <c r="B215" i="25"/>
  <c r="AA172" i="25"/>
  <c r="Y145" i="25"/>
  <c r="Y158" i="25" s="1"/>
  <c r="J144" i="25"/>
  <c r="J157" i="25" s="1"/>
  <c r="C143" i="25"/>
  <c r="C156" i="25" s="1"/>
  <c r="J120" i="25"/>
  <c r="J73" i="25"/>
  <c r="P145" i="25"/>
  <c r="P158" i="25" s="1"/>
  <c r="I144" i="25"/>
  <c r="I157" i="25" s="1"/>
  <c r="S142" i="25"/>
  <c r="S155" i="25" s="1"/>
  <c r="L141" i="25"/>
  <c r="L154" i="25" s="1"/>
  <c r="E140" i="25"/>
  <c r="E153" i="25" s="1"/>
  <c r="X73" i="25"/>
  <c r="G73" i="25"/>
  <c r="D145" i="25"/>
  <c r="D158" i="25" s="1"/>
  <c r="V143" i="25"/>
  <c r="V156" i="25" s="1"/>
  <c r="O142" i="25"/>
  <c r="O155" i="25" s="1"/>
  <c r="H141" i="25"/>
  <c r="H154" i="25" s="1"/>
  <c r="AA49" i="25"/>
  <c r="C69" i="33" s="1"/>
  <c r="D69" i="33" s="1"/>
  <c r="S144" i="25"/>
  <c r="S157" i="25" s="1"/>
  <c r="L143" i="25"/>
  <c r="L156" i="25" s="1"/>
  <c r="E142" i="25"/>
  <c r="E155" i="25" s="1"/>
  <c r="W140" i="25"/>
  <c r="W153" i="25" s="1"/>
  <c r="P139" i="25"/>
  <c r="P152" i="25" s="1"/>
  <c r="S73" i="25"/>
  <c r="B73" i="25"/>
  <c r="W145" i="25"/>
  <c r="W158" i="25" s="1"/>
  <c r="P144" i="25"/>
  <c r="P157" i="25" s="1"/>
  <c r="I143" i="25"/>
  <c r="I156" i="25" s="1"/>
  <c r="S141" i="25"/>
  <c r="S154" i="25" s="1"/>
  <c r="L140" i="25"/>
  <c r="L153" i="25" s="1"/>
  <c r="E139" i="25"/>
  <c r="E152" i="25" s="1"/>
  <c r="P73" i="25"/>
  <c r="N145" i="25"/>
  <c r="N158" i="25" s="1"/>
  <c r="G144" i="25"/>
  <c r="G157" i="25" s="1"/>
  <c r="Y142" i="25"/>
  <c r="Y155" i="25" s="1"/>
  <c r="J141" i="25"/>
  <c r="J154" i="25" s="1"/>
  <c r="C140" i="25"/>
  <c r="C153" i="25" s="1"/>
  <c r="F120" i="25"/>
  <c r="S145" i="25"/>
  <c r="S158" i="25" s="1"/>
  <c r="L144" i="25"/>
  <c r="L157" i="25" s="1"/>
  <c r="E143" i="25"/>
  <c r="E156" i="25" s="1"/>
  <c r="W141" i="25"/>
  <c r="W154" i="25" s="1"/>
  <c r="P140" i="25"/>
  <c r="P153" i="25" s="1"/>
  <c r="I139" i="25"/>
  <c r="I152" i="25" s="1"/>
  <c r="S120" i="25"/>
  <c r="K73" i="25"/>
  <c r="Q145" i="25"/>
  <c r="Q158" i="25" s="1"/>
  <c r="B144" i="25"/>
  <c r="T142" i="25"/>
  <c r="T155" i="25" s="1"/>
  <c r="H145" i="25"/>
  <c r="H158" i="25" s="1"/>
  <c r="R143" i="25"/>
  <c r="R156" i="25" s="1"/>
  <c r="K142" i="25"/>
  <c r="K155" i="25" s="1"/>
  <c r="D141" i="25"/>
  <c r="D154" i="25" s="1"/>
  <c r="V139" i="25"/>
  <c r="V152" i="25" s="1"/>
  <c r="P120" i="25"/>
  <c r="H73" i="25"/>
  <c r="G120" i="25"/>
  <c r="U144" i="25"/>
  <c r="U157" i="25" s="1"/>
  <c r="N143" i="25"/>
  <c r="N156" i="25" s="1"/>
  <c r="G142" i="25"/>
  <c r="G155" i="25" s="1"/>
  <c r="Y140" i="25"/>
  <c r="Y153" i="25" s="1"/>
  <c r="U120" i="25"/>
  <c r="U73" i="25"/>
  <c r="L120" i="25"/>
  <c r="AA198" i="25"/>
  <c r="R145" i="25"/>
  <c r="R158" i="25" s="1"/>
  <c r="K144" i="25"/>
  <c r="K157" i="25" s="1"/>
  <c r="D143" i="25"/>
  <c r="D156" i="25" s="1"/>
  <c r="V141" i="25"/>
  <c r="V154" i="25" s="1"/>
  <c r="O140" i="25"/>
  <c r="O153" i="25" s="1"/>
  <c r="H139" i="25"/>
  <c r="H152" i="25" s="1"/>
  <c r="C73" i="25"/>
  <c r="B120" i="25"/>
  <c r="Y120" i="25"/>
  <c r="Y73" i="25"/>
  <c r="O145" i="25"/>
  <c r="O158" i="25" s="1"/>
  <c r="H144" i="25"/>
  <c r="H157" i="25" s="1"/>
  <c r="R142" i="25"/>
  <c r="R155" i="25" s="1"/>
  <c r="K141" i="25"/>
  <c r="K154" i="25" s="1"/>
  <c r="D140" i="25"/>
  <c r="D153" i="25" s="1"/>
  <c r="F145" i="25"/>
  <c r="F158" i="25" s="1"/>
  <c r="X143" i="25"/>
  <c r="X156" i="25" s="1"/>
  <c r="Q142" i="25"/>
  <c r="Q155" i="25" s="1"/>
  <c r="B141" i="25"/>
  <c r="T139" i="25"/>
  <c r="T152" i="25" s="1"/>
  <c r="V120" i="25"/>
  <c r="M73" i="25"/>
  <c r="K145" i="25"/>
  <c r="K158" i="25" s="1"/>
  <c r="D144" i="25"/>
  <c r="D157" i="25" s="1"/>
  <c r="V142" i="25"/>
  <c r="V155" i="25" s="1"/>
  <c r="O141" i="25"/>
  <c r="O154" i="25" s="1"/>
  <c r="H140" i="25"/>
  <c r="H153" i="25" s="1"/>
  <c r="T73" i="25"/>
  <c r="I145" i="25"/>
  <c r="I158" i="25" s="1"/>
  <c r="S143" i="25"/>
  <c r="S156" i="25" s="1"/>
  <c r="AA136" i="25"/>
  <c r="Y144" i="25"/>
  <c r="Y157" i="25" s="1"/>
  <c r="J143" i="25"/>
  <c r="J156" i="25" s="1"/>
  <c r="C142" i="25"/>
  <c r="C155" i="25" s="1"/>
  <c r="U140" i="25"/>
  <c r="U153" i="25" s="1"/>
  <c r="N139" i="25"/>
  <c r="Q73" i="25"/>
  <c r="W120" i="25"/>
  <c r="T145" i="25"/>
  <c r="T158" i="25" s="1"/>
  <c r="M144" i="25"/>
  <c r="M157" i="25" s="1"/>
  <c r="F143" i="25"/>
  <c r="F156" i="25" s="1"/>
  <c r="X141" i="25"/>
  <c r="X154" i="25" s="1"/>
  <c r="Q140" i="25"/>
  <c r="Q153" i="25" s="1"/>
  <c r="E73" i="25"/>
  <c r="D143" i="24"/>
  <c r="D156" i="24" s="1"/>
  <c r="S138" i="24"/>
  <c r="S151" i="24" s="1"/>
  <c r="N139" i="24"/>
  <c r="N152" i="24" s="1"/>
  <c r="V120" i="24"/>
  <c r="V136" i="24"/>
  <c r="V149" i="24" s="1"/>
  <c r="V175" i="24" s="1"/>
  <c r="V185" i="24" s="1"/>
  <c r="V216" i="24" s="1"/>
  <c r="P140" i="24"/>
  <c r="P153" i="24" s="1"/>
  <c r="J142" i="24"/>
  <c r="J155" i="24" s="1"/>
  <c r="C136" i="24"/>
  <c r="C149" i="24" s="1"/>
  <c r="C120" i="24"/>
  <c r="P144" i="24"/>
  <c r="P157" i="24" s="1"/>
  <c r="M120" i="24"/>
  <c r="M136" i="24"/>
  <c r="M149" i="24" s="1"/>
  <c r="M201" i="24" s="1"/>
  <c r="M211" i="24" s="1"/>
  <c r="M218" i="24" s="1"/>
  <c r="Y136" i="24"/>
  <c r="Y149" i="24" s="1"/>
  <c r="Y175" i="24" s="1"/>
  <c r="Y185" i="24" s="1"/>
  <c r="Y216" i="24" s="1"/>
  <c r="Y120" i="24"/>
  <c r="U145" i="24"/>
  <c r="U158" i="24" s="1"/>
  <c r="N144" i="24"/>
  <c r="N157" i="24" s="1"/>
  <c r="G143" i="24"/>
  <c r="G156" i="24" s="1"/>
  <c r="Q141" i="24"/>
  <c r="Q154" i="24" s="1"/>
  <c r="B140" i="24"/>
  <c r="T138" i="24"/>
  <c r="T151" i="24" s="1"/>
  <c r="M137" i="24"/>
  <c r="M150" i="24" s="1"/>
  <c r="F73" i="24"/>
  <c r="B155" i="24"/>
  <c r="S136" i="24"/>
  <c r="S149" i="24" s="1"/>
  <c r="S175" i="24" s="1"/>
  <c r="S185" i="24" s="1"/>
  <c r="S120" i="24"/>
  <c r="G138" i="24"/>
  <c r="G151" i="24" s="1"/>
  <c r="W120" i="24"/>
  <c r="W136" i="24"/>
  <c r="W149" i="24" s="1"/>
  <c r="W175" i="24" s="1"/>
  <c r="W185" i="24" s="1"/>
  <c r="W216" i="24" s="1"/>
  <c r="X73" i="24"/>
  <c r="M139" i="24"/>
  <c r="M152" i="24" s="1"/>
  <c r="O140" i="24"/>
  <c r="O153" i="24" s="1"/>
  <c r="T143" i="24"/>
  <c r="T156" i="24" s="1"/>
  <c r="R139" i="24"/>
  <c r="R152" i="24" s="1"/>
  <c r="K138" i="24"/>
  <c r="K151" i="24" s="1"/>
  <c r="L137" i="24"/>
  <c r="L150" i="24" s="1"/>
  <c r="E73" i="24"/>
  <c r="M140" i="24"/>
  <c r="M153" i="24" s="1"/>
  <c r="F139" i="24"/>
  <c r="F152" i="24" s="1"/>
  <c r="X137" i="24"/>
  <c r="X150" i="24" s="1"/>
  <c r="Q73" i="24"/>
  <c r="R141" i="24"/>
  <c r="R154" i="24" s="1"/>
  <c r="K140" i="24"/>
  <c r="K153" i="24" s="1"/>
  <c r="D139" i="24"/>
  <c r="D152" i="24" s="1"/>
  <c r="O120" i="24"/>
  <c r="O136" i="24"/>
  <c r="O149" i="24" s="1"/>
  <c r="O201" i="24" s="1"/>
  <c r="O211" i="24" s="1"/>
  <c r="O218" i="24" s="1"/>
  <c r="F120" i="24"/>
  <c r="F136" i="24"/>
  <c r="F149" i="24" s="1"/>
  <c r="X120" i="24"/>
  <c r="X136" i="24"/>
  <c r="X149" i="24" s="1"/>
  <c r="X175" i="24" s="1"/>
  <c r="X185" i="24" s="1"/>
  <c r="X216" i="24" s="1"/>
  <c r="L139" i="24"/>
  <c r="L152" i="24" s="1"/>
  <c r="H120" i="24"/>
  <c r="H136" i="24"/>
  <c r="H149" i="24" s="1"/>
  <c r="H162" i="24" s="1"/>
  <c r="H172" i="24" s="1"/>
  <c r="H215" i="24" s="1"/>
  <c r="V138" i="24"/>
  <c r="V151" i="24" s="1"/>
  <c r="S73" i="24"/>
  <c r="R138" i="24"/>
  <c r="R151" i="24" s="1"/>
  <c r="O145" i="24"/>
  <c r="O158" i="24" s="1"/>
  <c r="O141" i="24"/>
  <c r="O154" i="24" s="1"/>
  <c r="E120" i="24"/>
  <c r="E136" i="24"/>
  <c r="E149" i="24" s="1"/>
  <c r="AA49" i="24"/>
  <c r="C68" i="33" s="1"/>
  <c r="D68" i="33" s="1"/>
  <c r="M145" i="24"/>
  <c r="M158" i="24" s="1"/>
  <c r="F144" i="24"/>
  <c r="F157" i="24" s="1"/>
  <c r="X142" i="24"/>
  <c r="X155" i="24" s="1"/>
  <c r="I141" i="24"/>
  <c r="I154" i="24" s="1"/>
  <c r="S139" i="24"/>
  <c r="S152" i="24" s="1"/>
  <c r="L138" i="24"/>
  <c r="L151" i="24" s="1"/>
  <c r="E137" i="24"/>
  <c r="E150" i="24" s="1"/>
  <c r="F138" i="24"/>
  <c r="F151" i="24" s="1"/>
  <c r="P120" i="24"/>
  <c r="P136" i="24"/>
  <c r="P149" i="24" s="1"/>
  <c r="P201" i="24" s="1"/>
  <c r="P211" i="24" s="1"/>
  <c r="P218" i="24" s="1"/>
  <c r="X144" i="24"/>
  <c r="X157" i="24" s="1"/>
  <c r="C142" i="24"/>
  <c r="I142" i="24"/>
  <c r="I155" i="24" s="1"/>
  <c r="K73" i="24"/>
  <c r="B138" i="24"/>
  <c r="B151" i="24" s="1"/>
  <c r="C143" i="24"/>
  <c r="C156" i="24" s="1"/>
  <c r="L140" i="24"/>
  <c r="L153" i="24" s="1"/>
  <c r="Y140" i="24"/>
  <c r="Y153" i="24" s="1"/>
  <c r="J139" i="24"/>
  <c r="J152" i="24" s="1"/>
  <c r="C138" i="24"/>
  <c r="C151" i="24" s="1"/>
  <c r="L141" i="24"/>
  <c r="L154" i="24" s="1"/>
  <c r="E140" i="24"/>
  <c r="E153" i="24" s="1"/>
  <c r="P137" i="24"/>
  <c r="P150" i="24" s="1"/>
  <c r="Q136" i="24"/>
  <c r="Q149" i="24" s="1"/>
  <c r="Q201" i="24" s="1"/>
  <c r="Q211" i="24" s="1"/>
  <c r="Q218" i="24" s="1"/>
  <c r="Q120" i="24"/>
  <c r="J141" i="24"/>
  <c r="J154" i="24" s="1"/>
  <c r="C140" i="24"/>
  <c r="C153" i="24" s="1"/>
  <c r="U138" i="24"/>
  <c r="U151" i="24" s="1"/>
  <c r="G120" i="24"/>
  <c r="G136" i="24"/>
  <c r="G149" i="24" s="1"/>
  <c r="N138" i="24"/>
  <c r="N151" i="24" s="1"/>
  <c r="L120" i="24"/>
  <c r="P73" i="24"/>
  <c r="B216" i="24"/>
  <c r="L73" i="24"/>
  <c r="C73" i="24"/>
  <c r="K137" i="24"/>
  <c r="K150" i="24" s="1"/>
  <c r="S141" i="24"/>
  <c r="S154" i="24" s="1"/>
  <c r="W139" i="24"/>
  <c r="W152" i="24" s="1"/>
  <c r="D137" i="24"/>
  <c r="D150" i="24" s="1"/>
  <c r="I73" i="24"/>
  <c r="E145" i="24"/>
  <c r="E158" i="24" s="1"/>
  <c r="W143" i="24"/>
  <c r="W156" i="24" s="1"/>
  <c r="H142" i="24"/>
  <c r="H155" i="24" s="1"/>
  <c r="R140" i="24"/>
  <c r="R153" i="24" s="1"/>
  <c r="K139" i="24"/>
  <c r="K152" i="24" s="1"/>
  <c r="D138" i="24"/>
  <c r="D151" i="24" s="1"/>
  <c r="N73" i="24"/>
  <c r="O137" i="24"/>
  <c r="O150" i="24" s="1"/>
  <c r="AA198" i="24"/>
  <c r="U140" i="24"/>
  <c r="U153" i="24" s="1"/>
  <c r="H144" i="24"/>
  <c r="H157" i="24" s="1"/>
  <c r="T136" i="24"/>
  <c r="T149" i="24" s="1"/>
  <c r="T175" i="24" s="1"/>
  <c r="T185" i="24" s="1"/>
  <c r="T216" i="24" s="1"/>
  <c r="T120" i="24"/>
  <c r="N140" i="24"/>
  <c r="N153" i="24" s="1"/>
  <c r="R136" i="24"/>
  <c r="R149" i="24" s="1"/>
  <c r="R201" i="24" s="1"/>
  <c r="R211" i="24" s="1"/>
  <c r="R218" i="24" s="1"/>
  <c r="R120" i="24"/>
  <c r="Q140" i="24"/>
  <c r="Q153" i="24" s="1"/>
  <c r="B139" i="24"/>
  <c r="B152" i="24" s="1"/>
  <c r="U73" i="24"/>
  <c r="B157" i="24"/>
  <c r="D141" i="24"/>
  <c r="V139" i="24"/>
  <c r="V152" i="24" s="1"/>
  <c r="O138" i="24"/>
  <c r="O151" i="24" s="1"/>
  <c r="H137" i="24"/>
  <c r="H150" i="24" s="1"/>
  <c r="Q142" i="24"/>
  <c r="Q155" i="24" s="1"/>
  <c r="B154" i="24"/>
  <c r="T139" i="24"/>
  <c r="T152" i="24" s="1"/>
  <c r="M138" i="24"/>
  <c r="M151" i="24" s="1"/>
  <c r="P142" i="24"/>
  <c r="P155" i="24" s="1"/>
  <c r="N120" i="24"/>
  <c r="N136" i="24"/>
  <c r="N149" i="24" s="1"/>
  <c r="N201" i="24" s="1"/>
  <c r="N211" i="24" s="1"/>
  <c r="N218" i="24" s="1"/>
  <c r="W137" i="24"/>
  <c r="W150" i="24" s="1"/>
  <c r="G137" i="24"/>
  <c r="G150" i="24" s="1"/>
  <c r="H73" i="24"/>
  <c r="M73" i="24"/>
  <c r="R145" i="24"/>
  <c r="R158" i="24" s="1"/>
  <c r="Q145" i="24"/>
  <c r="D136" i="24"/>
  <c r="D149" i="24" s="1"/>
  <c r="D120" i="24"/>
  <c r="J137" i="24"/>
  <c r="J150" i="24" s="1"/>
  <c r="B136" i="24"/>
  <c r="B120" i="24"/>
  <c r="T137" i="24"/>
  <c r="T150" i="24" s="1"/>
  <c r="U120" i="24"/>
  <c r="U136" i="24"/>
  <c r="U149" i="24" s="1"/>
  <c r="U175" i="24" s="1"/>
  <c r="U185" i="24" s="1"/>
  <c r="U216" i="24" s="1"/>
  <c r="Y73" i="24"/>
  <c r="I136" i="24"/>
  <c r="I149" i="24" s="1"/>
  <c r="I162" i="24" s="1"/>
  <c r="I172" i="24" s="1"/>
  <c r="I215" i="24" s="1"/>
  <c r="I120" i="24"/>
  <c r="V144" i="24"/>
  <c r="V157" i="24" s="1"/>
  <c r="O143" i="24"/>
  <c r="Y141" i="24"/>
  <c r="Y154" i="24" s="1"/>
  <c r="J140" i="24"/>
  <c r="J153" i="24" s="1"/>
  <c r="C139" i="24"/>
  <c r="C152" i="24" s="1"/>
  <c r="U137" i="24"/>
  <c r="U150" i="24" s="1"/>
  <c r="V73" i="24"/>
  <c r="I61" i="23"/>
  <c r="J61" i="23"/>
  <c r="H16" i="23" s="1"/>
  <c r="K61" i="23"/>
  <c r="H17" i="23" s="1"/>
  <c r="H61" i="23"/>
  <c r="H15" i="23" s="1"/>
  <c r="BN29" i="18"/>
  <c r="BO29" i="18"/>
  <c r="BX29" i="18"/>
  <c r="AO29" i="18"/>
  <c r="BK29" i="18"/>
  <c r="AU29" i="18"/>
  <c r="BW29" i="18"/>
  <c r="AQ29" i="18"/>
  <c r="BB29" i="18"/>
  <c r="BS29" i="18"/>
  <c r="BE29" i="18"/>
  <c r="AX29" i="18"/>
  <c r="BQ29" i="18"/>
  <c r="BZ29" i="18"/>
  <c r="BD29" i="18"/>
  <c r="CC29" i="18"/>
  <c r="AY29" i="18"/>
  <c r="BA29" i="18"/>
  <c r="BU29" i="18"/>
  <c r="BI29" i="18"/>
  <c r="BC29" i="18"/>
  <c r="CD29" i="18"/>
  <c r="BV29" i="18"/>
  <c r="BG29" i="18"/>
  <c r="BY29" i="18"/>
  <c r="CA29" i="18"/>
  <c r="AL29" i="18"/>
  <c r="AR29" i="18"/>
  <c r="AP29" i="18"/>
  <c r="AM29" i="18"/>
  <c r="CE29" i="18"/>
  <c r="AT29" i="18"/>
  <c r="BL29" i="18"/>
  <c r="BT29" i="18"/>
  <c r="AV29" i="18"/>
  <c r="AW29" i="18"/>
  <c r="AZ29" i="18"/>
  <c r="BJ29" i="18"/>
  <c r="AN29" i="18"/>
  <c r="BH29" i="18"/>
  <c r="BR29" i="18"/>
  <c r="CB29" i="18"/>
  <c r="BF29" i="18"/>
  <c r="BP29" i="18"/>
  <c r="AS29" i="18"/>
  <c r="BM29" i="18"/>
  <c r="BH22" i="18"/>
  <c r="BQ22" i="18"/>
  <c r="BC22" i="18"/>
  <c r="CB22" i="18"/>
  <c r="BF22" i="18"/>
  <c r="BO22" i="18"/>
  <c r="BY22" i="18"/>
  <c r="BK22" i="18"/>
  <c r="AV22" i="18"/>
  <c r="BN22" i="18"/>
  <c r="BW22" i="18"/>
  <c r="AR22" i="18"/>
  <c r="BJ22" i="18"/>
  <c r="AU22" i="18"/>
  <c r="BU22" i="18"/>
  <c r="AZ22" i="18"/>
  <c r="BR22" i="18"/>
  <c r="BE22" i="18"/>
  <c r="BA22" i="18"/>
  <c r="BX22" i="18"/>
  <c r="BZ22" i="18"/>
  <c r="BM22" i="18"/>
  <c r="BG22" i="18"/>
  <c r="AT22" i="18"/>
  <c r="CC22" i="18"/>
  <c r="CE22" i="18"/>
  <c r="BI22" i="18"/>
  <c r="BS22" i="18"/>
  <c r="AW22" i="18"/>
  <c r="AQ22" i="18"/>
  <c r="BV22" i="18"/>
  <c r="CA22" i="18"/>
  <c r="AO22" i="18"/>
  <c r="BD22" i="18"/>
  <c r="AS22" i="18"/>
  <c r="BL22" i="18"/>
  <c r="CD22" i="18"/>
  <c r="BP22" i="18"/>
  <c r="BB22" i="18"/>
  <c r="BT22" i="18"/>
  <c r="AY22" i="18"/>
  <c r="AW25" i="18"/>
  <c r="AX25" i="18"/>
  <c r="BY25" i="18"/>
  <c r="BA25" i="18"/>
  <c r="BT25" i="18"/>
  <c r="AV25" i="18"/>
  <c r="CD25" i="18"/>
  <c r="BN25" i="18"/>
  <c r="BH25" i="18"/>
  <c r="BC25" i="18"/>
  <c r="CB25" i="18"/>
  <c r="BO25" i="18"/>
  <c r="AQ25" i="18"/>
  <c r="BJ25" i="18"/>
  <c r="CA25" i="18"/>
  <c r="BE25" i="18"/>
  <c r="BV25" i="18"/>
  <c r="AO25" i="18"/>
  <c r="AY25" i="18"/>
  <c r="BK25" i="18"/>
  <c r="BU25" i="18"/>
  <c r="BI25" i="18"/>
  <c r="BS25" i="18"/>
  <c r="CC25" i="18"/>
  <c r="BG25" i="18"/>
  <c r="BQ25" i="18"/>
  <c r="AT25" i="18"/>
  <c r="AP25" i="18"/>
  <c r="AU25" i="18"/>
  <c r="BW25" i="18"/>
  <c r="AZ25" i="18"/>
  <c r="BD25" i="18"/>
  <c r="CE25" i="18"/>
  <c r="BB25" i="18"/>
  <c r="BL25" i="18"/>
  <c r="BR25" i="18"/>
  <c r="BP25" i="18"/>
  <c r="BZ25" i="18"/>
  <c r="BF25" i="18"/>
  <c r="BX25" i="18"/>
  <c r="AS25" i="18"/>
  <c r="BM25" i="18"/>
  <c r="BC27" i="18"/>
  <c r="BT27" i="18"/>
  <c r="AR27" i="18"/>
  <c r="AM27" i="18"/>
  <c r="BX27" i="18"/>
  <c r="AW27" i="18"/>
  <c r="BS27" i="18"/>
  <c r="AQ27" i="18"/>
  <c r="BF27" i="18"/>
  <c r="BO27" i="18"/>
  <c r="BI27" i="18"/>
  <c r="BZ27" i="18"/>
  <c r="BE27" i="18"/>
  <c r="CA27" i="18"/>
  <c r="AY27" i="18"/>
  <c r="BN27" i="18"/>
  <c r="BW27" i="18"/>
  <c r="BQ27" i="18"/>
  <c r="AO27" i="18"/>
  <c r="AP27" i="18"/>
  <c r="BV27" i="18"/>
  <c r="CE27" i="18"/>
  <c r="BY27" i="18"/>
  <c r="AL27" i="18"/>
  <c r="BD27" i="18"/>
  <c r="BU27" i="18"/>
  <c r="AS27" i="18"/>
  <c r="BH27" i="18"/>
  <c r="BB27" i="18"/>
  <c r="BL27" i="18"/>
  <c r="CC27" i="18"/>
  <c r="BA27" i="18"/>
  <c r="BP27" i="18"/>
  <c r="BJ27" i="18"/>
  <c r="BK27" i="18"/>
  <c r="AU27" i="18"/>
  <c r="AX27" i="18"/>
  <c r="AV27" i="18"/>
  <c r="CB27" i="18"/>
  <c r="BR27" i="18"/>
  <c r="CD27" i="18"/>
  <c r="BM27" i="18"/>
  <c r="AZ27" i="18"/>
  <c r="BG27" i="18"/>
  <c r="AT27" i="18"/>
  <c r="BE23" i="18"/>
  <c r="BV23" i="18"/>
  <c r="AT23" i="18"/>
  <c r="AV23" i="18"/>
  <c r="BC23" i="18"/>
  <c r="BL23" i="18"/>
  <c r="BU23" i="18"/>
  <c r="AS23" i="18"/>
  <c r="BP23" i="18"/>
  <c r="CB23" i="18"/>
  <c r="BK23" i="18"/>
  <c r="BT23" i="18"/>
  <c r="CC23" i="18"/>
  <c r="BA23" i="18"/>
  <c r="BX23" i="18"/>
  <c r="BZ23" i="18"/>
  <c r="AW23" i="18"/>
  <c r="BJ23" i="18"/>
  <c r="AU23" i="18"/>
  <c r="BS23" i="18"/>
  <c r="AR23" i="18"/>
  <c r="BG23" i="18"/>
  <c r="AP23" i="18"/>
  <c r="AY23" i="18"/>
  <c r="BF23" i="18"/>
  <c r="BW23" i="18"/>
  <c r="BQ23" i="18"/>
  <c r="BB23" i="18"/>
  <c r="AO23" i="18"/>
  <c r="BI23" i="18"/>
  <c r="BM23" i="18"/>
  <c r="BY23" i="18"/>
  <c r="AZ23" i="18"/>
  <c r="AX23" i="18"/>
  <c r="BO23" i="18"/>
  <c r="BN23" i="18"/>
  <c r="BR23" i="18"/>
  <c r="CA23" i="18"/>
  <c r="CD23" i="18"/>
  <c r="BD23" i="18"/>
  <c r="CE23" i="18"/>
  <c r="AQ23" i="18"/>
  <c r="BH23" i="18"/>
  <c r="BH30" i="18"/>
  <c r="BX30" i="18"/>
  <c r="BJ30" i="18"/>
  <c r="AV30" i="18"/>
  <c r="BU30" i="18"/>
  <c r="AQ30" i="18"/>
  <c r="AZ30" i="18"/>
  <c r="AN30" i="18"/>
  <c r="BR30" i="18"/>
  <c r="BD30" i="18"/>
  <c r="CC30" i="18"/>
  <c r="AY30" i="18"/>
  <c r="BQ30" i="18"/>
  <c r="BC30" i="18"/>
  <c r="CB30" i="18"/>
  <c r="BF30" i="18"/>
  <c r="BO30" i="18"/>
  <c r="BP30" i="18"/>
  <c r="BI30" i="18"/>
  <c r="CA30" i="18"/>
  <c r="BN30" i="18"/>
  <c r="BY30" i="18"/>
  <c r="BL30" i="18"/>
  <c r="BV30" i="18"/>
  <c r="AS30" i="18"/>
  <c r="AT30" i="18"/>
  <c r="BT30" i="18"/>
  <c r="CD30" i="18"/>
  <c r="AL30" i="18"/>
  <c r="AU30" i="18"/>
  <c r="AM30" i="18"/>
  <c r="BB30" i="18"/>
  <c r="AW30" i="18"/>
  <c r="AO30" i="18"/>
  <c r="BW30" i="18"/>
  <c r="BZ30" i="18"/>
  <c r="BE30" i="18"/>
  <c r="BG30" i="18"/>
  <c r="BM30" i="18"/>
  <c r="BK30" i="18"/>
  <c r="AP30" i="18"/>
  <c r="CE30" i="18"/>
  <c r="BA30" i="18"/>
  <c r="BS30" i="18"/>
  <c r="AX30" i="18"/>
  <c r="AR30" i="18"/>
  <c r="BD20" i="18"/>
  <c r="BL20" i="18"/>
  <c r="AZ20" i="18"/>
  <c r="AO20" i="18"/>
  <c r="BW20" i="18"/>
  <c r="BQ20" i="18"/>
  <c r="AX20" i="18"/>
  <c r="BT20" i="18"/>
  <c r="BF20" i="18"/>
  <c r="CE20" i="18"/>
  <c r="BY20" i="18"/>
  <c r="BC20" i="18"/>
  <c r="BU20" i="18"/>
  <c r="CD20" i="18"/>
  <c r="BP20" i="18"/>
  <c r="BJ20" i="18"/>
  <c r="CA20" i="18"/>
  <c r="BN20" i="18"/>
  <c r="AV20" i="18"/>
  <c r="BS20" i="18"/>
  <c r="BV20" i="18"/>
  <c r="BI20" i="18"/>
  <c r="AQ20" i="18"/>
  <c r="AT20" i="18"/>
  <c r="AW20" i="18"/>
  <c r="AY20" i="18"/>
  <c r="AU20" i="18"/>
  <c r="BE20" i="18"/>
  <c r="BG20" i="18"/>
  <c r="BB20" i="18"/>
  <c r="CC20" i="18"/>
  <c r="BM20" i="18"/>
  <c r="BO20" i="18"/>
  <c r="BR20" i="18"/>
  <c r="BZ20" i="18"/>
  <c r="AS20" i="18"/>
  <c r="BH20" i="18"/>
  <c r="AP20" i="18"/>
  <c r="BA20" i="18"/>
  <c r="BX20" i="18"/>
  <c r="BK20" i="18"/>
  <c r="CB20" i="18"/>
  <c r="AW31" i="18"/>
  <c r="BB31" i="18"/>
  <c r="BK31" i="18"/>
  <c r="CB31" i="18"/>
  <c r="AZ31" i="18"/>
  <c r="BO31" i="18"/>
  <c r="BI31" i="18"/>
  <c r="CA31" i="18"/>
  <c r="BN31" i="18"/>
  <c r="BS31" i="18"/>
  <c r="AQ31" i="18"/>
  <c r="BF31" i="18"/>
  <c r="BW31" i="18"/>
  <c r="BQ31" i="18"/>
  <c r="AL31" i="18"/>
  <c r="AY31" i="18"/>
  <c r="AX31" i="18"/>
  <c r="BM31" i="18"/>
  <c r="CD31" i="18"/>
  <c r="BH31" i="18"/>
  <c r="BJ31" i="18"/>
  <c r="BU31" i="18"/>
  <c r="AT31" i="18"/>
  <c r="AO31" i="18"/>
  <c r="CC31" i="18"/>
  <c r="BP31" i="18"/>
  <c r="BZ31" i="18"/>
  <c r="BC31" i="18"/>
  <c r="AR31" i="18"/>
  <c r="BX31" i="18"/>
  <c r="BL31" i="18"/>
  <c r="AP31" i="18"/>
  <c r="BV31" i="18"/>
  <c r="AU31" i="18"/>
  <c r="AV31" i="18"/>
  <c r="BR31" i="18"/>
  <c r="BD31" i="18"/>
  <c r="AS31" i="18"/>
  <c r="BY31" i="18"/>
  <c r="AM31" i="18"/>
  <c r="BA31" i="18"/>
  <c r="BT31" i="18"/>
  <c r="BG31" i="18"/>
  <c r="BE31" i="18"/>
  <c r="CE31" i="18"/>
  <c r="AN31" i="18"/>
  <c r="BF21" i="18"/>
  <c r="CD21" i="18"/>
  <c r="BO21" i="18"/>
  <c r="AX21" i="18"/>
  <c r="BB21" i="18"/>
  <c r="BK21" i="18"/>
  <c r="CB21" i="18"/>
  <c r="BW21" i="18"/>
  <c r="BJ21" i="18"/>
  <c r="BS21" i="18"/>
  <c r="AT21" i="18"/>
  <c r="BH21" i="18"/>
  <c r="BY21" i="18"/>
  <c r="AR21" i="18"/>
  <c r="BA21" i="18"/>
  <c r="BU21" i="18"/>
  <c r="BQ21" i="18"/>
  <c r="BC21" i="18"/>
  <c r="CC21" i="18"/>
  <c r="AU21" i="18"/>
  <c r="CE21" i="18"/>
  <c r="AY21" i="18"/>
  <c r="AS21" i="18"/>
  <c r="BX21" i="18"/>
  <c r="AV21" i="18"/>
  <c r="BG21" i="18"/>
  <c r="AW21" i="18"/>
  <c r="BD21" i="18"/>
  <c r="BT21" i="18"/>
  <c r="BN21" i="18"/>
  <c r="BP21" i="18"/>
  <c r="BR21" i="18"/>
  <c r="BL21" i="18"/>
  <c r="BZ21" i="18"/>
  <c r="CA21" i="18"/>
  <c r="AP21" i="18"/>
  <c r="AZ21" i="18"/>
  <c r="BE21" i="18"/>
  <c r="BV21" i="18"/>
  <c r="BI21" i="18"/>
  <c r="AO21" i="18"/>
  <c r="BM21" i="18"/>
  <c r="AS28" i="18"/>
  <c r="CB28" i="18"/>
  <c r="BE28" i="18"/>
  <c r="CD28" i="18"/>
  <c r="BP28" i="18"/>
  <c r="BB28" i="18"/>
  <c r="BK28" i="18"/>
  <c r="BT28" i="18"/>
  <c r="AO28" i="18"/>
  <c r="BM28" i="18"/>
  <c r="AU28" i="18"/>
  <c r="BX28" i="18"/>
  <c r="BJ28" i="18"/>
  <c r="BS28" i="18"/>
  <c r="AN28" i="18"/>
  <c r="AT28" i="18"/>
  <c r="BW28" i="18"/>
  <c r="BQ28" i="18"/>
  <c r="AQ28" i="18"/>
  <c r="AZ28" i="18"/>
  <c r="BV28" i="18"/>
  <c r="BY28" i="18"/>
  <c r="CA28" i="18"/>
  <c r="BG28" i="18"/>
  <c r="AR28" i="18"/>
  <c r="BO28" i="18"/>
  <c r="AX28" i="18"/>
  <c r="BH28" i="18"/>
  <c r="BL28" i="18"/>
  <c r="CE28" i="18"/>
  <c r="BR28" i="18"/>
  <c r="CC28" i="18"/>
  <c r="AP28" i="18"/>
  <c r="BU28" i="18"/>
  <c r="AV28" i="18"/>
  <c r="BZ28" i="18"/>
  <c r="AY28" i="18"/>
  <c r="BD28" i="18"/>
  <c r="BF28" i="18"/>
  <c r="AW28" i="18"/>
  <c r="AM28" i="18"/>
  <c r="BN28" i="18"/>
  <c r="BI28" i="18"/>
  <c r="BC28" i="18"/>
  <c r="BT24" i="18"/>
  <c r="BE24" i="18"/>
  <c r="CD24" i="18"/>
  <c r="BH24" i="18"/>
  <c r="AY24" i="18"/>
  <c r="BM24" i="18"/>
  <c r="AU24" i="18"/>
  <c r="BP24" i="18"/>
  <c r="AX24" i="18"/>
  <c r="BC24" i="18"/>
  <c r="AT24" i="18"/>
  <c r="BW24" i="18"/>
  <c r="BJ24" i="18"/>
  <c r="CA24" i="18"/>
  <c r="CC24" i="18"/>
  <c r="BR24" i="18"/>
  <c r="BL24" i="18"/>
  <c r="BF24" i="18"/>
  <c r="BX24" i="18"/>
  <c r="BZ24" i="18"/>
  <c r="BN24" i="18"/>
  <c r="AW24" i="18"/>
  <c r="AQ24" i="18"/>
  <c r="BA24" i="18"/>
  <c r="AR24" i="18"/>
  <c r="BV24" i="18"/>
  <c r="BI24" i="18"/>
  <c r="BK24" i="18"/>
  <c r="AS24" i="18"/>
  <c r="BY24" i="18"/>
  <c r="BG24" i="18"/>
  <c r="BQ24" i="18"/>
  <c r="BS24" i="18"/>
  <c r="BO24" i="18"/>
  <c r="BD24" i="18"/>
  <c r="CE24" i="18"/>
  <c r="AO24" i="18"/>
  <c r="AZ24" i="18"/>
  <c r="BU24" i="18"/>
  <c r="AV24" i="18"/>
  <c r="BB24" i="18"/>
  <c r="CB24" i="18"/>
  <c r="AZ18" i="18"/>
  <c r="BH18" i="18"/>
  <c r="BR18" i="18"/>
  <c r="BD18" i="18"/>
  <c r="CC18" i="18"/>
  <c r="BG18" i="18"/>
  <c r="AO18" i="18"/>
  <c r="BI18" i="18"/>
  <c r="BZ18" i="18"/>
  <c r="BL18" i="18"/>
  <c r="AW18" i="18"/>
  <c r="BO18" i="18"/>
  <c r="BP18" i="18"/>
  <c r="AS18" i="18"/>
  <c r="BK18" i="18"/>
  <c r="AV18" i="18"/>
  <c r="BV18" i="18"/>
  <c r="AQ18" i="18"/>
  <c r="BQ18" i="18"/>
  <c r="CA18" i="18"/>
  <c r="BN18" i="18"/>
  <c r="BX18" i="18"/>
  <c r="BY18" i="18"/>
  <c r="AU18" i="18"/>
  <c r="CD18" i="18"/>
  <c r="AR18" i="18"/>
  <c r="BA18" i="18"/>
  <c r="BT18" i="18"/>
  <c r="AP18" i="18"/>
  <c r="AT18" i="18"/>
  <c r="BB18" i="18"/>
  <c r="CB18" i="18"/>
  <c r="AX18" i="18"/>
  <c r="CE18" i="18"/>
  <c r="BJ18" i="18"/>
  <c r="BE18" i="18"/>
  <c r="BW18" i="18"/>
  <c r="BM18" i="18"/>
  <c r="BC18" i="18"/>
  <c r="BU18" i="18"/>
  <c r="AY18" i="18"/>
  <c r="BS18" i="18"/>
  <c r="BF18" i="18"/>
  <c r="CA19" i="18"/>
  <c r="BE19" i="18"/>
  <c r="BV19" i="18"/>
  <c r="AS19" i="18"/>
  <c r="BI19" i="18"/>
  <c r="BR19" i="18"/>
  <c r="BD19" i="18"/>
  <c r="BU19" i="18"/>
  <c r="AR19" i="18"/>
  <c r="BY19" i="18"/>
  <c r="BL19" i="18"/>
  <c r="CC19" i="18"/>
  <c r="AZ19" i="18"/>
  <c r="BH19" i="18"/>
  <c r="AU19" i="18"/>
  <c r="BT19" i="18"/>
  <c r="AQ19" i="18"/>
  <c r="BG19" i="18"/>
  <c r="BP19" i="18"/>
  <c r="BB19" i="18"/>
  <c r="BK19" i="18"/>
  <c r="BF19" i="18"/>
  <c r="BW19" i="18"/>
  <c r="AT19" i="18"/>
  <c r="AV19" i="18"/>
  <c r="BS19" i="18"/>
  <c r="AY19" i="18"/>
  <c r="BQ19" i="18"/>
  <c r="BN19" i="18"/>
  <c r="BZ19" i="18"/>
  <c r="CD19" i="18"/>
  <c r="BJ19" i="18"/>
  <c r="BC19" i="18"/>
  <c r="BO19" i="18"/>
  <c r="CB19" i="18"/>
  <c r="AW19" i="18"/>
  <c r="CE19" i="18"/>
  <c r="BA19" i="18"/>
  <c r="AX19" i="18"/>
  <c r="BX19" i="18"/>
  <c r="BM19" i="18"/>
  <c r="BP26" i="18"/>
  <c r="BX26" i="18"/>
  <c r="AS26" i="18"/>
  <c r="BQ26" i="18"/>
  <c r="AU26" i="18"/>
  <c r="BD26" i="18"/>
  <c r="CC26" i="18"/>
  <c r="AY26" i="18"/>
  <c r="BY26" i="18"/>
  <c r="AN26" i="18"/>
  <c r="BL26" i="18"/>
  <c r="AP26" i="18"/>
  <c r="BG26" i="18"/>
  <c r="BB26" i="18"/>
  <c r="BS26" i="18"/>
  <c r="AW26" i="18"/>
  <c r="BN26" i="18"/>
  <c r="CE26" i="18"/>
  <c r="AT26" i="18"/>
  <c r="AV26" i="18"/>
  <c r="BF26" i="18"/>
  <c r="AL26" i="18"/>
  <c r="AM26" i="18"/>
  <c r="AO26" i="18"/>
  <c r="BV26" i="18"/>
  <c r="BJ26" i="18"/>
  <c r="BT26" i="18"/>
  <c r="CD26" i="18"/>
  <c r="BW26" i="18"/>
  <c r="BR26" i="18"/>
  <c r="CB26" i="18"/>
  <c r="AQ26" i="18"/>
  <c r="BM26" i="18"/>
  <c r="BZ26" i="18"/>
  <c r="BE26" i="18"/>
  <c r="BO26" i="18"/>
  <c r="BH26" i="18"/>
  <c r="BA26" i="18"/>
  <c r="BC26" i="18"/>
  <c r="BK26" i="18"/>
  <c r="BU26" i="18"/>
  <c r="AR26" i="18"/>
  <c r="BI26" i="18"/>
  <c r="CA26" i="18"/>
  <c r="AX26" i="18"/>
  <c r="AZ26" i="18"/>
  <c r="C217" i="33" l="1"/>
  <c r="D248" i="33"/>
  <c r="AC18" i="31"/>
  <c r="AH16" i="31"/>
  <c r="AJ16" i="31"/>
  <c r="AC20" i="31"/>
  <c r="AC19" i="31"/>
  <c r="AG16" i="31"/>
  <c r="AI16" i="31"/>
  <c r="AF16" i="31"/>
  <c r="AT54" i="18"/>
  <c r="BX54" i="18"/>
  <c r="AT14" i="22" s="1"/>
  <c r="C50" i="22" s="1"/>
  <c r="AS54" i="18"/>
  <c r="BE54" i="18"/>
  <c r="BN54" i="18"/>
  <c r="AJ14" i="22" s="1"/>
  <c r="C40" i="22" s="1"/>
  <c r="BG54" i="18"/>
  <c r="BF54" i="18"/>
  <c r="BJ54" i="18"/>
  <c r="AF14" i="22" s="1"/>
  <c r="C36" i="22" s="1"/>
  <c r="BT54" i="18"/>
  <c r="AP14" i="22" s="1"/>
  <c r="C46" i="22" s="1"/>
  <c r="CA54" i="18"/>
  <c r="AW14" i="22" s="1"/>
  <c r="C53" i="22" s="1"/>
  <c r="BP54" i="18"/>
  <c r="AL14" i="22" s="1"/>
  <c r="C42" i="22" s="1"/>
  <c r="CC54" i="18"/>
  <c r="AY14" i="22" s="1"/>
  <c r="C55" i="22" s="1"/>
  <c r="CE54" i="18"/>
  <c r="BA14" i="22" s="1"/>
  <c r="C57" i="22" s="1"/>
  <c r="BQ54" i="18"/>
  <c r="AM14" i="22" s="1"/>
  <c r="C43" i="22" s="1"/>
  <c r="BS54" i="18"/>
  <c r="AO14" i="22" s="1"/>
  <c r="C45" i="22" s="1"/>
  <c r="BD54" i="18"/>
  <c r="AY54" i="18"/>
  <c r="AW54" i="18"/>
  <c r="BR54" i="18"/>
  <c r="AN14" i="22" s="1"/>
  <c r="C44" i="22" s="1"/>
  <c r="BO54" i="18"/>
  <c r="AK14" i="22" s="1"/>
  <c r="C41" i="22" s="1"/>
  <c r="BU54" i="18"/>
  <c r="AQ14" i="22" s="1"/>
  <c r="C47" i="22" s="1"/>
  <c r="CB54" i="18"/>
  <c r="AX14" i="22" s="1"/>
  <c r="C54" i="22" s="1"/>
  <c r="CD54" i="18"/>
  <c r="AZ14" i="22" s="1"/>
  <c r="C56" i="22" s="1"/>
  <c r="BV54" i="18"/>
  <c r="AR14" i="22" s="1"/>
  <c r="C48" i="22" s="1"/>
  <c r="BL54" i="18"/>
  <c r="AH14" i="22" s="1"/>
  <c r="C38" i="22" s="1"/>
  <c r="BH54" i="18"/>
  <c r="BW54" i="18"/>
  <c r="AS14" i="22" s="1"/>
  <c r="C49" i="22" s="1"/>
  <c r="BC54" i="18"/>
  <c r="AU54" i="18"/>
  <c r="AV54" i="18"/>
  <c r="AZ54" i="18"/>
  <c r="BZ54" i="18"/>
  <c r="AV14" i="22" s="1"/>
  <c r="C52" i="22" s="1"/>
  <c r="BM54" i="18"/>
  <c r="AI14" i="22" s="1"/>
  <c r="C39" i="22" s="1"/>
  <c r="BY54" i="18"/>
  <c r="AU14" i="22" s="1"/>
  <c r="C51" i="22" s="1"/>
  <c r="BK54" i="18"/>
  <c r="AG14" i="22" s="1"/>
  <c r="C37" i="22" s="1"/>
  <c r="BI54" i="18"/>
  <c r="AA137" i="25"/>
  <c r="AA139" i="25"/>
  <c r="AA73" i="24"/>
  <c r="AD56" i="24" s="1"/>
  <c r="AA141" i="24"/>
  <c r="AA141" i="26"/>
  <c r="AA137" i="26"/>
  <c r="AA140" i="26"/>
  <c r="AA136" i="24"/>
  <c r="AA143" i="24"/>
  <c r="AA145" i="24"/>
  <c r="AA142" i="24"/>
  <c r="Q158" i="24"/>
  <c r="AA144" i="24"/>
  <c r="I215" i="26"/>
  <c r="AA172" i="26"/>
  <c r="L218" i="26"/>
  <c r="AA221" i="26" s="1"/>
  <c r="AA211" i="26"/>
  <c r="J216" i="26"/>
  <c r="AA185" i="26"/>
  <c r="AA138" i="26"/>
  <c r="I153" i="26"/>
  <c r="AA144" i="26"/>
  <c r="AA73" i="26"/>
  <c r="AD56" i="26" s="1"/>
  <c r="AA139" i="26"/>
  <c r="AA143" i="26"/>
  <c r="AA136" i="26"/>
  <c r="N154" i="26"/>
  <c r="AA145" i="26"/>
  <c r="AA120" i="26"/>
  <c r="AA142" i="26"/>
  <c r="AA144" i="25"/>
  <c r="AA73" i="25"/>
  <c r="AD56" i="25" s="1"/>
  <c r="AA220" i="25"/>
  <c r="AA219" i="25"/>
  <c r="AA120" i="25"/>
  <c r="B157" i="25"/>
  <c r="AA140" i="25"/>
  <c r="AA143" i="25"/>
  <c r="N152" i="25"/>
  <c r="AA142" i="25"/>
  <c r="B155" i="25"/>
  <c r="AA141" i="25"/>
  <c r="AA145" i="25"/>
  <c r="B154" i="25"/>
  <c r="S216" i="24"/>
  <c r="AA219" i="24" s="1"/>
  <c r="AA185" i="24"/>
  <c r="AA221" i="24"/>
  <c r="O156" i="24"/>
  <c r="AA172" i="24"/>
  <c r="AA137" i="24"/>
  <c r="D154" i="24"/>
  <c r="AA140" i="24"/>
  <c r="AA211" i="24"/>
  <c r="C155" i="24"/>
  <c r="B153" i="24"/>
  <c r="AA120" i="24"/>
  <c r="AA138" i="24"/>
  <c r="B149" i="24"/>
  <c r="AA139" i="24"/>
  <c r="D217" i="33" l="1"/>
  <c r="AD14" i="22"/>
  <c r="C34" i="22" s="1"/>
  <c r="CC112" i="31"/>
  <c r="D105" i="31" s="1"/>
  <c r="K105" i="31" s="1"/>
  <c r="J105" i="31" s="1"/>
  <c r="S14" i="22"/>
  <c r="C23" i="22" s="1"/>
  <c r="CC101" i="31"/>
  <c r="D94" i="31" s="1"/>
  <c r="K94" i="31" s="1"/>
  <c r="J94" i="31" s="1"/>
  <c r="U14" i="22"/>
  <c r="C25" i="22" s="1"/>
  <c r="CC103" i="31"/>
  <c r="D96" i="31" s="1"/>
  <c r="K96" i="31" s="1"/>
  <c r="J96" i="31" s="1"/>
  <c r="P14" i="22"/>
  <c r="C20" i="22" s="1"/>
  <c r="CC98" i="31"/>
  <c r="D91" i="31" s="1"/>
  <c r="K91" i="31" s="1"/>
  <c r="J91" i="31" s="1"/>
  <c r="Z14" i="22"/>
  <c r="C30" i="22" s="1"/>
  <c r="CC108" i="31"/>
  <c r="D101" i="31" s="1"/>
  <c r="K101" i="31" s="1"/>
  <c r="J101" i="31" s="1"/>
  <c r="V14" i="22"/>
  <c r="C26" i="22" s="1"/>
  <c r="CC104" i="31"/>
  <c r="D97" i="31" s="1"/>
  <c r="K97" i="31" s="1"/>
  <c r="J97" i="31" s="1"/>
  <c r="AB14" i="22"/>
  <c r="C32" i="22" s="1"/>
  <c r="CC110" i="31"/>
  <c r="D103" i="31" s="1"/>
  <c r="K103" i="31" s="1"/>
  <c r="J103" i="31" s="1"/>
  <c r="R14" i="22"/>
  <c r="C22" i="22" s="1"/>
  <c r="CC100" i="31"/>
  <c r="D93" i="31" s="1"/>
  <c r="K93" i="31" s="1"/>
  <c r="J93" i="31" s="1"/>
  <c r="AC14" i="22"/>
  <c r="C33" i="22" s="1"/>
  <c r="CC111" i="31"/>
  <c r="D104" i="31" s="1"/>
  <c r="K104" i="31" s="1"/>
  <c r="J104" i="31" s="1"/>
  <c r="Q14" i="22"/>
  <c r="C21" i="22" s="1"/>
  <c r="CC99" i="31"/>
  <c r="D92" i="31" s="1"/>
  <c r="K92" i="31" s="1"/>
  <c r="J92" i="31" s="1"/>
  <c r="AE14" i="22"/>
  <c r="C35" i="22" s="1"/>
  <c r="CC113" i="31"/>
  <c r="D106" i="31" s="1"/>
  <c r="K106" i="31" s="1"/>
  <c r="J106" i="31" s="1"/>
  <c r="Y14" i="22"/>
  <c r="C29" i="22" s="1"/>
  <c r="CC107" i="31"/>
  <c r="D100" i="31" s="1"/>
  <c r="K100" i="31" s="1"/>
  <c r="J100" i="31" s="1"/>
  <c r="AA14" i="22"/>
  <c r="C31" i="22" s="1"/>
  <c r="CC109" i="31"/>
  <c r="D102" i="31" s="1"/>
  <c r="K102" i="31" s="1"/>
  <c r="J102" i="31" s="1"/>
  <c r="O14" i="22"/>
  <c r="C19" i="22" s="1"/>
  <c r="CC97" i="31"/>
  <c r="D90" i="31" s="1"/>
  <c r="K90" i="31" s="1"/>
  <c r="J90" i="31" s="1"/>
  <c r="AA146" i="25"/>
  <c r="AA147" i="25" s="1"/>
  <c r="AA159" i="25"/>
  <c r="AA146" i="24"/>
  <c r="AA147" i="24" s="1"/>
  <c r="AA220" i="24"/>
  <c r="AA220" i="26"/>
  <c r="AA219" i="26"/>
  <c r="AA159" i="26"/>
  <c r="AA146" i="26"/>
  <c r="AA147" i="26" s="1"/>
  <c r="AA159" i="24"/>
  <c r="AM18" i="26"/>
  <c r="AI19" i="26"/>
  <c r="AI20" i="26"/>
  <c r="AM20" i="26" s="1"/>
  <c r="AI21" i="26"/>
  <c r="AI22" i="26"/>
  <c r="AP22" i="26" s="1"/>
  <c r="B76" i="15"/>
  <c r="AI22" i="18" s="1"/>
  <c r="AP22" i="18" s="1"/>
  <c r="B75" i="15"/>
  <c r="AI21" i="18" s="1"/>
  <c r="AQ21" i="18" s="1"/>
  <c r="AQ54" i="18" s="1"/>
  <c r="CC95" i="31" s="1"/>
  <c r="D88" i="31" s="1"/>
  <c r="K88" i="31" s="1"/>
  <c r="B74" i="15"/>
  <c r="AI20" i="18" s="1"/>
  <c r="B73" i="15"/>
  <c r="AI19" i="18" s="1"/>
  <c r="AM19" i="18" l="1"/>
  <c r="AP19" i="18"/>
  <c r="AR20" i="18"/>
  <c r="AL19" i="26"/>
  <c r="AN21" i="26"/>
  <c r="AQ21" i="26"/>
  <c r="AQ54" i="26" s="1"/>
  <c r="AM54" i="26"/>
  <c r="AM20" i="24"/>
  <c r="AM20" i="25"/>
  <c r="AM54" i="25" s="1"/>
  <c r="CE91" i="31" s="1"/>
  <c r="F84" i="31" s="1"/>
  <c r="M84" i="31" s="1"/>
  <c r="AN21" i="24"/>
  <c r="AN54" i="24" s="1"/>
  <c r="CD92" i="31" s="1"/>
  <c r="E85" i="31" s="1"/>
  <c r="L85" i="31" s="1"/>
  <c r="AQ21" i="25"/>
  <c r="AQ54" i="25" s="1"/>
  <c r="CE95" i="31" s="1"/>
  <c r="F88" i="31" s="1"/>
  <c r="M88" i="31" s="1"/>
  <c r="J88" i="31" s="1"/>
  <c r="AI18" i="24"/>
  <c r="AK18" i="25"/>
  <c r="AX22" i="18"/>
  <c r="AX54" i="18" s="1"/>
  <c r="CC102" i="31" s="1"/>
  <c r="D95" i="31" s="1"/>
  <c r="K95" i="31" s="1"/>
  <c r="AX22" i="26"/>
  <c r="AX54" i="26" s="1"/>
  <c r="AL21" i="26"/>
  <c r="AL21" i="25"/>
  <c r="AO19" i="18"/>
  <c r="AO54" i="18" s="1"/>
  <c r="CC93" i="31" s="1"/>
  <c r="D86" i="31" s="1"/>
  <c r="K86" i="31" s="1"/>
  <c r="AO19" i="26"/>
  <c r="AO54" i="26" s="1"/>
  <c r="AN27" i="26"/>
  <c r="L34" i="23"/>
  <c r="H9" i="23" s="1"/>
  <c r="K34" i="23"/>
  <c r="AD6" i="31" s="1"/>
  <c r="AN54" i="26" l="1"/>
  <c r="M14" i="22"/>
  <c r="C17" i="22" s="1"/>
  <c r="G51" i="23"/>
  <c r="G61" i="23" s="1"/>
  <c r="H14" i="23" s="1"/>
  <c r="F51" i="23"/>
  <c r="F61" i="23" s="1"/>
  <c r="H13" i="23" s="1"/>
  <c r="AX22" i="25"/>
  <c r="AX54" i="25" s="1"/>
  <c r="AP22" i="25"/>
  <c r="AO19" i="25"/>
  <c r="AO54" i="25" s="1"/>
  <c r="CE93" i="31" s="1"/>
  <c r="F86" i="31" s="1"/>
  <c r="M86" i="31" s="1"/>
  <c r="J86" i="31" s="1"/>
  <c r="AL19" i="25"/>
  <c r="AM18" i="24"/>
  <c r="AM54" i="24" s="1"/>
  <c r="CD91" i="31" s="1"/>
  <c r="E84" i="31" s="1"/>
  <c r="L84" i="31" s="1"/>
  <c r="AK18" i="24"/>
  <c r="BS12" i="23"/>
  <c r="I23" i="23" s="1"/>
  <c r="BS11" i="23"/>
  <c r="BS10" i="23"/>
  <c r="BS9" i="23"/>
  <c r="BS8" i="23"/>
  <c r="BS7" i="23"/>
  <c r="T14" i="22" l="1"/>
  <c r="C24" i="22" s="1"/>
  <c r="CE102" i="31"/>
  <c r="F95" i="31" s="1"/>
  <c r="M95" i="31" s="1"/>
  <c r="J95" i="31" s="1"/>
  <c r="F23" i="23"/>
  <c r="F91" i="23"/>
  <c r="F81" i="23"/>
  <c r="F71" i="23"/>
  <c r="E23" i="23"/>
  <c r="E91" i="23"/>
  <c r="E81" i="23"/>
  <c r="E71" i="23"/>
  <c r="G23" i="23"/>
  <c r="G81" i="23"/>
  <c r="G71" i="23"/>
  <c r="G91" i="23"/>
  <c r="H23" i="23"/>
  <c r="H81" i="23"/>
  <c r="H71" i="23"/>
  <c r="H91" i="23"/>
  <c r="D23" i="23"/>
  <c r="D91" i="23"/>
  <c r="D81" i="23"/>
  <c r="D71" i="23"/>
  <c r="K14" i="22"/>
  <c r="C15" i="22" s="1"/>
  <c r="F17" i="23" s="1"/>
  <c r="K17" i="23" s="1"/>
  <c r="AL70" i="23"/>
  <c r="AJ70" i="23"/>
  <c r="AI70" i="23"/>
  <c r="AH70" i="23"/>
  <c r="AG70" i="23"/>
  <c r="AF70" i="23"/>
  <c r="AE70" i="23"/>
  <c r="AL69" i="23"/>
  <c r="AJ69" i="23"/>
  <c r="AI69" i="23"/>
  <c r="AH69" i="23"/>
  <c r="AG69" i="23"/>
  <c r="AF69" i="23"/>
  <c r="AE69" i="23"/>
  <c r="AL68" i="23"/>
  <c r="AJ68" i="23"/>
  <c r="AI68" i="23"/>
  <c r="AH68" i="23"/>
  <c r="AG68" i="23"/>
  <c r="AF68" i="23"/>
  <c r="AE68" i="23"/>
  <c r="AL67" i="23"/>
  <c r="AJ67" i="23"/>
  <c r="AI67" i="23"/>
  <c r="AH67" i="23"/>
  <c r="AG67" i="23"/>
  <c r="AF67" i="23"/>
  <c r="AE67" i="23"/>
  <c r="AL66" i="23"/>
  <c r="AJ66" i="23"/>
  <c r="AI66" i="23"/>
  <c r="AH66" i="23"/>
  <c r="AG66" i="23"/>
  <c r="AF66" i="23"/>
  <c r="AE66" i="23"/>
  <c r="AL65" i="23"/>
  <c r="AJ65" i="23"/>
  <c r="AI65" i="23"/>
  <c r="AH65" i="23"/>
  <c r="AG65" i="23"/>
  <c r="AF65" i="23"/>
  <c r="AE65" i="23"/>
  <c r="AL64" i="23"/>
  <c r="AJ64" i="23"/>
  <c r="AI64" i="23"/>
  <c r="AH64" i="23"/>
  <c r="AG64" i="23"/>
  <c r="AF64" i="23"/>
  <c r="AE64" i="23"/>
  <c r="AL63" i="23"/>
  <c r="AJ63" i="23"/>
  <c r="AI63" i="23"/>
  <c r="AH63" i="23"/>
  <c r="AG63" i="23"/>
  <c r="AF63" i="23"/>
  <c r="AE63" i="23"/>
  <c r="AL62" i="23"/>
  <c r="AJ62" i="23"/>
  <c r="AI62" i="23"/>
  <c r="AH62" i="23"/>
  <c r="AG62" i="23"/>
  <c r="AF62" i="23"/>
  <c r="AE62" i="23"/>
  <c r="AL61" i="23"/>
  <c r="AJ61" i="23"/>
  <c r="AI61" i="23"/>
  <c r="AH61" i="23"/>
  <c r="AG61" i="23"/>
  <c r="AF61" i="23"/>
  <c r="AE61" i="23"/>
  <c r="AL60" i="23"/>
  <c r="AJ60" i="23"/>
  <c r="AI60" i="23"/>
  <c r="AH60" i="23"/>
  <c r="AG60" i="23"/>
  <c r="AF60" i="23"/>
  <c r="AE60" i="23"/>
  <c r="AL59" i="23"/>
  <c r="AJ59" i="23"/>
  <c r="AI59" i="23"/>
  <c r="AH59" i="23"/>
  <c r="AG59" i="23"/>
  <c r="AF59" i="23"/>
  <c r="AE59" i="23"/>
  <c r="AL58" i="23"/>
  <c r="AJ58" i="23"/>
  <c r="AI58" i="23"/>
  <c r="AH58" i="23"/>
  <c r="AG58" i="23"/>
  <c r="AF58" i="23"/>
  <c r="AE58" i="23"/>
  <c r="AL57" i="23"/>
  <c r="AJ57" i="23"/>
  <c r="AI57" i="23"/>
  <c r="AH57" i="23"/>
  <c r="AG57" i="23"/>
  <c r="AF57" i="23"/>
  <c r="AE57" i="23"/>
  <c r="AL56" i="23"/>
  <c r="AJ56" i="23"/>
  <c r="AI56" i="23"/>
  <c r="AH56" i="23"/>
  <c r="AG56" i="23"/>
  <c r="AF56" i="23"/>
  <c r="AE56" i="23"/>
  <c r="AL55" i="23"/>
  <c r="AJ55" i="23"/>
  <c r="AI55" i="23"/>
  <c r="AH55" i="23"/>
  <c r="AG55" i="23"/>
  <c r="AF55" i="23"/>
  <c r="AE55" i="23"/>
  <c r="AL54" i="23"/>
  <c r="AJ54" i="23"/>
  <c r="AI54" i="23"/>
  <c r="AH54" i="23"/>
  <c r="AG54" i="23"/>
  <c r="AF54" i="23"/>
  <c r="AE54" i="23"/>
  <c r="AL53" i="23"/>
  <c r="AJ53" i="23"/>
  <c r="AI53" i="23"/>
  <c r="AH53" i="23"/>
  <c r="AG53" i="23"/>
  <c r="AF53" i="23"/>
  <c r="AE53" i="23"/>
  <c r="AL52" i="23"/>
  <c r="AJ52" i="23"/>
  <c r="AI52" i="23"/>
  <c r="AH52" i="23"/>
  <c r="AG52" i="23"/>
  <c r="AF52" i="23"/>
  <c r="AE52" i="23"/>
  <c r="O52" i="23"/>
  <c r="AL51" i="23"/>
  <c r="AJ51" i="23"/>
  <c r="AI51" i="23"/>
  <c r="AH51" i="23"/>
  <c r="AG51" i="23"/>
  <c r="AF51" i="23"/>
  <c r="AE51" i="23"/>
  <c r="AL48" i="23"/>
  <c r="AJ48" i="23"/>
  <c r="AI48" i="23"/>
  <c r="AH48" i="23"/>
  <c r="AG48" i="23"/>
  <c r="AF48" i="23"/>
  <c r="AE48" i="23"/>
  <c r="AL47" i="23"/>
  <c r="AJ47" i="23"/>
  <c r="AI47" i="23"/>
  <c r="AH47" i="23"/>
  <c r="AG47" i="23"/>
  <c r="AF47" i="23"/>
  <c r="AE47" i="23"/>
  <c r="AL46" i="23"/>
  <c r="AJ46" i="23"/>
  <c r="AI46" i="23"/>
  <c r="AH46" i="23"/>
  <c r="AG46" i="23"/>
  <c r="AF46" i="23"/>
  <c r="AE46" i="23"/>
  <c r="AL45" i="23"/>
  <c r="AJ45" i="23"/>
  <c r="AI45" i="23"/>
  <c r="AH45" i="23"/>
  <c r="AG45" i="23"/>
  <c r="AF45" i="23"/>
  <c r="AE45" i="23"/>
  <c r="AL44" i="23"/>
  <c r="AJ44" i="23"/>
  <c r="AI44" i="23"/>
  <c r="AH44" i="23"/>
  <c r="AG44" i="23"/>
  <c r="AF44" i="23"/>
  <c r="AE44" i="23"/>
  <c r="AL43" i="23"/>
  <c r="AJ43" i="23"/>
  <c r="AI43" i="23"/>
  <c r="AH43" i="23"/>
  <c r="AG43" i="23"/>
  <c r="AF43" i="23"/>
  <c r="AE43" i="23"/>
  <c r="AL42" i="23"/>
  <c r="AJ42" i="23"/>
  <c r="AI42" i="23"/>
  <c r="AH42" i="23"/>
  <c r="AG42" i="23"/>
  <c r="AF42" i="23"/>
  <c r="AE42" i="23"/>
  <c r="AL41" i="23"/>
  <c r="AJ41" i="23"/>
  <c r="AI41" i="23"/>
  <c r="AH41" i="23"/>
  <c r="AG41" i="23"/>
  <c r="AF41" i="23"/>
  <c r="AE41" i="23"/>
  <c r="AL40" i="23"/>
  <c r="AJ40" i="23"/>
  <c r="AI40" i="23"/>
  <c r="AH40" i="23"/>
  <c r="AG40" i="23"/>
  <c r="AF40" i="23"/>
  <c r="AE40" i="23"/>
  <c r="AL39" i="23"/>
  <c r="AJ39" i="23"/>
  <c r="AI39" i="23"/>
  <c r="AH39" i="23"/>
  <c r="AG39" i="23"/>
  <c r="AF39" i="23"/>
  <c r="AE39" i="23"/>
  <c r="AL38" i="23"/>
  <c r="AJ38" i="23"/>
  <c r="AI38" i="23"/>
  <c r="AH38" i="23"/>
  <c r="AG38" i="23"/>
  <c r="AF38" i="23"/>
  <c r="AE38" i="23"/>
  <c r="AL37" i="23"/>
  <c r="AJ37" i="23"/>
  <c r="AI37" i="23"/>
  <c r="AH37" i="23"/>
  <c r="AG37" i="23"/>
  <c r="AF37" i="23"/>
  <c r="AE37" i="23"/>
  <c r="AL36" i="23"/>
  <c r="AJ36" i="23"/>
  <c r="AI36" i="23"/>
  <c r="AH36" i="23"/>
  <c r="AG36" i="23"/>
  <c r="AF36" i="23"/>
  <c r="AE36" i="23"/>
  <c r="AL35" i="23"/>
  <c r="AJ35" i="23"/>
  <c r="AI35" i="23"/>
  <c r="AH35" i="23"/>
  <c r="AG35" i="23"/>
  <c r="AF35" i="23"/>
  <c r="AE35" i="23"/>
  <c r="AL34" i="23"/>
  <c r="AJ34" i="23"/>
  <c r="AI34" i="23"/>
  <c r="AH34" i="23"/>
  <c r="AG34" i="23"/>
  <c r="AF34" i="23"/>
  <c r="AE34" i="23"/>
  <c r="AL33" i="23"/>
  <c r="AJ33" i="23"/>
  <c r="AI33" i="23"/>
  <c r="AH33" i="23"/>
  <c r="AG33" i="23"/>
  <c r="AF33" i="23"/>
  <c r="AE33" i="23"/>
  <c r="AL32" i="23"/>
  <c r="AJ32" i="23"/>
  <c r="AI32" i="23"/>
  <c r="AH32" i="23"/>
  <c r="AG32" i="23"/>
  <c r="AF32" i="23"/>
  <c r="AE32" i="23"/>
  <c r="AL31" i="23"/>
  <c r="AJ31" i="23"/>
  <c r="AI31" i="23"/>
  <c r="AH31" i="23"/>
  <c r="AG31" i="23"/>
  <c r="AF31" i="23"/>
  <c r="AE31" i="23"/>
  <c r="AL30" i="23"/>
  <c r="AJ30" i="23"/>
  <c r="AI30" i="23"/>
  <c r="AH30" i="23"/>
  <c r="AG30" i="23"/>
  <c r="AF30" i="23"/>
  <c r="AE30" i="23"/>
  <c r="O30" i="23"/>
  <c r="AL29" i="23"/>
  <c r="AJ29" i="23"/>
  <c r="AI29" i="23"/>
  <c r="AH29" i="23"/>
  <c r="AG29" i="23"/>
  <c r="AF29" i="23"/>
  <c r="AE29" i="23"/>
  <c r="AE8" i="23"/>
  <c r="AF8" i="23"/>
  <c r="AG8" i="23"/>
  <c r="AH8" i="23"/>
  <c r="AI8" i="23"/>
  <c r="AJ8" i="23"/>
  <c r="AL8" i="23"/>
  <c r="AE9" i="23"/>
  <c r="AF9" i="23"/>
  <c r="AG9" i="23"/>
  <c r="AH9" i="23"/>
  <c r="AI9" i="23"/>
  <c r="AJ9" i="23"/>
  <c r="AL9" i="23"/>
  <c r="AE10" i="23"/>
  <c r="AF10" i="23"/>
  <c r="AG10" i="23"/>
  <c r="AH10" i="23"/>
  <c r="AI10" i="23"/>
  <c r="AJ10" i="23"/>
  <c r="AL10" i="23"/>
  <c r="AE11" i="23"/>
  <c r="AF11" i="23"/>
  <c r="AG11" i="23"/>
  <c r="AH11" i="23"/>
  <c r="AI11" i="23"/>
  <c r="AJ11" i="23"/>
  <c r="AL11" i="23"/>
  <c r="AE12" i="23"/>
  <c r="AF12" i="23"/>
  <c r="AG12" i="23"/>
  <c r="AH12" i="23"/>
  <c r="AI12" i="23"/>
  <c r="AJ12" i="23"/>
  <c r="AL12" i="23"/>
  <c r="AE13" i="23"/>
  <c r="AF13" i="23"/>
  <c r="AG13" i="23"/>
  <c r="AH13" i="23"/>
  <c r="AI13" i="23"/>
  <c r="AJ13" i="23"/>
  <c r="AL13" i="23"/>
  <c r="AE14" i="23"/>
  <c r="AF14" i="23"/>
  <c r="AG14" i="23"/>
  <c r="AH14" i="23"/>
  <c r="AI14" i="23"/>
  <c r="AJ14" i="23"/>
  <c r="AL14" i="23"/>
  <c r="AE15" i="23"/>
  <c r="AF15" i="23"/>
  <c r="AG15" i="23"/>
  <c r="AH15" i="23"/>
  <c r="AI15" i="23"/>
  <c r="AJ15" i="23"/>
  <c r="AL15" i="23"/>
  <c r="AE16" i="23"/>
  <c r="AF16" i="23"/>
  <c r="AG16" i="23"/>
  <c r="AH16" i="23"/>
  <c r="AI16" i="23"/>
  <c r="AJ16" i="23"/>
  <c r="AL16" i="23"/>
  <c r="AE17" i="23"/>
  <c r="AF17" i="23"/>
  <c r="AG17" i="23"/>
  <c r="AH17" i="23"/>
  <c r="AI17" i="23"/>
  <c r="AJ17" i="23"/>
  <c r="AL17" i="23"/>
  <c r="AE18" i="23"/>
  <c r="AF18" i="23"/>
  <c r="AG18" i="23"/>
  <c r="AH18" i="23"/>
  <c r="AI18" i="23"/>
  <c r="AJ18" i="23"/>
  <c r="AL18" i="23"/>
  <c r="AE19" i="23"/>
  <c r="AF19" i="23"/>
  <c r="AG19" i="23"/>
  <c r="AH19" i="23"/>
  <c r="AI19" i="23"/>
  <c r="AJ19" i="23"/>
  <c r="AL19" i="23"/>
  <c r="AE20" i="23"/>
  <c r="AF20" i="23"/>
  <c r="AG20" i="23"/>
  <c r="AH20" i="23"/>
  <c r="AI20" i="23"/>
  <c r="AJ20" i="23"/>
  <c r="AL20" i="23"/>
  <c r="AE21" i="23"/>
  <c r="AF21" i="23"/>
  <c r="AG21" i="23"/>
  <c r="AH21" i="23"/>
  <c r="AI21" i="23"/>
  <c r="AJ21" i="23"/>
  <c r="AL21" i="23"/>
  <c r="AE22" i="23"/>
  <c r="AF22" i="23"/>
  <c r="AG22" i="23"/>
  <c r="AH22" i="23"/>
  <c r="AI22" i="23"/>
  <c r="AJ22" i="23"/>
  <c r="AL22" i="23"/>
  <c r="AE23" i="23"/>
  <c r="AF23" i="23"/>
  <c r="AG23" i="23"/>
  <c r="AH23" i="23"/>
  <c r="AI23" i="23"/>
  <c r="AJ23" i="23"/>
  <c r="AL23" i="23"/>
  <c r="AE24" i="23"/>
  <c r="AF24" i="23"/>
  <c r="AG24" i="23"/>
  <c r="AH24" i="23"/>
  <c r="AI24" i="23"/>
  <c r="AJ24" i="23"/>
  <c r="AL24" i="23"/>
  <c r="AE25" i="23"/>
  <c r="AF25" i="23"/>
  <c r="AG25" i="23"/>
  <c r="AH25" i="23"/>
  <c r="AI25" i="23"/>
  <c r="AJ25" i="23"/>
  <c r="AL25" i="23"/>
  <c r="AE26" i="23"/>
  <c r="AF26" i="23"/>
  <c r="AG26" i="23"/>
  <c r="AH26" i="23"/>
  <c r="AI26" i="23"/>
  <c r="AJ26" i="23"/>
  <c r="AL26" i="23"/>
  <c r="AL7" i="23"/>
  <c r="AJ7" i="23"/>
  <c r="AI7" i="23"/>
  <c r="AH7" i="23"/>
  <c r="AG7" i="23"/>
  <c r="AF7" i="23"/>
  <c r="AE7" i="23"/>
  <c r="O8" i="23"/>
  <c r="AL71" i="23" l="1"/>
  <c r="AE71" i="23"/>
  <c r="D92" i="23" s="1"/>
  <c r="AH27" i="23"/>
  <c r="G72" i="23" s="1"/>
  <c r="AI27" i="23"/>
  <c r="H72" i="23" s="1"/>
  <c r="AE27" i="23"/>
  <c r="D72" i="23" s="1"/>
  <c r="AL27" i="23"/>
  <c r="AG71" i="23"/>
  <c r="F92" i="23" s="1"/>
  <c r="AF27" i="23"/>
  <c r="E72" i="23" s="1"/>
  <c r="AF49" i="23"/>
  <c r="E82" i="23" s="1"/>
  <c r="AH71" i="23"/>
  <c r="G92" i="23" s="1"/>
  <c r="AG27" i="23"/>
  <c r="F72" i="23" s="1"/>
  <c r="AG49" i="23"/>
  <c r="F82" i="23" s="1"/>
  <c r="AI71" i="23"/>
  <c r="H92" i="23" s="1"/>
  <c r="AH49" i="23"/>
  <c r="G82" i="23" s="1"/>
  <c r="AJ71" i="23"/>
  <c r="I92" i="23" s="1"/>
  <c r="AE49" i="23"/>
  <c r="D82" i="23" s="1"/>
  <c r="AI49" i="23"/>
  <c r="H82" i="23" s="1"/>
  <c r="AJ27" i="23"/>
  <c r="AJ49" i="23"/>
  <c r="AL49" i="23"/>
  <c r="AF71" i="23"/>
  <c r="E92" i="23" s="1"/>
  <c r="AT7" i="23"/>
  <c r="AU7" i="23"/>
  <c r="AV7" i="23"/>
  <c r="AW7" i="23"/>
  <c r="AX7" i="23"/>
  <c r="BE7" i="23"/>
  <c r="BF7" i="23"/>
  <c r="BG7" i="23"/>
  <c r="BH7" i="23"/>
  <c r="BI7" i="23"/>
  <c r="BJ7" i="23"/>
  <c r="BK7" i="23"/>
  <c r="BL7" i="23"/>
  <c r="BM7" i="23"/>
  <c r="BN7" i="23"/>
  <c r="BO7" i="23"/>
  <c r="BP7" i="23"/>
  <c r="AT8" i="23"/>
  <c r="AU8" i="23"/>
  <c r="AV8" i="23"/>
  <c r="AW8" i="23"/>
  <c r="AX8" i="23"/>
  <c r="AY8" i="23"/>
  <c r="AZ8" i="23"/>
  <c r="BA8" i="23"/>
  <c r="BB8" i="23"/>
  <c r="BC8" i="23"/>
  <c r="BD8" i="23"/>
  <c r="BK8" i="23"/>
  <c r="BL8" i="23"/>
  <c r="BM8" i="23"/>
  <c r="BN8" i="23"/>
  <c r="BO8" i="23"/>
  <c r="BP8" i="23"/>
  <c r="AY9" i="23"/>
  <c r="AZ9" i="23"/>
  <c r="BA9" i="23"/>
  <c r="BB9" i="23"/>
  <c r="BC9" i="23"/>
  <c r="BD9" i="23"/>
  <c r="BE9" i="23"/>
  <c r="BF9" i="23"/>
  <c r="BG9" i="23"/>
  <c r="BH9" i="23"/>
  <c r="AU10" i="23"/>
  <c r="AV10" i="23"/>
  <c r="AW10" i="23"/>
  <c r="AX10" i="23"/>
  <c r="AY10" i="23"/>
  <c r="AZ10" i="23"/>
  <c r="BA10" i="23"/>
  <c r="BB10" i="23"/>
  <c r="BC10" i="23"/>
  <c r="BD10" i="23"/>
  <c r="BE10" i="23"/>
  <c r="BF10" i="23"/>
  <c r="BG10" i="23"/>
  <c r="BH10" i="23"/>
  <c r="BI10" i="23"/>
  <c r="BJ10" i="23"/>
  <c r="BK10" i="23"/>
  <c r="BL10" i="23"/>
  <c r="BM10" i="23"/>
  <c r="BN10" i="23"/>
  <c r="AT11" i="23"/>
  <c r="AY11" i="23"/>
  <c r="AZ11" i="23"/>
  <c r="BA11" i="23"/>
  <c r="BB11" i="23"/>
  <c r="BC11" i="23"/>
  <c r="BD11" i="23"/>
  <c r="BE11" i="23"/>
  <c r="BF11" i="23"/>
  <c r="BG11" i="23"/>
  <c r="BH11" i="23"/>
  <c r="BI11" i="23"/>
  <c r="BJ11" i="23"/>
  <c r="BK11" i="23"/>
  <c r="BL11" i="23"/>
  <c r="BM11" i="23"/>
  <c r="BN11" i="23"/>
  <c r="BO11" i="23"/>
  <c r="BP11" i="23"/>
  <c r="AT12" i="23"/>
  <c r="AU12" i="23"/>
  <c r="AV12" i="23"/>
  <c r="AW12" i="23"/>
  <c r="AX12" i="23"/>
  <c r="AY12" i="23"/>
  <c r="AZ12" i="23"/>
  <c r="BA12" i="23"/>
  <c r="BB12" i="23"/>
  <c r="BC12" i="23"/>
  <c r="BD12" i="23"/>
  <c r="BE12" i="23"/>
  <c r="BF12" i="23"/>
  <c r="BG12" i="23"/>
  <c r="BH12" i="23"/>
  <c r="BI12" i="23"/>
  <c r="BJ12" i="23"/>
  <c r="BK12" i="23"/>
  <c r="BL12" i="23"/>
  <c r="BM12" i="23"/>
  <c r="BN12" i="23"/>
  <c r="BO12" i="23"/>
  <c r="BP12" i="23"/>
  <c r="AS12" i="23"/>
  <c r="AS11" i="23"/>
  <c r="AS8" i="23"/>
  <c r="AS7" i="23"/>
  <c r="I24" i="23" l="1"/>
  <c r="F24" i="23"/>
  <c r="G24" i="23"/>
  <c r="E24" i="23"/>
  <c r="K24" i="23"/>
  <c r="C171" i="33" s="1"/>
  <c r="D24" i="23"/>
  <c r="H24" i="23"/>
  <c r="BR12" i="23"/>
  <c r="I25" i="23" s="1"/>
  <c r="AF3" i="22"/>
  <c r="Y210" i="18"/>
  <c r="X210" i="18"/>
  <c r="W210" i="18"/>
  <c r="V210" i="18"/>
  <c r="U210" i="18"/>
  <c r="T210" i="18"/>
  <c r="S210" i="18"/>
  <c r="R210" i="18"/>
  <c r="Q210" i="18"/>
  <c r="P210" i="18"/>
  <c r="O210" i="18"/>
  <c r="N210" i="18"/>
  <c r="M210" i="18"/>
  <c r="L210" i="18"/>
  <c r="K210" i="18"/>
  <c r="J210" i="18"/>
  <c r="I210" i="18"/>
  <c r="H210" i="18"/>
  <c r="G210" i="18"/>
  <c r="F210" i="18"/>
  <c r="E210" i="18"/>
  <c r="D210" i="18"/>
  <c r="C210" i="18"/>
  <c r="B210" i="18"/>
  <c r="A210" i="18"/>
  <c r="Y209" i="18"/>
  <c r="X209" i="18"/>
  <c r="W209" i="18"/>
  <c r="V209" i="18"/>
  <c r="U209" i="18"/>
  <c r="T209" i="18"/>
  <c r="S209" i="18"/>
  <c r="R209" i="18"/>
  <c r="Q209" i="18"/>
  <c r="P209" i="18"/>
  <c r="O209" i="18"/>
  <c r="N209" i="18"/>
  <c r="M209" i="18"/>
  <c r="L209" i="18"/>
  <c r="K209" i="18"/>
  <c r="J209" i="18"/>
  <c r="I209" i="18"/>
  <c r="H209" i="18"/>
  <c r="G209" i="18"/>
  <c r="F209" i="18"/>
  <c r="E209" i="18"/>
  <c r="D209" i="18"/>
  <c r="C209" i="18"/>
  <c r="B209" i="18"/>
  <c r="A209" i="18"/>
  <c r="Y208" i="18"/>
  <c r="X208" i="18"/>
  <c r="W208" i="18"/>
  <c r="V208" i="18"/>
  <c r="U208" i="18"/>
  <c r="T208" i="18"/>
  <c r="S208" i="18"/>
  <c r="R208" i="18"/>
  <c r="Q208" i="18"/>
  <c r="P208" i="18"/>
  <c r="O208" i="18"/>
  <c r="N208" i="18"/>
  <c r="M208" i="18"/>
  <c r="L208" i="18"/>
  <c r="K208" i="18"/>
  <c r="J208" i="18"/>
  <c r="I208" i="18"/>
  <c r="H208" i="18"/>
  <c r="G208" i="18"/>
  <c r="F208" i="18"/>
  <c r="E208" i="18"/>
  <c r="D208" i="18"/>
  <c r="C208" i="18"/>
  <c r="B208" i="18"/>
  <c r="A208" i="18"/>
  <c r="Y207" i="18"/>
  <c r="X207" i="18"/>
  <c r="W207" i="18"/>
  <c r="V207" i="18"/>
  <c r="U207" i="18"/>
  <c r="T207" i="18"/>
  <c r="S207" i="18"/>
  <c r="K207" i="18"/>
  <c r="J207" i="18"/>
  <c r="I207" i="18"/>
  <c r="H207" i="18"/>
  <c r="G207" i="18"/>
  <c r="F207" i="18"/>
  <c r="E207" i="18"/>
  <c r="D207" i="18"/>
  <c r="C207" i="18"/>
  <c r="B207" i="18"/>
  <c r="A207" i="18"/>
  <c r="A206" i="18"/>
  <c r="Y205" i="18"/>
  <c r="X205" i="18"/>
  <c r="W205" i="18"/>
  <c r="V205" i="18"/>
  <c r="U205" i="18"/>
  <c r="T205" i="18"/>
  <c r="S205" i="18"/>
  <c r="R205" i="18"/>
  <c r="Q205" i="18"/>
  <c r="P205" i="18"/>
  <c r="O205" i="18"/>
  <c r="N205" i="18"/>
  <c r="M205" i="18"/>
  <c r="L205" i="18"/>
  <c r="K205" i="18"/>
  <c r="J205" i="18"/>
  <c r="I205" i="18"/>
  <c r="H205" i="18"/>
  <c r="G205" i="18"/>
  <c r="F205" i="18"/>
  <c r="E205" i="18"/>
  <c r="D205" i="18"/>
  <c r="C205" i="18"/>
  <c r="B205" i="18"/>
  <c r="A205" i="18"/>
  <c r="Y204" i="18"/>
  <c r="X204" i="18"/>
  <c r="W204" i="18"/>
  <c r="V204" i="18"/>
  <c r="U204" i="18"/>
  <c r="T204" i="18"/>
  <c r="S204" i="18"/>
  <c r="R204" i="18"/>
  <c r="Q204" i="18"/>
  <c r="P204" i="18"/>
  <c r="O204" i="18"/>
  <c r="N204" i="18"/>
  <c r="M204" i="18"/>
  <c r="L204" i="18"/>
  <c r="K204" i="18"/>
  <c r="J204" i="18"/>
  <c r="I204" i="18"/>
  <c r="H204" i="18"/>
  <c r="G204" i="18"/>
  <c r="F204" i="18"/>
  <c r="E204" i="18"/>
  <c r="D204" i="18"/>
  <c r="C204" i="18"/>
  <c r="B204" i="18"/>
  <c r="A204" i="18"/>
  <c r="Y203" i="18"/>
  <c r="X203" i="18"/>
  <c r="W203" i="18"/>
  <c r="V203" i="18"/>
  <c r="U203" i="18"/>
  <c r="T203" i="18"/>
  <c r="S203" i="18"/>
  <c r="R203" i="18"/>
  <c r="Q203" i="18"/>
  <c r="P203" i="18"/>
  <c r="O203" i="18"/>
  <c r="N203" i="18"/>
  <c r="M203" i="18"/>
  <c r="L203" i="18"/>
  <c r="K203" i="18"/>
  <c r="J203" i="18"/>
  <c r="I203" i="18"/>
  <c r="H203" i="18"/>
  <c r="G203" i="18"/>
  <c r="F203" i="18"/>
  <c r="E203" i="18"/>
  <c r="D203" i="18"/>
  <c r="C203" i="18"/>
  <c r="B203" i="18"/>
  <c r="A203" i="18"/>
  <c r="Y202" i="18"/>
  <c r="X202" i="18"/>
  <c r="W202" i="18"/>
  <c r="V202" i="18"/>
  <c r="U202" i="18"/>
  <c r="T202" i="18"/>
  <c r="S202" i="18"/>
  <c r="R202" i="18"/>
  <c r="Q202" i="18"/>
  <c r="P202" i="18"/>
  <c r="O202" i="18"/>
  <c r="N202" i="18"/>
  <c r="M202" i="18"/>
  <c r="L202" i="18"/>
  <c r="K202" i="18"/>
  <c r="J202" i="18"/>
  <c r="I202" i="18"/>
  <c r="H202" i="18"/>
  <c r="G202" i="18"/>
  <c r="F202" i="18"/>
  <c r="E202" i="18"/>
  <c r="D202" i="18"/>
  <c r="C202" i="18"/>
  <c r="B202" i="18"/>
  <c r="A202" i="18"/>
  <c r="Y201" i="18"/>
  <c r="X201" i="18"/>
  <c r="W201" i="18"/>
  <c r="V201" i="18"/>
  <c r="U201" i="18"/>
  <c r="T201" i="18"/>
  <c r="S201" i="18"/>
  <c r="K201" i="18"/>
  <c r="J201" i="18"/>
  <c r="I201" i="18"/>
  <c r="H201" i="18"/>
  <c r="G201" i="18"/>
  <c r="F201" i="18"/>
  <c r="E201" i="18"/>
  <c r="D201" i="18"/>
  <c r="C201" i="18"/>
  <c r="B201" i="18"/>
  <c r="A201" i="18"/>
  <c r="Y197" i="18"/>
  <c r="X197" i="18"/>
  <c r="W197" i="18"/>
  <c r="V197" i="18"/>
  <c r="U197" i="18"/>
  <c r="T197" i="18"/>
  <c r="S197" i="18"/>
  <c r="R197" i="18"/>
  <c r="Q197" i="18"/>
  <c r="P197" i="18"/>
  <c r="O197" i="18"/>
  <c r="N197" i="18"/>
  <c r="M197" i="18"/>
  <c r="L197" i="18"/>
  <c r="K197" i="18"/>
  <c r="J197" i="18"/>
  <c r="I197" i="18"/>
  <c r="H197" i="18"/>
  <c r="G197" i="18"/>
  <c r="F197" i="18"/>
  <c r="E197" i="18"/>
  <c r="D197" i="18"/>
  <c r="C197" i="18"/>
  <c r="B197" i="18"/>
  <c r="A197" i="18"/>
  <c r="Y196" i="18"/>
  <c r="X196" i="18"/>
  <c r="W196" i="18"/>
  <c r="V196" i="18"/>
  <c r="U196" i="18"/>
  <c r="T196" i="18"/>
  <c r="S196" i="18"/>
  <c r="R196" i="18"/>
  <c r="Q196" i="18"/>
  <c r="P196" i="18"/>
  <c r="O196" i="18"/>
  <c r="N196" i="18"/>
  <c r="M196" i="18"/>
  <c r="L196" i="18"/>
  <c r="K196" i="18"/>
  <c r="J196" i="18"/>
  <c r="I196" i="18"/>
  <c r="H196" i="18"/>
  <c r="G196" i="18"/>
  <c r="F196" i="18"/>
  <c r="E196" i="18"/>
  <c r="D196" i="18"/>
  <c r="C196" i="18"/>
  <c r="B196" i="18"/>
  <c r="A196" i="18"/>
  <c r="Y195" i="18"/>
  <c r="X195" i="18"/>
  <c r="W195" i="18"/>
  <c r="V195" i="18"/>
  <c r="U195" i="18"/>
  <c r="T195" i="18"/>
  <c r="S195" i="18"/>
  <c r="R195" i="18"/>
  <c r="Q195" i="18"/>
  <c r="P195" i="18"/>
  <c r="O195" i="18"/>
  <c r="N195" i="18"/>
  <c r="M195" i="18"/>
  <c r="L195" i="18"/>
  <c r="K195" i="18"/>
  <c r="J195" i="18"/>
  <c r="I195" i="18"/>
  <c r="H195" i="18"/>
  <c r="G195" i="18"/>
  <c r="F195" i="18"/>
  <c r="E195" i="18"/>
  <c r="D195" i="18"/>
  <c r="C195" i="18"/>
  <c r="B195" i="18"/>
  <c r="A195" i="18"/>
  <c r="Y194" i="18"/>
  <c r="X194" i="18"/>
  <c r="W194" i="18"/>
  <c r="V194" i="18"/>
  <c r="U194" i="18"/>
  <c r="T194" i="18"/>
  <c r="S194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F194" i="18"/>
  <c r="E194" i="18"/>
  <c r="D194" i="18"/>
  <c r="C194" i="18"/>
  <c r="B194" i="18"/>
  <c r="A194" i="18"/>
  <c r="Y193" i="18"/>
  <c r="X193" i="18"/>
  <c r="W193" i="18"/>
  <c r="V193" i="18"/>
  <c r="U193" i="18"/>
  <c r="T193" i="18"/>
  <c r="S193" i="18"/>
  <c r="R193" i="18"/>
  <c r="Q193" i="18"/>
  <c r="P193" i="18"/>
  <c r="O193" i="18"/>
  <c r="N193" i="18"/>
  <c r="M193" i="18"/>
  <c r="L193" i="18"/>
  <c r="K193" i="18"/>
  <c r="J193" i="18"/>
  <c r="I193" i="18"/>
  <c r="H193" i="18"/>
  <c r="G193" i="18"/>
  <c r="F193" i="18"/>
  <c r="E193" i="18"/>
  <c r="D193" i="18"/>
  <c r="C193" i="18"/>
  <c r="B193" i="18"/>
  <c r="A193" i="18"/>
  <c r="A192" i="18"/>
  <c r="Y191" i="18"/>
  <c r="X191" i="18"/>
  <c r="W191" i="18"/>
  <c r="V191" i="18"/>
  <c r="U191" i="18"/>
  <c r="T191" i="18"/>
  <c r="S191" i="18"/>
  <c r="R191" i="18"/>
  <c r="Q191" i="18"/>
  <c r="P191" i="18"/>
  <c r="O191" i="18"/>
  <c r="N191" i="18"/>
  <c r="M191" i="18"/>
  <c r="L191" i="18"/>
  <c r="K191" i="18"/>
  <c r="J191" i="18"/>
  <c r="I191" i="18"/>
  <c r="H191" i="18"/>
  <c r="G191" i="18"/>
  <c r="F191" i="18"/>
  <c r="E191" i="18"/>
  <c r="D191" i="18"/>
  <c r="C191" i="18"/>
  <c r="B191" i="18"/>
  <c r="A191" i="18"/>
  <c r="Y190" i="18"/>
  <c r="X190" i="18"/>
  <c r="W190" i="18"/>
  <c r="V190" i="18"/>
  <c r="U190" i="18"/>
  <c r="T190" i="18"/>
  <c r="S190" i="18"/>
  <c r="R190" i="18"/>
  <c r="Q190" i="18"/>
  <c r="P190" i="18"/>
  <c r="O190" i="18"/>
  <c r="N190" i="18"/>
  <c r="M190" i="18"/>
  <c r="L190" i="18"/>
  <c r="K190" i="18"/>
  <c r="J190" i="18"/>
  <c r="I190" i="18"/>
  <c r="H190" i="18"/>
  <c r="G190" i="18"/>
  <c r="F190" i="18"/>
  <c r="E190" i="18"/>
  <c r="D190" i="18"/>
  <c r="C190" i="18"/>
  <c r="B190" i="18"/>
  <c r="A190" i="18"/>
  <c r="Y189" i="18"/>
  <c r="X189" i="18"/>
  <c r="W189" i="18"/>
  <c r="V189" i="18"/>
  <c r="U189" i="18"/>
  <c r="T189" i="18"/>
  <c r="S189" i="18"/>
  <c r="Q189" i="18"/>
  <c r="P189" i="18"/>
  <c r="O189" i="18"/>
  <c r="M189" i="18"/>
  <c r="L189" i="18"/>
  <c r="J189" i="18"/>
  <c r="I189" i="18"/>
  <c r="H189" i="18"/>
  <c r="G189" i="18"/>
  <c r="F189" i="18"/>
  <c r="E189" i="18"/>
  <c r="D189" i="18"/>
  <c r="C189" i="18"/>
  <c r="B189" i="18"/>
  <c r="A189" i="18"/>
  <c r="Y188" i="18"/>
  <c r="X188" i="18"/>
  <c r="W188" i="18"/>
  <c r="V188" i="18"/>
  <c r="U188" i="18"/>
  <c r="T188" i="18"/>
  <c r="O188" i="18"/>
  <c r="N188" i="18"/>
  <c r="M188" i="18"/>
  <c r="L188" i="18"/>
  <c r="J188" i="18"/>
  <c r="H188" i="18"/>
  <c r="G188" i="18"/>
  <c r="F188" i="18"/>
  <c r="E188" i="18"/>
  <c r="D188" i="18"/>
  <c r="C188" i="18"/>
  <c r="B188" i="18"/>
  <c r="A188" i="18"/>
  <c r="Y184" i="18"/>
  <c r="X184" i="18"/>
  <c r="W184" i="18"/>
  <c r="V184" i="18"/>
  <c r="U184" i="18"/>
  <c r="T184" i="18"/>
  <c r="S184" i="18"/>
  <c r="R184" i="18"/>
  <c r="Q184" i="18"/>
  <c r="P184" i="18"/>
  <c r="O184" i="18"/>
  <c r="N184" i="18"/>
  <c r="M184" i="18"/>
  <c r="L184" i="18"/>
  <c r="K184" i="18"/>
  <c r="J184" i="18"/>
  <c r="I184" i="18"/>
  <c r="H184" i="18"/>
  <c r="G184" i="18"/>
  <c r="F184" i="18"/>
  <c r="E184" i="18"/>
  <c r="D184" i="18"/>
  <c r="C184" i="18"/>
  <c r="B184" i="18"/>
  <c r="A184" i="18"/>
  <c r="Y183" i="18"/>
  <c r="X183" i="18"/>
  <c r="W183" i="18"/>
  <c r="V183" i="18"/>
  <c r="U183" i="18"/>
  <c r="T183" i="18"/>
  <c r="S183" i="18"/>
  <c r="R183" i="18"/>
  <c r="Q183" i="18"/>
  <c r="P183" i="18"/>
  <c r="O183" i="18"/>
  <c r="N183" i="18"/>
  <c r="M183" i="18"/>
  <c r="L183" i="18"/>
  <c r="K183" i="18"/>
  <c r="J183" i="18"/>
  <c r="I183" i="18"/>
  <c r="H183" i="18"/>
  <c r="G183" i="18"/>
  <c r="F183" i="18"/>
  <c r="E183" i="18"/>
  <c r="D183" i="18"/>
  <c r="C183" i="18"/>
  <c r="B183" i="18"/>
  <c r="A183" i="18"/>
  <c r="Y182" i="18"/>
  <c r="X182" i="18"/>
  <c r="W182" i="18"/>
  <c r="V182" i="18"/>
  <c r="U182" i="18"/>
  <c r="T182" i="18"/>
  <c r="S182" i="18"/>
  <c r="R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D182" i="18"/>
  <c r="C182" i="18"/>
  <c r="B182" i="18"/>
  <c r="A182" i="18"/>
  <c r="Y181" i="18"/>
  <c r="X181" i="18"/>
  <c r="W181" i="18"/>
  <c r="V181" i="18"/>
  <c r="U181" i="18"/>
  <c r="T181" i="18"/>
  <c r="S181" i="18"/>
  <c r="R181" i="18"/>
  <c r="Q181" i="18"/>
  <c r="P181" i="18"/>
  <c r="O181" i="18"/>
  <c r="N181" i="18"/>
  <c r="M181" i="18"/>
  <c r="L181" i="18"/>
  <c r="K181" i="18"/>
  <c r="J181" i="18"/>
  <c r="I181" i="18"/>
  <c r="H181" i="18"/>
  <c r="G181" i="18"/>
  <c r="F181" i="18"/>
  <c r="E181" i="18"/>
  <c r="D181" i="18"/>
  <c r="C181" i="18"/>
  <c r="B181" i="18"/>
  <c r="A181" i="18"/>
  <c r="Y180" i="18"/>
  <c r="X180" i="18"/>
  <c r="W180" i="18"/>
  <c r="V180" i="18"/>
  <c r="U180" i="18"/>
  <c r="T180" i="18"/>
  <c r="S180" i="18"/>
  <c r="R180" i="18"/>
  <c r="Q180" i="18"/>
  <c r="P180" i="18"/>
  <c r="O180" i="18"/>
  <c r="N180" i="18"/>
  <c r="M180" i="18"/>
  <c r="L180" i="18"/>
  <c r="K180" i="18"/>
  <c r="J180" i="18"/>
  <c r="I180" i="18"/>
  <c r="H180" i="18"/>
  <c r="G180" i="18"/>
  <c r="F180" i="18"/>
  <c r="E180" i="18"/>
  <c r="D180" i="18"/>
  <c r="C180" i="18"/>
  <c r="B180" i="18"/>
  <c r="A180" i="18"/>
  <c r="Y179" i="18"/>
  <c r="X179" i="18"/>
  <c r="W179" i="18"/>
  <c r="V179" i="18"/>
  <c r="U179" i="18"/>
  <c r="T179" i="18"/>
  <c r="S179" i="18"/>
  <c r="R179" i="18"/>
  <c r="Q179" i="18"/>
  <c r="P179" i="18"/>
  <c r="O179" i="18"/>
  <c r="N179" i="18"/>
  <c r="M179" i="18"/>
  <c r="L179" i="18"/>
  <c r="K179" i="18"/>
  <c r="J179" i="18"/>
  <c r="I179" i="18"/>
  <c r="H179" i="18"/>
  <c r="G179" i="18"/>
  <c r="F179" i="18"/>
  <c r="E179" i="18"/>
  <c r="D179" i="18"/>
  <c r="C179" i="18"/>
  <c r="B179" i="18"/>
  <c r="A179" i="18"/>
  <c r="Y178" i="18"/>
  <c r="X178" i="18"/>
  <c r="W178" i="18"/>
  <c r="V178" i="18"/>
  <c r="U178" i="18"/>
  <c r="T178" i="18"/>
  <c r="S178" i="18"/>
  <c r="R178" i="18"/>
  <c r="Q178" i="18"/>
  <c r="P178" i="18"/>
  <c r="O178" i="18"/>
  <c r="N178" i="18"/>
  <c r="M178" i="18"/>
  <c r="L178" i="18"/>
  <c r="K178" i="18"/>
  <c r="J178" i="18"/>
  <c r="I178" i="18"/>
  <c r="H178" i="18"/>
  <c r="G178" i="18"/>
  <c r="F178" i="18"/>
  <c r="E178" i="18"/>
  <c r="D178" i="18"/>
  <c r="C178" i="18"/>
  <c r="B178" i="18"/>
  <c r="A178" i="18"/>
  <c r="A177" i="18"/>
  <c r="Y176" i="18"/>
  <c r="X176" i="18"/>
  <c r="W176" i="18"/>
  <c r="N176" i="18"/>
  <c r="K176" i="18"/>
  <c r="J176" i="18"/>
  <c r="I176" i="18"/>
  <c r="H176" i="18"/>
  <c r="G176" i="18"/>
  <c r="F176" i="18"/>
  <c r="E176" i="18"/>
  <c r="D176" i="18"/>
  <c r="C176" i="18"/>
  <c r="B176" i="18"/>
  <c r="A176" i="18"/>
  <c r="E175" i="18"/>
  <c r="D175" i="18"/>
  <c r="C175" i="18"/>
  <c r="B175" i="18"/>
  <c r="A175" i="18"/>
  <c r="A171" i="18"/>
  <c r="A170" i="18"/>
  <c r="A169" i="18"/>
  <c r="R168" i="18"/>
  <c r="Q168" i="18"/>
  <c r="P168" i="18"/>
  <c r="O168" i="18"/>
  <c r="N168" i="18"/>
  <c r="M168" i="18"/>
  <c r="L168" i="18"/>
  <c r="A168" i="18"/>
  <c r="Y167" i="18"/>
  <c r="X167" i="18"/>
  <c r="W167" i="18"/>
  <c r="V167" i="18"/>
  <c r="U167" i="18"/>
  <c r="T167" i="18"/>
  <c r="S167" i="18"/>
  <c r="R167" i="18"/>
  <c r="Q167" i="18"/>
  <c r="P167" i="18"/>
  <c r="O167" i="18"/>
  <c r="N167" i="18"/>
  <c r="M167" i="18"/>
  <c r="L167" i="18"/>
  <c r="K167" i="18"/>
  <c r="J167" i="18"/>
  <c r="I167" i="18"/>
  <c r="H167" i="18"/>
  <c r="G167" i="18"/>
  <c r="F167" i="18"/>
  <c r="E167" i="18"/>
  <c r="D167" i="18"/>
  <c r="C167" i="18"/>
  <c r="B167" i="18"/>
  <c r="A167" i="18"/>
  <c r="Y166" i="18"/>
  <c r="X166" i="18"/>
  <c r="W166" i="18"/>
  <c r="V166" i="18"/>
  <c r="U166" i="18"/>
  <c r="T166" i="18"/>
  <c r="S166" i="18"/>
  <c r="R166" i="18"/>
  <c r="Q166" i="18"/>
  <c r="P166" i="18"/>
  <c r="O166" i="18"/>
  <c r="N166" i="18"/>
  <c r="M166" i="18"/>
  <c r="L166" i="18"/>
  <c r="K166" i="18"/>
  <c r="J166" i="18"/>
  <c r="I166" i="18"/>
  <c r="H166" i="18"/>
  <c r="G166" i="18"/>
  <c r="F166" i="18"/>
  <c r="E166" i="18"/>
  <c r="D166" i="18"/>
  <c r="C166" i="18"/>
  <c r="B166" i="18"/>
  <c r="A166" i="18"/>
  <c r="A165" i="18"/>
  <c r="Y164" i="18"/>
  <c r="X164" i="18"/>
  <c r="W164" i="18"/>
  <c r="J164" i="18"/>
  <c r="I164" i="18"/>
  <c r="H164" i="18"/>
  <c r="G164" i="18"/>
  <c r="F164" i="18"/>
  <c r="E164" i="18"/>
  <c r="D164" i="18"/>
  <c r="C164" i="18"/>
  <c r="B164" i="18"/>
  <c r="A164" i="18"/>
  <c r="A163" i="18"/>
  <c r="Y162" i="18"/>
  <c r="X162" i="18"/>
  <c r="W162" i="18"/>
  <c r="V162" i="18"/>
  <c r="A162" i="18"/>
  <c r="A158" i="18"/>
  <c r="A157" i="18"/>
  <c r="A156" i="18"/>
  <c r="A155" i="18"/>
  <c r="A154" i="18"/>
  <c r="A153" i="18"/>
  <c r="A152" i="18"/>
  <c r="A151" i="18"/>
  <c r="A150" i="18"/>
  <c r="A149" i="18"/>
  <c r="A145" i="18"/>
  <c r="A144" i="18"/>
  <c r="A143" i="18"/>
  <c r="A142" i="18"/>
  <c r="A141" i="18"/>
  <c r="A140" i="18"/>
  <c r="A139" i="18"/>
  <c r="A138" i="18"/>
  <c r="A137" i="18"/>
  <c r="A136" i="18"/>
  <c r="A132" i="18"/>
  <c r="A131" i="18"/>
  <c r="A130" i="18"/>
  <c r="A129" i="18"/>
  <c r="A128" i="18"/>
  <c r="A127" i="18"/>
  <c r="A126" i="18"/>
  <c r="A125" i="18"/>
  <c r="A124" i="18"/>
  <c r="A123" i="18"/>
  <c r="A119" i="18"/>
  <c r="A118" i="18"/>
  <c r="A117" i="18"/>
  <c r="A116" i="18"/>
  <c r="A115" i="18"/>
  <c r="A114" i="18"/>
  <c r="A113" i="18"/>
  <c r="A112" i="18"/>
  <c r="A111" i="18"/>
  <c r="A110" i="18"/>
  <c r="A108" i="18"/>
  <c r="A107" i="18"/>
  <c r="A106" i="18"/>
  <c r="A105" i="18"/>
  <c r="A104" i="18"/>
  <c r="A103" i="18"/>
  <c r="A102" i="18"/>
  <c r="A101" i="18"/>
  <c r="A100" i="18"/>
  <c r="A99" i="18"/>
  <c r="A97" i="18"/>
  <c r="G103" i="33" s="1"/>
  <c r="A96" i="18"/>
  <c r="G102" i="33" s="1"/>
  <c r="A95" i="18"/>
  <c r="G101" i="33" s="1"/>
  <c r="A94" i="18"/>
  <c r="G100" i="33" s="1"/>
  <c r="A93" i="18"/>
  <c r="G99" i="33" s="1"/>
  <c r="A92" i="18"/>
  <c r="G98" i="33" s="1"/>
  <c r="A91" i="18"/>
  <c r="G97" i="33" s="1"/>
  <c r="A90" i="18"/>
  <c r="G96" i="33" s="1"/>
  <c r="A89" i="18"/>
  <c r="G95" i="33" s="1"/>
  <c r="A88" i="18"/>
  <c r="G94" i="33" s="1"/>
  <c r="A72" i="18"/>
  <c r="A71" i="18"/>
  <c r="A70" i="18"/>
  <c r="A69" i="18"/>
  <c r="A68" i="18"/>
  <c r="A67" i="18"/>
  <c r="A66" i="18"/>
  <c r="A65" i="18"/>
  <c r="A64" i="18"/>
  <c r="A63" i="18"/>
  <c r="A85" i="18"/>
  <c r="A84" i="18"/>
  <c r="A83" i="18"/>
  <c r="A82" i="18"/>
  <c r="A81" i="18"/>
  <c r="A80" i="18"/>
  <c r="A79" i="18"/>
  <c r="A78" i="18"/>
  <c r="A77" i="18"/>
  <c r="A76" i="18"/>
  <c r="A61" i="18"/>
  <c r="AT107" i="33" s="1"/>
  <c r="AT118" i="33" s="1"/>
  <c r="AT130" i="33" s="1"/>
  <c r="A60" i="18"/>
  <c r="AT106" i="33" s="1"/>
  <c r="AT117" i="33" s="1"/>
  <c r="AT129" i="33" s="1"/>
  <c r="A59" i="18"/>
  <c r="AT105" i="33" s="1"/>
  <c r="AT116" i="33" s="1"/>
  <c r="AT128" i="33" s="1"/>
  <c r="A58" i="18"/>
  <c r="AT104" i="33" s="1"/>
  <c r="AT115" i="33" s="1"/>
  <c r="AT127" i="33" s="1"/>
  <c r="A57" i="18"/>
  <c r="AT103" i="33" s="1"/>
  <c r="AT114" i="33" s="1"/>
  <c r="AT126" i="33" s="1"/>
  <c r="A56" i="18"/>
  <c r="AT102" i="33" s="1"/>
  <c r="AT113" i="33" s="1"/>
  <c r="AT125" i="33" s="1"/>
  <c r="A55" i="18"/>
  <c r="AT101" i="33" s="1"/>
  <c r="AT112" i="33" s="1"/>
  <c r="AT124" i="33" s="1"/>
  <c r="AD57" i="18"/>
  <c r="A54" i="18"/>
  <c r="AT100" i="33" s="1"/>
  <c r="AT111" i="33" s="1"/>
  <c r="AT123" i="33" s="1"/>
  <c r="A53" i="18"/>
  <c r="AT99" i="33" s="1"/>
  <c r="AT110" i="33" s="1"/>
  <c r="AT122" i="33" s="1"/>
  <c r="A52" i="18"/>
  <c r="AT98" i="33" s="1"/>
  <c r="AT109" i="33" s="1"/>
  <c r="AT121" i="33" s="1"/>
  <c r="Y48" i="18"/>
  <c r="X48" i="18"/>
  <c r="BD56" i="31" s="1"/>
  <c r="BD78" i="31" s="1"/>
  <c r="W48" i="18"/>
  <c r="BC56" i="31" s="1"/>
  <c r="BC78" i="31" s="1"/>
  <c r="V48" i="18"/>
  <c r="BB56" i="31" s="1"/>
  <c r="BB78" i="31" s="1"/>
  <c r="U48" i="18"/>
  <c r="BA56" i="31" s="1"/>
  <c r="BA78" i="31" s="1"/>
  <c r="T48" i="18"/>
  <c r="AZ56" i="31" s="1"/>
  <c r="AZ78" i="31" s="1"/>
  <c r="S48" i="18"/>
  <c r="AY56" i="31" s="1"/>
  <c r="AY78" i="31" s="1"/>
  <c r="R48" i="18"/>
  <c r="AX56" i="31" s="1"/>
  <c r="AX78" i="31" s="1"/>
  <c r="Q48" i="18"/>
  <c r="P48" i="18"/>
  <c r="AV56" i="31" s="1"/>
  <c r="AV78" i="31" s="1"/>
  <c r="O48" i="18"/>
  <c r="N48" i="18"/>
  <c r="AT56" i="31" s="1"/>
  <c r="AT78" i="31" s="1"/>
  <c r="M48" i="18"/>
  <c r="AS56" i="31" s="1"/>
  <c r="AS78" i="31" s="1"/>
  <c r="L48" i="18"/>
  <c r="AR56" i="31" s="1"/>
  <c r="AR78" i="31" s="1"/>
  <c r="K48" i="18"/>
  <c r="AQ56" i="31" s="1"/>
  <c r="AQ78" i="31" s="1"/>
  <c r="J48" i="18"/>
  <c r="AP56" i="31" s="1"/>
  <c r="AP78" i="31" s="1"/>
  <c r="I48" i="18"/>
  <c r="H48" i="18"/>
  <c r="AN56" i="31" s="1"/>
  <c r="AN78" i="31" s="1"/>
  <c r="G48" i="18"/>
  <c r="F48" i="18"/>
  <c r="AL56" i="31" s="1"/>
  <c r="AL78" i="31" s="1"/>
  <c r="E48" i="18"/>
  <c r="AK56" i="31" s="1"/>
  <c r="AK78" i="31" s="1"/>
  <c r="D48" i="18"/>
  <c r="AJ56" i="31" s="1"/>
  <c r="AJ78" i="31" s="1"/>
  <c r="C48" i="18"/>
  <c r="AI56" i="31" s="1"/>
  <c r="AI78" i="31" s="1"/>
  <c r="B48" i="18"/>
  <c r="AH56" i="31" s="1"/>
  <c r="AH78" i="31" s="1"/>
  <c r="A48" i="18"/>
  <c r="AG56" i="31" s="1"/>
  <c r="Y47" i="18"/>
  <c r="BE55" i="31" s="1"/>
  <c r="BE77" i="31" s="1"/>
  <c r="X47" i="18"/>
  <c r="W47" i="18"/>
  <c r="BC55" i="31" s="1"/>
  <c r="BC77" i="31" s="1"/>
  <c r="V47" i="18"/>
  <c r="BB55" i="31" s="1"/>
  <c r="BB77" i="31" s="1"/>
  <c r="U47" i="18"/>
  <c r="BA55" i="31" s="1"/>
  <c r="BA77" i="31" s="1"/>
  <c r="T47" i="18"/>
  <c r="AZ55" i="31" s="1"/>
  <c r="AZ77" i="31" s="1"/>
  <c r="S47" i="18"/>
  <c r="AY55" i="31" s="1"/>
  <c r="AY77" i="31" s="1"/>
  <c r="R47" i="18"/>
  <c r="Q47" i="18"/>
  <c r="AW55" i="31" s="1"/>
  <c r="AW77" i="31" s="1"/>
  <c r="P47" i="18"/>
  <c r="O47" i="18"/>
  <c r="AU55" i="31" s="1"/>
  <c r="AU77" i="31" s="1"/>
  <c r="N47" i="18"/>
  <c r="AT55" i="31" s="1"/>
  <c r="AT77" i="31" s="1"/>
  <c r="M47" i="18"/>
  <c r="AS55" i="31" s="1"/>
  <c r="AS77" i="31" s="1"/>
  <c r="L47" i="18"/>
  <c r="AR55" i="31" s="1"/>
  <c r="AR77" i="31" s="1"/>
  <c r="K47" i="18"/>
  <c r="AQ55" i="31" s="1"/>
  <c r="AQ77" i="31" s="1"/>
  <c r="J47" i="18"/>
  <c r="I47" i="18"/>
  <c r="AO55" i="31" s="1"/>
  <c r="AO77" i="31" s="1"/>
  <c r="H47" i="18"/>
  <c r="G47" i="18"/>
  <c r="AM55" i="31" s="1"/>
  <c r="AM77" i="31" s="1"/>
  <c r="F47" i="18"/>
  <c r="AL55" i="31" s="1"/>
  <c r="AL77" i="31" s="1"/>
  <c r="E47" i="18"/>
  <c r="AK55" i="31" s="1"/>
  <c r="AK77" i="31" s="1"/>
  <c r="D47" i="18"/>
  <c r="AJ55" i="31" s="1"/>
  <c r="AJ77" i="31" s="1"/>
  <c r="C47" i="18"/>
  <c r="AI55" i="31" s="1"/>
  <c r="AI77" i="31" s="1"/>
  <c r="B47" i="18"/>
  <c r="A47" i="18"/>
  <c r="AG55" i="31" s="1"/>
  <c r="Y46" i="18"/>
  <c r="BE54" i="31" s="1"/>
  <c r="BE76" i="31" s="1"/>
  <c r="X46" i="18"/>
  <c r="BD54" i="31" s="1"/>
  <c r="BD76" i="31" s="1"/>
  <c r="W46" i="18"/>
  <c r="BC54" i="31" s="1"/>
  <c r="BC76" i="31" s="1"/>
  <c r="V46" i="18"/>
  <c r="BB54" i="31" s="1"/>
  <c r="BB76" i="31" s="1"/>
  <c r="U46" i="18"/>
  <c r="BA54" i="31" s="1"/>
  <c r="BA76" i="31" s="1"/>
  <c r="T46" i="18"/>
  <c r="AZ54" i="31" s="1"/>
  <c r="AZ76" i="31" s="1"/>
  <c r="S46" i="18"/>
  <c r="AY54" i="31" s="1"/>
  <c r="AY76" i="31" s="1"/>
  <c r="R46" i="18"/>
  <c r="AX54" i="31" s="1"/>
  <c r="AX76" i="31" s="1"/>
  <c r="Q46" i="18"/>
  <c r="P46" i="18"/>
  <c r="AV54" i="31" s="1"/>
  <c r="AV76" i="31" s="1"/>
  <c r="O46" i="18"/>
  <c r="AU54" i="31" s="1"/>
  <c r="AU76" i="31" s="1"/>
  <c r="N46" i="18"/>
  <c r="AT54" i="31" s="1"/>
  <c r="AT76" i="31" s="1"/>
  <c r="M46" i="18"/>
  <c r="AS54" i="31" s="1"/>
  <c r="AS76" i="31" s="1"/>
  <c r="L46" i="18"/>
  <c r="AR54" i="31" s="1"/>
  <c r="AR76" i="31" s="1"/>
  <c r="K46" i="18"/>
  <c r="AQ54" i="31" s="1"/>
  <c r="AQ76" i="31" s="1"/>
  <c r="J46" i="18"/>
  <c r="AP54" i="31" s="1"/>
  <c r="AP76" i="31" s="1"/>
  <c r="I46" i="18"/>
  <c r="AO54" i="31" s="1"/>
  <c r="AO76" i="31" s="1"/>
  <c r="H46" i="18"/>
  <c r="AN54" i="31" s="1"/>
  <c r="AN76" i="31" s="1"/>
  <c r="G46" i="18"/>
  <c r="AM54" i="31" s="1"/>
  <c r="AM76" i="31" s="1"/>
  <c r="F46" i="18"/>
  <c r="AL54" i="31" s="1"/>
  <c r="AL76" i="31" s="1"/>
  <c r="E46" i="18"/>
  <c r="AK54" i="31" s="1"/>
  <c r="AK76" i="31" s="1"/>
  <c r="D46" i="18"/>
  <c r="AJ54" i="31" s="1"/>
  <c r="AJ76" i="31" s="1"/>
  <c r="C46" i="18"/>
  <c r="B46" i="18"/>
  <c r="AH54" i="31" s="1"/>
  <c r="AH76" i="31" s="1"/>
  <c r="A46" i="18"/>
  <c r="AG54" i="31" s="1"/>
  <c r="Y45" i="18"/>
  <c r="BE53" i="31" s="1"/>
  <c r="BE75" i="31" s="1"/>
  <c r="X45" i="18"/>
  <c r="BD53" i="31" s="1"/>
  <c r="BD75" i="31" s="1"/>
  <c r="W45" i="18"/>
  <c r="BC53" i="31" s="1"/>
  <c r="BC75" i="31" s="1"/>
  <c r="V45" i="18"/>
  <c r="BB53" i="31" s="1"/>
  <c r="BB75" i="31" s="1"/>
  <c r="U45" i="18"/>
  <c r="BA53" i="31" s="1"/>
  <c r="BA75" i="31" s="1"/>
  <c r="T45" i="18"/>
  <c r="S45" i="18"/>
  <c r="AY53" i="31" s="1"/>
  <c r="AY75" i="31" s="1"/>
  <c r="R45" i="18"/>
  <c r="AX53" i="31" s="1"/>
  <c r="AX75" i="31" s="1"/>
  <c r="Q45" i="18"/>
  <c r="AW53" i="31" s="1"/>
  <c r="AW75" i="31" s="1"/>
  <c r="P45" i="18"/>
  <c r="AV53" i="31" s="1"/>
  <c r="AV75" i="31" s="1"/>
  <c r="O45" i="18"/>
  <c r="AU53" i="31" s="1"/>
  <c r="AU75" i="31" s="1"/>
  <c r="N45" i="18"/>
  <c r="AT53" i="31" s="1"/>
  <c r="AT75" i="31" s="1"/>
  <c r="M45" i="18"/>
  <c r="AS53" i="31" s="1"/>
  <c r="AS75" i="31" s="1"/>
  <c r="L45" i="18"/>
  <c r="K45" i="18"/>
  <c r="AQ53" i="31" s="1"/>
  <c r="AQ75" i="31" s="1"/>
  <c r="J45" i="18"/>
  <c r="AP53" i="31" s="1"/>
  <c r="AP75" i="31" s="1"/>
  <c r="I45" i="18"/>
  <c r="AO53" i="31" s="1"/>
  <c r="AO75" i="31" s="1"/>
  <c r="H45" i="18"/>
  <c r="AN53" i="31" s="1"/>
  <c r="AN75" i="31" s="1"/>
  <c r="G45" i="18"/>
  <c r="AM53" i="31" s="1"/>
  <c r="AM75" i="31" s="1"/>
  <c r="F45" i="18"/>
  <c r="AL53" i="31" s="1"/>
  <c r="AL75" i="31" s="1"/>
  <c r="E45" i="18"/>
  <c r="AK53" i="31" s="1"/>
  <c r="AK75" i="31" s="1"/>
  <c r="D45" i="18"/>
  <c r="C45" i="18"/>
  <c r="AI53" i="31" s="1"/>
  <c r="AI75" i="31" s="1"/>
  <c r="B45" i="18"/>
  <c r="A45" i="18"/>
  <c r="AG53" i="31" s="1"/>
  <c r="Y44" i="18"/>
  <c r="BE52" i="31" s="1"/>
  <c r="BE74" i="31" s="1"/>
  <c r="X44" i="18"/>
  <c r="BD52" i="31" s="1"/>
  <c r="BD74" i="31" s="1"/>
  <c r="W44" i="18"/>
  <c r="BC52" i="31" s="1"/>
  <c r="BC74" i="31" s="1"/>
  <c r="V44" i="18"/>
  <c r="BB52" i="31" s="1"/>
  <c r="BB74" i="31" s="1"/>
  <c r="U44" i="18"/>
  <c r="BA52" i="31" s="1"/>
  <c r="BA74" i="31" s="1"/>
  <c r="T44" i="18"/>
  <c r="AZ52" i="31" s="1"/>
  <c r="AZ74" i="31" s="1"/>
  <c r="S44" i="18"/>
  <c r="AY52" i="31" s="1"/>
  <c r="AY74" i="31" s="1"/>
  <c r="R44" i="18"/>
  <c r="AX52" i="31" s="1"/>
  <c r="AX74" i="31" s="1"/>
  <c r="Q44" i="18"/>
  <c r="AW52" i="31" s="1"/>
  <c r="AW74" i="31" s="1"/>
  <c r="P44" i="18"/>
  <c r="AV52" i="31" s="1"/>
  <c r="AV74" i="31" s="1"/>
  <c r="O44" i="18"/>
  <c r="AU52" i="31" s="1"/>
  <c r="AU74" i="31" s="1"/>
  <c r="N44" i="18"/>
  <c r="AT52" i="31" s="1"/>
  <c r="AT74" i="31" s="1"/>
  <c r="M44" i="18"/>
  <c r="AS52" i="31" s="1"/>
  <c r="AS74" i="31" s="1"/>
  <c r="L44" i="18"/>
  <c r="AR52" i="31" s="1"/>
  <c r="AR74" i="31" s="1"/>
  <c r="K44" i="18"/>
  <c r="AQ52" i="31" s="1"/>
  <c r="AQ74" i="31" s="1"/>
  <c r="J44" i="18"/>
  <c r="AP52" i="31" s="1"/>
  <c r="AP74" i="31" s="1"/>
  <c r="I44" i="18"/>
  <c r="AO52" i="31" s="1"/>
  <c r="AO74" i="31" s="1"/>
  <c r="H44" i="18"/>
  <c r="AN52" i="31" s="1"/>
  <c r="AN74" i="31" s="1"/>
  <c r="G44" i="18"/>
  <c r="AM52" i="31" s="1"/>
  <c r="AM74" i="31" s="1"/>
  <c r="F44" i="18"/>
  <c r="AL52" i="31" s="1"/>
  <c r="AL74" i="31" s="1"/>
  <c r="E44" i="18"/>
  <c r="D44" i="18"/>
  <c r="AJ52" i="31" s="1"/>
  <c r="AJ74" i="31" s="1"/>
  <c r="C44" i="18"/>
  <c r="AI52" i="31" s="1"/>
  <c r="AI74" i="31" s="1"/>
  <c r="B44" i="18"/>
  <c r="AH52" i="31" s="1"/>
  <c r="AH74" i="31" s="1"/>
  <c r="A44" i="18"/>
  <c r="AG52" i="31" s="1"/>
  <c r="Y43" i="18"/>
  <c r="BE51" i="31" s="1"/>
  <c r="BE73" i="31" s="1"/>
  <c r="X43" i="18"/>
  <c r="BD51" i="31" s="1"/>
  <c r="BD73" i="31" s="1"/>
  <c r="W43" i="18"/>
  <c r="BC51" i="31" s="1"/>
  <c r="BC73" i="31" s="1"/>
  <c r="V43" i="18"/>
  <c r="U43" i="18"/>
  <c r="BA51" i="31" s="1"/>
  <c r="BA73" i="31" s="1"/>
  <c r="T43" i="18"/>
  <c r="AZ51" i="31" s="1"/>
  <c r="AZ73" i="31" s="1"/>
  <c r="S43" i="18"/>
  <c r="AY51" i="31" s="1"/>
  <c r="AY73" i="31" s="1"/>
  <c r="R43" i="18"/>
  <c r="AX51" i="31" s="1"/>
  <c r="AX73" i="31" s="1"/>
  <c r="Q43" i="18"/>
  <c r="AW51" i="31" s="1"/>
  <c r="AW73" i="31" s="1"/>
  <c r="P43" i="18"/>
  <c r="O43" i="18"/>
  <c r="AU51" i="31" s="1"/>
  <c r="AU73" i="31" s="1"/>
  <c r="N43" i="18"/>
  <c r="M43" i="18"/>
  <c r="AS51" i="31" s="1"/>
  <c r="AS73" i="31" s="1"/>
  <c r="L43" i="18"/>
  <c r="AR51" i="31" s="1"/>
  <c r="AR73" i="31" s="1"/>
  <c r="K43" i="18"/>
  <c r="AQ51" i="31" s="1"/>
  <c r="AQ73" i="31" s="1"/>
  <c r="J43" i="18"/>
  <c r="AP51" i="31" s="1"/>
  <c r="AP73" i="31" s="1"/>
  <c r="I43" i="18"/>
  <c r="AO51" i="31" s="1"/>
  <c r="AO73" i="31" s="1"/>
  <c r="H43" i="18"/>
  <c r="AN51" i="31" s="1"/>
  <c r="AN73" i="31" s="1"/>
  <c r="G43" i="18"/>
  <c r="AM51" i="31" s="1"/>
  <c r="AM73" i="31" s="1"/>
  <c r="F43" i="18"/>
  <c r="E43" i="18"/>
  <c r="AK51" i="31" s="1"/>
  <c r="AK73" i="31" s="1"/>
  <c r="D43" i="18"/>
  <c r="C43" i="18"/>
  <c r="AI51" i="31" s="1"/>
  <c r="AI73" i="31" s="1"/>
  <c r="B43" i="18"/>
  <c r="AH51" i="31" s="1"/>
  <c r="AH73" i="31" s="1"/>
  <c r="A43" i="18"/>
  <c r="AG51" i="31" s="1"/>
  <c r="Y42" i="18"/>
  <c r="BE50" i="31" s="1"/>
  <c r="BE72" i="31" s="1"/>
  <c r="X42" i="18"/>
  <c r="BD50" i="31" s="1"/>
  <c r="BD72" i="31" s="1"/>
  <c r="W42" i="18"/>
  <c r="BC50" i="31" s="1"/>
  <c r="BC72" i="31" s="1"/>
  <c r="V42" i="18"/>
  <c r="BB50" i="31" s="1"/>
  <c r="BB72" i="31" s="1"/>
  <c r="U42" i="18"/>
  <c r="BA50" i="31" s="1"/>
  <c r="BA72" i="31" s="1"/>
  <c r="T42" i="18"/>
  <c r="AZ50" i="31" s="1"/>
  <c r="AZ72" i="31" s="1"/>
  <c r="S42" i="18"/>
  <c r="AY50" i="31" s="1"/>
  <c r="AY72" i="31" s="1"/>
  <c r="R42" i="18"/>
  <c r="AX50" i="31" s="1"/>
  <c r="AX72" i="31" s="1"/>
  <c r="Q42" i="18"/>
  <c r="AW50" i="31" s="1"/>
  <c r="AW72" i="31" s="1"/>
  <c r="P42" i="18"/>
  <c r="AV50" i="31" s="1"/>
  <c r="AV72" i="31" s="1"/>
  <c r="O42" i="18"/>
  <c r="AU50" i="31" s="1"/>
  <c r="AU72" i="31" s="1"/>
  <c r="N42" i="18"/>
  <c r="AT50" i="31" s="1"/>
  <c r="AT72" i="31" s="1"/>
  <c r="M42" i="18"/>
  <c r="AS50" i="31" s="1"/>
  <c r="AS72" i="31" s="1"/>
  <c r="L42" i="18"/>
  <c r="AR50" i="31" s="1"/>
  <c r="AR72" i="31" s="1"/>
  <c r="K42" i="18"/>
  <c r="AQ50" i="31" s="1"/>
  <c r="AQ72" i="31" s="1"/>
  <c r="J42" i="18"/>
  <c r="AP50" i="31" s="1"/>
  <c r="AP72" i="31" s="1"/>
  <c r="I42" i="18"/>
  <c r="AO50" i="31" s="1"/>
  <c r="AO72" i="31" s="1"/>
  <c r="H42" i="18"/>
  <c r="AN50" i="31" s="1"/>
  <c r="AN72" i="31" s="1"/>
  <c r="G42" i="18"/>
  <c r="F42" i="18"/>
  <c r="AL50" i="31" s="1"/>
  <c r="AL72" i="31" s="1"/>
  <c r="E42" i="18"/>
  <c r="AK50" i="31" s="1"/>
  <c r="AK72" i="31" s="1"/>
  <c r="D42" i="18"/>
  <c r="AJ50" i="31" s="1"/>
  <c r="AJ72" i="31" s="1"/>
  <c r="C42" i="18"/>
  <c r="AI50" i="31" s="1"/>
  <c r="AI72" i="31" s="1"/>
  <c r="B42" i="18"/>
  <c r="AH50" i="31" s="1"/>
  <c r="AH72" i="31" s="1"/>
  <c r="A42" i="18"/>
  <c r="AG50" i="31" s="1"/>
  <c r="Y41" i="18"/>
  <c r="BE49" i="31" s="1"/>
  <c r="BE71" i="31" s="1"/>
  <c r="X41" i="18"/>
  <c r="BD49" i="31" s="1"/>
  <c r="BD71" i="31" s="1"/>
  <c r="W41" i="18"/>
  <c r="BC49" i="31" s="1"/>
  <c r="BC71" i="31" s="1"/>
  <c r="V41" i="18"/>
  <c r="BB49" i="31" s="1"/>
  <c r="BB71" i="31" s="1"/>
  <c r="U41" i="18"/>
  <c r="BA49" i="31" s="1"/>
  <c r="BA71" i="31" s="1"/>
  <c r="T41" i="18"/>
  <c r="AZ49" i="31" s="1"/>
  <c r="AZ71" i="31" s="1"/>
  <c r="S41" i="18"/>
  <c r="AY49" i="31" s="1"/>
  <c r="AY71" i="31" s="1"/>
  <c r="R41" i="18"/>
  <c r="AX49" i="31" s="1"/>
  <c r="AX71" i="31" s="1"/>
  <c r="Q41" i="18"/>
  <c r="AW49" i="31" s="1"/>
  <c r="AW71" i="31" s="1"/>
  <c r="P41" i="18"/>
  <c r="O41" i="18"/>
  <c r="AU49" i="31" s="1"/>
  <c r="AU71" i="31" s="1"/>
  <c r="N41" i="18"/>
  <c r="AT49" i="31" s="1"/>
  <c r="M41" i="18"/>
  <c r="AS49" i="31" s="1"/>
  <c r="AS71" i="31" s="1"/>
  <c r="L41" i="18"/>
  <c r="AR49" i="31" s="1"/>
  <c r="AR71" i="31" s="1"/>
  <c r="K41" i="18"/>
  <c r="AQ49" i="31" s="1"/>
  <c r="AQ71" i="31" s="1"/>
  <c r="J41" i="18"/>
  <c r="AP49" i="31" s="1"/>
  <c r="AP71" i="31" s="1"/>
  <c r="I41" i="18"/>
  <c r="AO49" i="31" s="1"/>
  <c r="AO71" i="31" s="1"/>
  <c r="H41" i="18"/>
  <c r="G41" i="18"/>
  <c r="AM49" i="31" s="1"/>
  <c r="AM71" i="31" s="1"/>
  <c r="F41" i="18"/>
  <c r="AL49" i="31" s="1"/>
  <c r="AL71" i="31" s="1"/>
  <c r="E41" i="18"/>
  <c r="AK49" i="31" s="1"/>
  <c r="AK71" i="31" s="1"/>
  <c r="D41" i="18"/>
  <c r="AJ49" i="31" s="1"/>
  <c r="AJ71" i="31" s="1"/>
  <c r="C41" i="18"/>
  <c r="AI49" i="31" s="1"/>
  <c r="AI71" i="31" s="1"/>
  <c r="B41" i="18"/>
  <c r="AH49" i="31" s="1"/>
  <c r="AH71" i="31" s="1"/>
  <c r="A41" i="18"/>
  <c r="AG49" i="31" s="1"/>
  <c r="Y40" i="18"/>
  <c r="BE48" i="31" s="1"/>
  <c r="BE70" i="31" s="1"/>
  <c r="X40" i="18"/>
  <c r="BD48" i="31" s="1"/>
  <c r="BD70" i="31" s="1"/>
  <c r="W40" i="18"/>
  <c r="V40" i="18"/>
  <c r="BB48" i="31" s="1"/>
  <c r="BB70" i="31" s="1"/>
  <c r="U40" i="18"/>
  <c r="BA48" i="31" s="1"/>
  <c r="BA70" i="31" s="1"/>
  <c r="T40" i="18"/>
  <c r="AZ48" i="31" s="1"/>
  <c r="AZ70" i="31" s="1"/>
  <c r="S40" i="18"/>
  <c r="AY48" i="31" s="1"/>
  <c r="AY70" i="31" s="1"/>
  <c r="R40" i="18"/>
  <c r="AX48" i="31" s="1"/>
  <c r="AX70" i="31" s="1"/>
  <c r="Q40" i="18"/>
  <c r="AW48" i="31" s="1"/>
  <c r="AW70" i="31" s="1"/>
  <c r="P40" i="18"/>
  <c r="AV48" i="31" s="1"/>
  <c r="AV70" i="31" s="1"/>
  <c r="O40" i="18"/>
  <c r="AU48" i="31" s="1"/>
  <c r="AU70" i="31" s="1"/>
  <c r="N40" i="18"/>
  <c r="AT48" i="31" s="1"/>
  <c r="AT70" i="31" s="1"/>
  <c r="M40" i="18"/>
  <c r="AS48" i="31" s="1"/>
  <c r="AS70" i="31" s="1"/>
  <c r="L40" i="18"/>
  <c r="AR48" i="31" s="1"/>
  <c r="AR70" i="31" s="1"/>
  <c r="K40" i="18"/>
  <c r="AQ48" i="31" s="1"/>
  <c r="AQ70" i="31" s="1"/>
  <c r="J40" i="18"/>
  <c r="AP48" i="31" s="1"/>
  <c r="AP70" i="31" s="1"/>
  <c r="I40" i="18"/>
  <c r="H40" i="18"/>
  <c r="AN48" i="31" s="1"/>
  <c r="AN70" i="31" s="1"/>
  <c r="G40" i="18"/>
  <c r="AM48" i="31" s="1"/>
  <c r="AM70" i="31" s="1"/>
  <c r="F40" i="18"/>
  <c r="AL48" i="31" s="1"/>
  <c r="AL70" i="31" s="1"/>
  <c r="E40" i="18"/>
  <c r="AK48" i="31" s="1"/>
  <c r="AK70" i="31" s="1"/>
  <c r="D40" i="18"/>
  <c r="AJ48" i="31" s="1"/>
  <c r="AJ70" i="31" s="1"/>
  <c r="C40" i="18"/>
  <c r="AI48" i="31" s="1"/>
  <c r="AI70" i="31" s="1"/>
  <c r="B40" i="18"/>
  <c r="A40" i="18"/>
  <c r="AG48" i="31" s="1"/>
  <c r="Y39" i="18"/>
  <c r="BE47" i="31" s="1"/>
  <c r="BE69" i="31" s="1"/>
  <c r="X39" i="18"/>
  <c r="BD47" i="31" s="1"/>
  <c r="BD69" i="31" s="1"/>
  <c r="W39" i="18"/>
  <c r="BC47" i="31" s="1"/>
  <c r="BC69" i="31" s="1"/>
  <c r="V39" i="18"/>
  <c r="BB47" i="31" s="1"/>
  <c r="BB69" i="31" s="1"/>
  <c r="U39" i="18"/>
  <c r="BA47" i="31" s="1"/>
  <c r="BA69" i="31" s="1"/>
  <c r="T39" i="18"/>
  <c r="AZ47" i="31" s="1"/>
  <c r="AZ69" i="31" s="1"/>
  <c r="S39" i="18"/>
  <c r="AY47" i="31" s="1"/>
  <c r="AY69" i="31" s="1"/>
  <c r="R39" i="18"/>
  <c r="Q39" i="18"/>
  <c r="AW47" i="31" s="1"/>
  <c r="AW69" i="31" s="1"/>
  <c r="P39" i="18"/>
  <c r="AV47" i="31" s="1"/>
  <c r="AV69" i="31" s="1"/>
  <c r="O39" i="18"/>
  <c r="AU47" i="31" s="1"/>
  <c r="AU69" i="31" s="1"/>
  <c r="N39" i="18"/>
  <c r="AT47" i="31" s="1"/>
  <c r="AT69" i="31" s="1"/>
  <c r="M39" i="18"/>
  <c r="AS47" i="31" s="1"/>
  <c r="AS69" i="31" s="1"/>
  <c r="L39" i="18"/>
  <c r="AR47" i="31" s="1"/>
  <c r="AR69" i="31" s="1"/>
  <c r="K39" i="18"/>
  <c r="AQ47" i="31" s="1"/>
  <c r="AQ69" i="31" s="1"/>
  <c r="J39" i="18"/>
  <c r="I39" i="18"/>
  <c r="AO47" i="31" s="1"/>
  <c r="AO69" i="31" s="1"/>
  <c r="H39" i="18"/>
  <c r="AN47" i="31" s="1"/>
  <c r="AN69" i="31" s="1"/>
  <c r="G39" i="18"/>
  <c r="AM47" i="31" s="1"/>
  <c r="AM69" i="31" s="1"/>
  <c r="F39" i="18"/>
  <c r="AL47" i="31" s="1"/>
  <c r="AL69" i="31" s="1"/>
  <c r="E39" i="18"/>
  <c r="AK47" i="31" s="1"/>
  <c r="AK69" i="31" s="1"/>
  <c r="D39" i="18"/>
  <c r="AJ47" i="31" s="1"/>
  <c r="AJ69" i="31" s="1"/>
  <c r="C39" i="18"/>
  <c r="AI47" i="31" s="1"/>
  <c r="AI69" i="31" s="1"/>
  <c r="B63" i="18"/>
  <c r="A39" i="18"/>
  <c r="AG47" i="31" s="1"/>
  <c r="A36" i="18"/>
  <c r="A35" i="18"/>
  <c r="A34" i="18"/>
  <c r="A33" i="18"/>
  <c r="A32" i="18"/>
  <c r="A29" i="18"/>
  <c r="A28" i="18"/>
  <c r="A27" i="18"/>
  <c r="AA3" i="18"/>
  <c r="AT167" i="33" l="1"/>
  <c r="AT132" i="33"/>
  <c r="AT174" i="33"/>
  <c r="AT139" i="33"/>
  <c r="AT133" i="33"/>
  <c r="AT168" i="33"/>
  <c r="AT169" i="33"/>
  <c r="AT134" i="33"/>
  <c r="AT176" i="33"/>
  <c r="AT141" i="33"/>
  <c r="AT170" i="33"/>
  <c r="AT135" i="33"/>
  <c r="AT175" i="33"/>
  <c r="AT140" i="33"/>
  <c r="AT171" i="33"/>
  <c r="AT136" i="33"/>
  <c r="AT137" i="33"/>
  <c r="AT172" i="33"/>
  <c r="AT138" i="33"/>
  <c r="AT173" i="33"/>
  <c r="C169" i="33"/>
  <c r="D169" i="33" s="1"/>
  <c r="D171" i="33"/>
  <c r="AT42" i="30"/>
  <c r="AT53" i="30" s="1"/>
  <c r="AT65" i="30" s="1"/>
  <c r="B73" i="29"/>
  <c r="AG61" i="31"/>
  <c r="AG72" i="31" s="1"/>
  <c r="B84" i="29"/>
  <c r="J63" i="18"/>
  <c r="AP47" i="31"/>
  <c r="AP69" i="31" s="1"/>
  <c r="R63" i="18"/>
  <c r="AX47" i="31"/>
  <c r="AX69" i="31" s="1"/>
  <c r="I64" i="18"/>
  <c r="AO48" i="31"/>
  <c r="AO70" i="31" s="1"/>
  <c r="H65" i="18"/>
  <c r="AN49" i="31"/>
  <c r="AN71" i="31" s="1"/>
  <c r="P65" i="18"/>
  <c r="AV49" i="31"/>
  <c r="AV71" i="31" s="1"/>
  <c r="G66" i="18"/>
  <c r="AM50" i="31"/>
  <c r="AM72" i="31" s="1"/>
  <c r="F67" i="18"/>
  <c r="AL51" i="31"/>
  <c r="AL73" i="31" s="1"/>
  <c r="N67" i="18"/>
  <c r="AT51" i="31"/>
  <c r="AT73" i="31" s="1"/>
  <c r="V67" i="18"/>
  <c r="BB51" i="31"/>
  <c r="BB73" i="31" s="1"/>
  <c r="E68" i="18"/>
  <c r="AK52" i="31"/>
  <c r="AK74" i="31" s="1"/>
  <c r="D69" i="18"/>
  <c r="AJ53" i="31"/>
  <c r="AJ75" i="31" s="1"/>
  <c r="L69" i="18"/>
  <c r="AR53" i="31"/>
  <c r="AR75" i="31" s="1"/>
  <c r="T69" i="18"/>
  <c r="AZ53" i="31"/>
  <c r="AZ75" i="31" s="1"/>
  <c r="C70" i="18"/>
  <c r="AI54" i="31"/>
  <c r="AI76" i="31" s="1"/>
  <c r="B71" i="18"/>
  <c r="AH55" i="31"/>
  <c r="AH77" i="31" s="1"/>
  <c r="J71" i="18"/>
  <c r="AP55" i="31"/>
  <c r="AP77" i="31" s="1"/>
  <c r="R71" i="18"/>
  <c r="AX55" i="31"/>
  <c r="AX77" i="31" s="1"/>
  <c r="AT43" i="30"/>
  <c r="AT54" i="30" s="1"/>
  <c r="AT66" i="30" s="1"/>
  <c r="B74" i="29"/>
  <c r="B85" i="29"/>
  <c r="AG62" i="31"/>
  <c r="AG73" i="31" s="1"/>
  <c r="B64" i="18"/>
  <c r="AH48" i="31"/>
  <c r="AH70" i="31" s="1"/>
  <c r="B68" i="29"/>
  <c r="AT37" i="30"/>
  <c r="AT48" i="30" s="1"/>
  <c r="AT60" i="30" s="1"/>
  <c r="AT44" i="30"/>
  <c r="AT55" i="30" s="1"/>
  <c r="AT67" i="30" s="1"/>
  <c r="B75" i="29"/>
  <c r="B86" i="29"/>
  <c r="AG63" i="31"/>
  <c r="AG74" i="31" s="1"/>
  <c r="AT38" i="30"/>
  <c r="AT49" i="30" s="1"/>
  <c r="AT61" i="30" s="1"/>
  <c r="B69" i="29"/>
  <c r="AT45" i="30"/>
  <c r="AT56" i="30" s="1"/>
  <c r="AT68" i="30" s="1"/>
  <c r="B76" i="29"/>
  <c r="AG64" i="31"/>
  <c r="AG75" i="31" s="1"/>
  <c r="B87" i="29"/>
  <c r="B70" i="29"/>
  <c r="AT39" i="30"/>
  <c r="AT50" i="30" s="1"/>
  <c r="AT62" i="30" s="1"/>
  <c r="AT46" i="30"/>
  <c r="AT57" i="30" s="1"/>
  <c r="AT69" i="30" s="1"/>
  <c r="B77" i="29"/>
  <c r="AG65" i="31"/>
  <c r="AG76" i="31" s="1"/>
  <c r="B88" i="29"/>
  <c r="AG58" i="31"/>
  <c r="AG69" i="31" s="1"/>
  <c r="B81" i="29"/>
  <c r="AG66" i="31"/>
  <c r="AG77" i="31" s="1"/>
  <c r="B89" i="29"/>
  <c r="AT40" i="30"/>
  <c r="AT51" i="30" s="1"/>
  <c r="AT63" i="30" s="1"/>
  <c r="B71" i="29"/>
  <c r="B82" i="29"/>
  <c r="AG59" i="31"/>
  <c r="AG70" i="31" s="1"/>
  <c r="AG67" i="31"/>
  <c r="AG78" i="31" s="1"/>
  <c r="B90" i="29"/>
  <c r="W64" i="18"/>
  <c r="BC48" i="31"/>
  <c r="BC70" i="31" s="1"/>
  <c r="AT71" i="31"/>
  <c r="D67" i="18"/>
  <c r="AJ51" i="31"/>
  <c r="AJ73" i="31" s="1"/>
  <c r="B69" i="18"/>
  <c r="AH53" i="31"/>
  <c r="AH75" i="31" s="1"/>
  <c r="Q70" i="18"/>
  <c r="AW54" i="31"/>
  <c r="AW76" i="31" s="1"/>
  <c r="H71" i="18"/>
  <c r="AN55" i="31"/>
  <c r="AN77" i="31" s="1"/>
  <c r="P71" i="18"/>
  <c r="AV55" i="31"/>
  <c r="AV77" i="31" s="1"/>
  <c r="X71" i="18"/>
  <c r="BD55" i="31"/>
  <c r="BD77" i="31" s="1"/>
  <c r="AT41" i="30"/>
  <c r="AT52" i="30" s="1"/>
  <c r="AT64" i="30" s="1"/>
  <c r="B72" i="29"/>
  <c r="AG60" i="31"/>
  <c r="AG71" i="31" s="1"/>
  <c r="B83" i="29"/>
  <c r="I72" i="18"/>
  <c r="AO56" i="31"/>
  <c r="AO78" i="31" s="1"/>
  <c r="Q72" i="18"/>
  <c r="AW56" i="31"/>
  <c r="AW78" i="31" s="1"/>
  <c r="Y72" i="18"/>
  <c r="BE56" i="31"/>
  <c r="BE78" i="31" s="1"/>
  <c r="G72" i="18"/>
  <c r="AM56" i="31"/>
  <c r="AM78" i="31" s="1"/>
  <c r="O72" i="18"/>
  <c r="AU56" i="31"/>
  <c r="AU78" i="31" s="1"/>
  <c r="K72" i="23"/>
  <c r="I27" i="23"/>
  <c r="L63" i="18"/>
  <c r="L49" i="18"/>
  <c r="R65" i="18"/>
  <c r="X67" i="18"/>
  <c r="U70" i="18"/>
  <c r="E63" i="18"/>
  <c r="E49" i="18"/>
  <c r="M63" i="18"/>
  <c r="M49" i="18"/>
  <c r="U63" i="18"/>
  <c r="U49" i="18"/>
  <c r="D64" i="18"/>
  <c r="L64" i="18"/>
  <c r="T64" i="18"/>
  <c r="C65" i="18"/>
  <c r="K65" i="18"/>
  <c r="S65" i="18"/>
  <c r="B66" i="18"/>
  <c r="J66" i="18"/>
  <c r="R66" i="18"/>
  <c r="I67" i="18"/>
  <c r="Q67" i="18"/>
  <c r="Y67" i="18"/>
  <c r="H68" i="18"/>
  <c r="P68" i="18"/>
  <c r="X68" i="18"/>
  <c r="G69" i="18"/>
  <c r="O69" i="18"/>
  <c r="W69" i="18"/>
  <c r="F70" i="18"/>
  <c r="N70" i="18"/>
  <c r="V70" i="18"/>
  <c r="E71" i="18"/>
  <c r="M71" i="18"/>
  <c r="U71" i="18"/>
  <c r="R49" i="18"/>
  <c r="G68" i="18"/>
  <c r="D71" i="18"/>
  <c r="F63" i="18"/>
  <c r="F49" i="18"/>
  <c r="N63" i="18"/>
  <c r="N49" i="18"/>
  <c r="V63" i="18"/>
  <c r="V49" i="18"/>
  <c r="E64" i="18"/>
  <c r="M64" i="18"/>
  <c r="U64" i="18"/>
  <c r="D65" i="18"/>
  <c r="L65" i="18"/>
  <c r="T65" i="18"/>
  <c r="C66" i="18"/>
  <c r="K66" i="18"/>
  <c r="S66" i="18"/>
  <c r="B67" i="18"/>
  <c r="J67" i="18"/>
  <c r="R67" i="18"/>
  <c r="I68" i="18"/>
  <c r="Q68" i="18"/>
  <c r="Y68" i="18"/>
  <c r="H69" i="18"/>
  <c r="P69" i="18"/>
  <c r="X69" i="18"/>
  <c r="G70" i="18"/>
  <c r="O70" i="18"/>
  <c r="W70" i="18"/>
  <c r="F71" i="18"/>
  <c r="T63" i="18"/>
  <c r="T49" i="18"/>
  <c r="B65" i="18"/>
  <c r="Q66" i="18"/>
  <c r="O68" i="18"/>
  <c r="V69" i="18"/>
  <c r="T71" i="18"/>
  <c r="G63" i="18"/>
  <c r="G49" i="18"/>
  <c r="O63" i="18"/>
  <c r="O49" i="18"/>
  <c r="W63" i="18"/>
  <c r="W49" i="18"/>
  <c r="F64" i="18"/>
  <c r="N64" i="18"/>
  <c r="V64" i="18"/>
  <c r="E65" i="18"/>
  <c r="M65" i="18"/>
  <c r="U65" i="18"/>
  <c r="D66" i="18"/>
  <c r="L66" i="18"/>
  <c r="T66" i="18"/>
  <c r="C67" i="18"/>
  <c r="K67" i="18"/>
  <c r="S67" i="18"/>
  <c r="B68" i="18"/>
  <c r="J68" i="18"/>
  <c r="R68" i="18"/>
  <c r="I69" i="18"/>
  <c r="Q69" i="18"/>
  <c r="Y69" i="18"/>
  <c r="H70" i="18"/>
  <c r="P70" i="18"/>
  <c r="X70" i="18"/>
  <c r="G71" i="18"/>
  <c r="O71" i="18"/>
  <c r="W71" i="18"/>
  <c r="X65" i="18"/>
  <c r="I66" i="18"/>
  <c r="M70" i="18"/>
  <c r="H63" i="18"/>
  <c r="H49" i="18"/>
  <c r="P63" i="18"/>
  <c r="P49" i="18"/>
  <c r="X63" i="18"/>
  <c r="X49" i="18"/>
  <c r="G64" i="18"/>
  <c r="O64" i="18"/>
  <c r="F65" i="18"/>
  <c r="N65" i="18"/>
  <c r="V65" i="18"/>
  <c r="E66" i="18"/>
  <c r="M66" i="18"/>
  <c r="U66" i="18"/>
  <c r="L67" i="18"/>
  <c r="T67" i="18"/>
  <c r="C68" i="18"/>
  <c r="K68" i="18"/>
  <c r="S68" i="18"/>
  <c r="J69" i="18"/>
  <c r="R69" i="18"/>
  <c r="I70" i="18"/>
  <c r="K64" i="18"/>
  <c r="P67" i="18"/>
  <c r="N69" i="18"/>
  <c r="L71" i="18"/>
  <c r="I63" i="18"/>
  <c r="I49" i="18"/>
  <c r="Q63" i="18"/>
  <c r="Q49" i="18"/>
  <c r="Y63" i="18"/>
  <c r="Y49" i="18"/>
  <c r="H64" i="18"/>
  <c r="P64" i="18"/>
  <c r="X64" i="18"/>
  <c r="G65" i="18"/>
  <c r="O65" i="18"/>
  <c r="W65" i="18"/>
  <c r="F66" i="18"/>
  <c r="N66" i="18"/>
  <c r="V66" i="18"/>
  <c r="E67" i="18"/>
  <c r="M67" i="18"/>
  <c r="U67" i="18"/>
  <c r="D68" i="18"/>
  <c r="L68" i="18"/>
  <c r="T68" i="18"/>
  <c r="C69" i="18"/>
  <c r="K69" i="18"/>
  <c r="S69" i="18"/>
  <c r="B70" i="18"/>
  <c r="J70" i="18"/>
  <c r="R70" i="18"/>
  <c r="I71" i="18"/>
  <c r="Q71" i="18"/>
  <c r="Y71" i="18"/>
  <c r="S64" i="18"/>
  <c r="H67" i="18"/>
  <c r="F69" i="18"/>
  <c r="Q64" i="18"/>
  <c r="O66" i="18"/>
  <c r="M68" i="18"/>
  <c r="K70" i="18"/>
  <c r="D63" i="18"/>
  <c r="D49" i="18"/>
  <c r="C64" i="18"/>
  <c r="J65" i="18"/>
  <c r="Y66" i="18"/>
  <c r="W68" i="18"/>
  <c r="E70" i="18"/>
  <c r="J49" i="18"/>
  <c r="C63" i="18"/>
  <c r="C49" i="18"/>
  <c r="K63" i="18"/>
  <c r="K49" i="18"/>
  <c r="S63" i="18"/>
  <c r="S49" i="18"/>
  <c r="J64" i="18"/>
  <c r="R64" i="18"/>
  <c r="I65" i="18"/>
  <c r="Q65" i="18"/>
  <c r="Y65" i="18"/>
  <c r="H66" i="18"/>
  <c r="P66" i="18"/>
  <c r="X66" i="18"/>
  <c r="G67" i="18"/>
  <c r="O67" i="18"/>
  <c r="W67" i="18"/>
  <c r="F68" i="18"/>
  <c r="N68" i="18"/>
  <c r="V68" i="18"/>
  <c r="E69" i="18"/>
  <c r="M69" i="18"/>
  <c r="U69" i="18"/>
  <c r="D70" i="18"/>
  <c r="L70" i="18"/>
  <c r="T70" i="18"/>
  <c r="C71" i="18"/>
  <c r="K71" i="18"/>
  <c r="S71" i="18"/>
  <c r="B72" i="18"/>
  <c r="J72" i="18"/>
  <c r="R72" i="18"/>
  <c r="B49" i="18"/>
  <c r="Y64" i="18"/>
  <c r="W66" i="18"/>
  <c r="U68" i="18"/>
  <c r="S70" i="18"/>
  <c r="C72" i="18"/>
  <c r="K72" i="18"/>
  <c r="S72" i="18"/>
  <c r="D72" i="18"/>
  <c r="L72" i="18"/>
  <c r="T72" i="18"/>
  <c r="N71" i="18"/>
  <c r="V71" i="18"/>
  <c r="E72" i="18"/>
  <c r="M72" i="18"/>
  <c r="U72" i="18"/>
  <c r="F72" i="18"/>
  <c r="N72" i="18"/>
  <c r="V72" i="18"/>
  <c r="Y70" i="18"/>
  <c r="W72" i="18"/>
  <c r="H72" i="18"/>
  <c r="P72" i="18"/>
  <c r="X72" i="18"/>
  <c r="AV51" i="31"/>
  <c r="AV73" i="31" l="1"/>
  <c r="AG79" i="31" s="1"/>
  <c r="AT110" i="30"/>
  <c r="AT75" i="30"/>
  <c r="AT113" i="30"/>
  <c r="AT78" i="30"/>
  <c r="AT107" i="30"/>
  <c r="AT72" i="30"/>
  <c r="AT114" i="30"/>
  <c r="AT79" i="30"/>
  <c r="AT109" i="30"/>
  <c r="AT74" i="30"/>
  <c r="AT111" i="30"/>
  <c r="AT76" i="30"/>
  <c r="AT115" i="30"/>
  <c r="AT80" i="30"/>
  <c r="AT108" i="30"/>
  <c r="AT73" i="30"/>
  <c r="AT106" i="30"/>
  <c r="AT71" i="30"/>
  <c r="AT112" i="30"/>
  <c r="AT77" i="30"/>
  <c r="J73" i="18"/>
  <c r="R73" i="18"/>
  <c r="B73" i="18"/>
  <c r="AA49" i="18"/>
  <c r="C67" i="33" s="1"/>
  <c r="K73" i="18"/>
  <c r="D73" i="18"/>
  <c r="E73" i="18"/>
  <c r="P73" i="18"/>
  <c r="G73" i="18"/>
  <c r="F73" i="18"/>
  <c r="L73" i="18"/>
  <c r="C73" i="18"/>
  <c r="Q73" i="18"/>
  <c r="U73" i="18"/>
  <c r="W73" i="18"/>
  <c r="V73" i="18"/>
  <c r="H73" i="18"/>
  <c r="Y73" i="18"/>
  <c r="I73" i="18"/>
  <c r="M73" i="18"/>
  <c r="S73" i="18"/>
  <c r="X73" i="18"/>
  <c r="O73" i="18"/>
  <c r="T73" i="18"/>
  <c r="N73" i="18"/>
  <c r="C70" i="33" l="1"/>
  <c r="D67" i="33"/>
  <c r="S188" i="18"/>
  <c r="Q188" i="18"/>
  <c r="P188" i="18"/>
  <c r="R188" i="18"/>
  <c r="AA73" i="18"/>
  <c r="B162" i="18"/>
  <c r="D36" i="15"/>
  <c r="E36" i="15"/>
  <c r="D50" i="15"/>
  <c r="E50" i="15"/>
  <c r="B36" i="15"/>
  <c r="B50" i="15"/>
  <c r="C50" i="15"/>
  <c r="C36" i="15"/>
  <c r="E18" i="15"/>
  <c r="D22" i="15"/>
  <c r="X137" i="31" s="1"/>
  <c r="Y137" i="31" s="1"/>
  <c r="E22" i="15"/>
  <c r="Z137" i="31" s="1"/>
  <c r="AA137" i="31" s="1"/>
  <c r="D25" i="15"/>
  <c r="D54" i="15" s="1"/>
  <c r="E25" i="15"/>
  <c r="E54" i="15" s="1"/>
  <c r="D26" i="15"/>
  <c r="D92" i="15" s="1"/>
  <c r="AI38" i="25" s="1"/>
  <c r="E26" i="15"/>
  <c r="E92" i="15" s="1"/>
  <c r="AI38" i="26" s="1"/>
  <c r="D27" i="15"/>
  <c r="E27" i="15"/>
  <c r="D28" i="15"/>
  <c r="D45" i="15" s="1"/>
  <c r="E28" i="15"/>
  <c r="E45" i="15" s="1"/>
  <c r="D29" i="15"/>
  <c r="D58" i="15" s="1"/>
  <c r="E29" i="15"/>
  <c r="E58" i="15" s="1"/>
  <c r="D30" i="15"/>
  <c r="E30" i="15"/>
  <c r="D31" i="15"/>
  <c r="D41" i="15" s="1"/>
  <c r="E31" i="15"/>
  <c r="E60" i="15" s="1"/>
  <c r="D32" i="15"/>
  <c r="D42" i="15" s="1"/>
  <c r="E32" i="15"/>
  <c r="E61" i="15" s="1"/>
  <c r="C26" i="15"/>
  <c r="C92" i="15" s="1"/>
  <c r="AI38" i="24" s="1"/>
  <c r="B18" i="15"/>
  <c r="B31" i="30" s="1"/>
  <c r="C31" i="30" s="1"/>
  <c r="B22" i="15"/>
  <c r="T137" i="31" s="1"/>
  <c r="K115" i="31" s="1"/>
  <c r="B25" i="15"/>
  <c r="B26" i="15"/>
  <c r="B92" i="15" s="1"/>
  <c r="AI38" i="18" s="1"/>
  <c r="D70" i="33" l="1"/>
  <c r="D84" i="33" s="1"/>
  <c r="C84" i="33"/>
  <c r="F31" i="30"/>
  <c r="C257" i="33" s="1"/>
  <c r="M115" i="31"/>
  <c r="AK38" i="18"/>
  <c r="AL38" i="18"/>
  <c r="E56" i="15"/>
  <c r="E104" i="15"/>
  <c r="AI50" i="26" s="1"/>
  <c r="E102" i="15"/>
  <c r="AI48" i="26" s="1"/>
  <c r="E105" i="15"/>
  <c r="AI51" i="26" s="1"/>
  <c r="E103" i="15"/>
  <c r="AI49" i="26" s="1"/>
  <c r="E106" i="15"/>
  <c r="AI52" i="26" s="1"/>
  <c r="D44" i="15"/>
  <c r="D104" i="15"/>
  <c r="AI50" i="25" s="1"/>
  <c r="D102" i="15"/>
  <c r="AI48" i="25" s="1"/>
  <c r="D105" i="15"/>
  <c r="AI51" i="25" s="1"/>
  <c r="D103" i="15"/>
  <c r="AI49" i="25" s="1"/>
  <c r="D106" i="15"/>
  <c r="AI52" i="25" s="1"/>
  <c r="D80" i="15"/>
  <c r="AI26" i="25" s="1"/>
  <c r="D78" i="15"/>
  <c r="AI24" i="25" s="1"/>
  <c r="D81" i="15"/>
  <c r="AI27" i="25" s="1"/>
  <c r="D79" i="15"/>
  <c r="AI25" i="25" s="1"/>
  <c r="D77" i="15"/>
  <c r="AI23" i="25" s="1"/>
  <c r="B95" i="15"/>
  <c r="AI41" i="18" s="1"/>
  <c r="AP41" i="18" s="1"/>
  <c r="B96" i="15"/>
  <c r="AI42" i="18" s="1"/>
  <c r="B94" i="15"/>
  <c r="AI40" i="18" s="1"/>
  <c r="AR40" i="18" s="1"/>
  <c r="B93" i="15"/>
  <c r="AI39" i="18" s="1"/>
  <c r="E59" i="15"/>
  <c r="E101" i="15"/>
  <c r="AI47" i="26" s="1"/>
  <c r="E99" i="15"/>
  <c r="AI45" i="26" s="1"/>
  <c r="E97" i="15"/>
  <c r="AI43" i="26" s="1"/>
  <c r="E100" i="15"/>
  <c r="AI46" i="26" s="1"/>
  <c r="E98" i="15"/>
  <c r="AI44" i="26" s="1"/>
  <c r="E93" i="15"/>
  <c r="AI39" i="26" s="1"/>
  <c r="E96" i="15"/>
  <c r="AI42" i="26" s="1"/>
  <c r="E94" i="15"/>
  <c r="AI40" i="26" s="1"/>
  <c r="E95" i="15"/>
  <c r="AI41" i="26" s="1"/>
  <c r="AP41" i="26" s="1"/>
  <c r="AP54" i="26" s="1"/>
  <c r="D40" i="15"/>
  <c r="D12" i="31" s="1"/>
  <c r="D99" i="15"/>
  <c r="AI45" i="25" s="1"/>
  <c r="D100" i="15"/>
  <c r="AI46" i="25" s="1"/>
  <c r="D97" i="15"/>
  <c r="AI43" i="25" s="1"/>
  <c r="D98" i="15"/>
  <c r="AI44" i="25" s="1"/>
  <c r="D101" i="15"/>
  <c r="AI47" i="25" s="1"/>
  <c r="C94" i="15"/>
  <c r="C95" i="15"/>
  <c r="C93" i="15"/>
  <c r="C96" i="15"/>
  <c r="B78" i="15"/>
  <c r="AI24" i="18" s="1"/>
  <c r="B80" i="15"/>
  <c r="AI26" i="18" s="1"/>
  <c r="B79" i="15"/>
  <c r="AI25" i="18" s="1"/>
  <c r="AR25" i="18" s="1"/>
  <c r="B81" i="15"/>
  <c r="B77" i="15"/>
  <c r="AI23" i="18" s="1"/>
  <c r="AL23" i="18" s="1"/>
  <c r="D96" i="15"/>
  <c r="AI42" i="25" s="1"/>
  <c r="D94" i="15"/>
  <c r="AI40" i="25" s="1"/>
  <c r="D95" i="15"/>
  <c r="AI41" i="25" s="1"/>
  <c r="D93" i="15"/>
  <c r="AI39" i="25" s="1"/>
  <c r="E23" i="15"/>
  <c r="E52" i="15" s="1"/>
  <c r="E77" i="15"/>
  <c r="AI23" i="26" s="1"/>
  <c r="E80" i="15"/>
  <c r="AI26" i="26" s="1"/>
  <c r="E78" i="15"/>
  <c r="AI24" i="26" s="1"/>
  <c r="E81" i="15"/>
  <c r="AI27" i="26" s="1"/>
  <c r="E79" i="15"/>
  <c r="AI25" i="26" s="1"/>
  <c r="E19" i="15"/>
  <c r="E35" i="15" s="1"/>
  <c r="W125" i="31" s="1"/>
  <c r="E24" i="15"/>
  <c r="E53" i="15" s="1"/>
  <c r="E51" i="15"/>
  <c r="E38" i="15"/>
  <c r="D51" i="15"/>
  <c r="D38" i="15"/>
  <c r="D15" i="31" s="1"/>
  <c r="D23" i="15"/>
  <c r="E37" i="15"/>
  <c r="W11" i="31" s="1"/>
  <c r="W12" i="31" s="1"/>
  <c r="Y85" i="31" s="1"/>
  <c r="E57" i="15"/>
  <c r="E44" i="15"/>
  <c r="E55" i="15"/>
  <c r="E42" i="15"/>
  <c r="D37" i="15"/>
  <c r="V11" i="31" s="1"/>
  <c r="D55" i="15"/>
  <c r="E41" i="15"/>
  <c r="E40" i="15"/>
  <c r="E46" i="15"/>
  <c r="B38" i="15"/>
  <c r="B15" i="31" s="1"/>
  <c r="B54" i="15"/>
  <c r="C55" i="15"/>
  <c r="C38" i="15"/>
  <c r="C15" i="31" s="1"/>
  <c r="D61" i="15"/>
  <c r="D57" i="15"/>
  <c r="D46" i="15"/>
  <c r="D60" i="15"/>
  <c r="D56" i="15"/>
  <c r="D59" i="15"/>
  <c r="D18" i="15"/>
  <c r="B33" i="30" s="1"/>
  <c r="C33" i="30" s="1"/>
  <c r="E20" i="15"/>
  <c r="E21" i="15" s="1"/>
  <c r="E39" i="15" s="1"/>
  <c r="B23" i="15"/>
  <c r="B52" i="15" s="1"/>
  <c r="B55" i="15"/>
  <c r="B19" i="15"/>
  <c r="B27" i="15"/>
  <c r="B51" i="15"/>
  <c r="B37" i="15"/>
  <c r="T11" i="31" s="1"/>
  <c r="B30" i="15"/>
  <c r="B20" i="15"/>
  <c r="AM24" i="18" l="1"/>
  <c r="AP24" i="18"/>
  <c r="D257" i="33"/>
  <c r="AH135" i="31"/>
  <c r="AH137" i="31" s="1"/>
  <c r="M12" i="31"/>
  <c r="D11" i="31"/>
  <c r="AH144" i="31"/>
  <c r="AH146" i="31" s="1"/>
  <c r="D16" i="31"/>
  <c r="M16" i="31" s="1"/>
  <c r="M15" i="31"/>
  <c r="AG144" i="31"/>
  <c r="AG146" i="31" s="1"/>
  <c r="L15" i="31"/>
  <c r="C16" i="31"/>
  <c r="L16" i="31" s="1"/>
  <c r="V12" i="31"/>
  <c r="Y84" i="31" s="1"/>
  <c r="D14" i="31"/>
  <c r="D13" i="31" s="1"/>
  <c r="F33" i="30"/>
  <c r="C259" i="33" s="1"/>
  <c r="B35" i="15"/>
  <c r="C35" i="30"/>
  <c r="D260" i="33" s="1"/>
  <c r="B14" i="31"/>
  <c r="T12" i="31"/>
  <c r="AF144" i="31"/>
  <c r="AF146" i="31" s="1"/>
  <c r="K15" i="31"/>
  <c r="J15" i="31"/>
  <c r="B16" i="31"/>
  <c r="AK23" i="18"/>
  <c r="AM39" i="18"/>
  <c r="AP39" i="18"/>
  <c r="AP54" i="18" s="1"/>
  <c r="CC94" i="31" s="1"/>
  <c r="AR54" i="18"/>
  <c r="B24" i="15"/>
  <c r="B53" i="15" s="1"/>
  <c r="AI39" i="24"/>
  <c r="AI41" i="24"/>
  <c r="AP41" i="24" s="1"/>
  <c r="AP54" i="24" s="1"/>
  <c r="CD94" i="31" s="1"/>
  <c r="E87" i="31" s="1"/>
  <c r="L87" i="31" s="1"/>
  <c r="AP41" i="25"/>
  <c r="AP54" i="25" s="1"/>
  <c r="CE94" i="31" s="1"/>
  <c r="F87" i="31" s="1"/>
  <c r="M87" i="31" s="1"/>
  <c r="AI40" i="24"/>
  <c r="AN27" i="18"/>
  <c r="AN54" i="18" s="1"/>
  <c r="CC92" i="31" s="1"/>
  <c r="D85" i="31" s="1"/>
  <c r="K85" i="31" s="1"/>
  <c r="AI27" i="18"/>
  <c r="AI42" i="24"/>
  <c r="B40" i="15"/>
  <c r="B101" i="15"/>
  <c r="AI47" i="18" s="1"/>
  <c r="B97" i="15"/>
  <c r="AI43" i="18" s="1"/>
  <c r="AK43" i="18" s="1"/>
  <c r="B100" i="15"/>
  <c r="AI46" i="18" s="1"/>
  <c r="B98" i="15"/>
  <c r="AI44" i="18" s="1"/>
  <c r="AM44" i="18" s="1"/>
  <c r="B99" i="15"/>
  <c r="AI45" i="18" s="1"/>
  <c r="BB45" i="18" s="1"/>
  <c r="BB54" i="18" s="1"/>
  <c r="B44" i="15"/>
  <c r="B103" i="15"/>
  <c r="AI49" i="18" s="1"/>
  <c r="B105" i="15"/>
  <c r="AI51" i="18" s="1"/>
  <c r="B104" i="15"/>
  <c r="AI50" i="18" s="1"/>
  <c r="B106" i="15"/>
  <c r="AI52" i="18" s="1"/>
  <c r="B102" i="15"/>
  <c r="AI48" i="18" s="1"/>
  <c r="E85" i="15"/>
  <c r="AI31" i="26" s="1"/>
  <c r="E83" i="15"/>
  <c r="AI29" i="26" s="1"/>
  <c r="E91" i="15"/>
  <c r="AI37" i="26" s="1"/>
  <c r="E88" i="15"/>
  <c r="AI34" i="26" s="1"/>
  <c r="E86" i="15"/>
  <c r="AI32" i="26" s="1"/>
  <c r="E89" i="15"/>
  <c r="AI35" i="26" s="1"/>
  <c r="E84" i="15"/>
  <c r="AI30" i="26" s="1"/>
  <c r="E87" i="15"/>
  <c r="AI33" i="26" s="1"/>
  <c r="E82" i="15"/>
  <c r="AI28" i="26" s="1"/>
  <c r="AL28" i="26" s="1"/>
  <c r="AL54" i="26" s="1"/>
  <c r="E90" i="15"/>
  <c r="AI36" i="26" s="1"/>
  <c r="D19" i="15"/>
  <c r="D52" i="15"/>
  <c r="D24" i="15"/>
  <c r="D53" i="15" s="1"/>
  <c r="E49" i="15"/>
  <c r="B21" i="15"/>
  <c r="B39" i="15" s="1"/>
  <c r="E43" i="15"/>
  <c r="D20" i="15"/>
  <c r="D21" i="15" s="1"/>
  <c r="D39" i="15" s="1"/>
  <c r="B56" i="15"/>
  <c r="B31" i="15"/>
  <c r="B41" i="15" s="1"/>
  <c r="B59" i="15"/>
  <c r="B28" i="15"/>
  <c r="B57" i="15" s="1"/>
  <c r="D259" i="33" l="1"/>
  <c r="D283" i="33" s="1"/>
  <c r="C283" i="33"/>
  <c r="B13" i="31"/>
  <c r="G151" i="33" s="1"/>
  <c r="C143" i="33" s="1"/>
  <c r="D143" i="33" s="1"/>
  <c r="G152" i="33"/>
  <c r="C144" i="33" s="1"/>
  <c r="D144" i="33" s="1"/>
  <c r="AM54" i="18"/>
  <c r="I14" i="22" s="1"/>
  <c r="C13" i="22" s="1"/>
  <c r="F15" i="23" s="1"/>
  <c r="K15" i="23" s="1"/>
  <c r="N14" i="22"/>
  <c r="C18" i="22" s="1"/>
  <c r="CC96" i="31"/>
  <c r="D89" i="31" s="1"/>
  <c r="K89" i="31" s="1"/>
  <c r="J89" i="31" s="1"/>
  <c r="AH138" i="31"/>
  <c r="AH140" i="31" s="1"/>
  <c r="M13" i="31"/>
  <c r="AH141" i="31"/>
  <c r="AH143" i="31" s="1"/>
  <c r="M14" i="31"/>
  <c r="AH132" i="31"/>
  <c r="AH134" i="31" s="1"/>
  <c r="M11" i="31"/>
  <c r="AF141" i="31"/>
  <c r="AF143" i="31" s="1"/>
  <c r="K14" i="31"/>
  <c r="Y82" i="31"/>
  <c r="X14" i="22"/>
  <c r="C28" i="22" s="1"/>
  <c r="CC106" i="31"/>
  <c r="D99" i="31" s="1"/>
  <c r="K99" i="31" s="1"/>
  <c r="J99" i="31" s="1"/>
  <c r="F35" i="30"/>
  <c r="C260" i="33" s="1"/>
  <c r="K16" i="31"/>
  <c r="J16" i="31"/>
  <c r="T6" i="31"/>
  <c r="B39" i="30"/>
  <c r="C39" i="30" s="1"/>
  <c r="T125" i="31"/>
  <c r="D35" i="15"/>
  <c r="V125" i="31" s="1"/>
  <c r="C37" i="30"/>
  <c r="F37" i="30" s="1"/>
  <c r="B101" i="30" s="1"/>
  <c r="L14" i="22"/>
  <c r="C16" i="22" s="1"/>
  <c r="B89" i="15"/>
  <c r="AI35" i="18" s="1"/>
  <c r="B91" i="15"/>
  <c r="AI37" i="18" s="1"/>
  <c r="B88" i="15"/>
  <c r="AI34" i="18" s="1"/>
  <c r="B90" i="15"/>
  <c r="AI36" i="18" s="1"/>
  <c r="B83" i="15"/>
  <c r="AI29" i="18" s="1"/>
  <c r="B84" i="15"/>
  <c r="AI30" i="18" s="1"/>
  <c r="B85" i="15"/>
  <c r="AI31" i="18" s="1"/>
  <c r="B87" i="15"/>
  <c r="AI33" i="18" s="1"/>
  <c r="BA33" i="18" s="1"/>
  <c r="B86" i="15"/>
  <c r="AI32" i="18" s="1"/>
  <c r="B82" i="15"/>
  <c r="AI28" i="18" s="1"/>
  <c r="D88" i="15"/>
  <c r="AI34" i="25" s="1"/>
  <c r="D86" i="15"/>
  <c r="AI32" i="25" s="1"/>
  <c r="D83" i="15"/>
  <c r="AI29" i="25" s="1"/>
  <c r="D91" i="15"/>
  <c r="AI37" i="25" s="1"/>
  <c r="D89" i="15"/>
  <c r="AI35" i="25" s="1"/>
  <c r="D84" i="15"/>
  <c r="AI30" i="25" s="1"/>
  <c r="D87" i="15"/>
  <c r="AI33" i="25" s="1"/>
  <c r="D82" i="15"/>
  <c r="AI28" i="25" s="1"/>
  <c r="D90" i="15"/>
  <c r="AI36" i="25" s="1"/>
  <c r="D85" i="15"/>
  <c r="AI31" i="25" s="1"/>
  <c r="D49" i="15"/>
  <c r="B10" i="31"/>
  <c r="G148" i="33" s="1"/>
  <c r="B43" i="15"/>
  <c r="B9" i="31" s="1"/>
  <c r="G147" i="33" s="1"/>
  <c r="D10" i="31"/>
  <c r="D43" i="15"/>
  <c r="D9" i="31" s="1"/>
  <c r="B32" i="15"/>
  <c r="B60" i="15"/>
  <c r="B29" i="15"/>
  <c r="B45" i="15"/>
  <c r="F39" i="30" l="1"/>
  <c r="AF138" i="31"/>
  <c r="AF140" i="31" s="1"/>
  <c r="K13" i="31"/>
  <c r="C142" i="33"/>
  <c r="D142" i="33" s="1"/>
  <c r="CC91" i="31"/>
  <c r="D84" i="31" s="1"/>
  <c r="K84" i="31" s="1"/>
  <c r="J84" i="31" s="1"/>
  <c r="D101" i="30"/>
  <c r="B120" i="30"/>
  <c r="D120" i="30" s="1"/>
  <c r="R18" i="31"/>
  <c r="AD20" i="31"/>
  <c r="M10" i="31"/>
  <c r="AH129" i="31"/>
  <c r="AH131" i="31" s="1"/>
  <c r="B5" i="31"/>
  <c r="B6" i="31" s="1"/>
  <c r="Z106" i="31"/>
  <c r="BN106" i="31" s="1"/>
  <c r="BN108" i="31" s="1"/>
  <c r="Z90" i="31"/>
  <c r="AG90" i="31" s="1"/>
  <c r="AG94" i="31" s="1"/>
  <c r="BY94" i="31" s="1"/>
  <c r="D87" i="31" s="1"/>
  <c r="K87" i="31" s="1"/>
  <c r="J87" i="31" s="1"/>
  <c r="Z104" i="31"/>
  <c r="BL104" i="31" s="1"/>
  <c r="BL108" i="31" s="1"/>
  <c r="Z89" i="31"/>
  <c r="AB89" i="31" s="1"/>
  <c r="AB94" i="31" s="1"/>
  <c r="BY89" i="31" s="1"/>
  <c r="Z98" i="31"/>
  <c r="BM98" i="31" s="1"/>
  <c r="BM101" i="31" s="1"/>
  <c r="Z92" i="31"/>
  <c r="BN92" i="31" s="1"/>
  <c r="BN94" i="31" s="1"/>
  <c r="Z97" i="31"/>
  <c r="BL97" i="31" s="1"/>
  <c r="BL101" i="31" s="1"/>
  <c r="Z100" i="31"/>
  <c r="BO100" i="31" s="1"/>
  <c r="BO101" i="31" s="1"/>
  <c r="Z103" i="31"/>
  <c r="BK103" i="31" s="1"/>
  <c r="BK108" i="31" s="1"/>
  <c r="Z91" i="31"/>
  <c r="BM91" i="31" s="1"/>
  <c r="BM94" i="31" s="1"/>
  <c r="Z99" i="31"/>
  <c r="BN99" i="31" s="1"/>
  <c r="BN101" i="31" s="1"/>
  <c r="Z107" i="31"/>
  <c r="BO107" i="31" s="1"/>
  <c r="BO108" i="31" s="1"/>
  <c r="Z93" i="31"/>
  <c r="BO93" i="31" s="1"/>
  <c r="BO94" i="31" s="1"/>
  <c r="Z105" i="31"/>
  <c r="BM105" i="31" s="1"/>
  <c r="BM108" i="31" s="1"/>
  <c r="Z96" i="31"/>
  <c r="BK96" i="31" s="1"/>
  <c r="BK101" i="31" s="1"/>
  <c r="M9" i="31"/>
  <c r="AH126" i="31"/>
  <c r="AH128" i="31" s="1"/>
  <c r="AF126" i="31"/>
  <c r="AF128" i="31" s="1"/>
  <c r="K9" i="31"/>
  <c r="K10" i="31"/>
  <c r="AF129" i="31"/>
  <c r="AF131" i="31" s="1"/>
  <c r="B99" i="30"/>
  <c r="AL28" i="18"/>
  <c r="AL54" i="18" s="1"/>
  <c r="CC90" i="31" s="1"/>
  <c r="D83" i="31" s="1"/>
  <c r="K83" i="31" s="1"/>
  <c r="BA28" i="18"/>
  <c r="BA54" i="18" s="1"/>
  <c r="AK54" i="26"/>
  <c r="B42" i="15"/>
  <c r="B12" i="31" s="1"/>
  <c r="B61" i="15"/>
  <c r="B46" i="15"/>
  <c r="B11" i="31" s="1"/>
  <c r="B58" i="15"/>
  <c r="C261" i="33" l="1"/>
  <c r="B103" i="30"/>
  <c r="D103" i="30" s="1"/>
  <c r="G155" i="33"/>
  <c r="C145" i="33" s="1"/>
  <c r="D145" i="33" s="1"/>
  <c r="AH147" i="31"/>
  <c r="V126" i="31" s="1"/>
  <c r="AF132" i="31"/>
  <c r="AF134" i="31" s="1"/>
  <c r="K11" i="31"/>
  <c r="AE20" i="31"/>
  <c r="C21" i="31" s="1"/>
  <c r="C153" i="33" s="1"/>
  <c r="AF20" i="31"/>
  <c r="D21" i="31" s="1"/>
  <c r="C156" i="33" s="1"/>
  <c r="T18" i="31"/>
  <c r="S18" i="31"/>
  <c r="W14" i="22"/>
  <c r="C27" i="22" s="1"/>
  <c r="CC105" i="31"/>
  <c r="D98" i="31" s="1"/>
  <c r="K98" i="31" s="1"/>
  <c r="J98" i="31" s="1"/>
  <c r="AF135" i="31"/>
  <c r="AF137" i="31" s="1"/>
  <c r="K12" i="31"/>
  <c r="T134" i="31"/>
  <c r="K112" i="31" s="1"/>
  <c r="J112" i="31" s="1"/>
  <c r="K6" i="31"/>
  <c r="J6" i="31"/>
  <c r="D99" i="30"/>
  <c r="B118" i="30"/>
  <c r="J5" i="31"/>
  <c r="K5" i="31"/>
  <c r="B49" i="15"/>
  <c r="Y47" i="31" s="1"/>
  <c r="AC47" i="31" s="1"/>
  <c r="Y53" i="31" s="1"/>
  <c r="Z36" i="31" s="1"/>
  <c r="D156" i="33" l="1"/>
  <c r="AJ39" i="31"/>
  <c r="AC36" i="31"/>
  <c r="Y205" i="33" s="1"/>
  <c r="B106" i="30"/>
  <c r="D261" i="33"/>
  <c r="D281" i="33" s="1"/>
  <c r="D284" i="33" s="1"/>
  <c r="C281" i="33"/>
  <c r="C284" i="33" s="1"/>
  <c r="C199" i="33"/>
  <c r="D199" i="33" s="1"/>
  <c r="C159" i="33"/>
  <c r="D153" i="33"/>
  <c r="D118" i="30"/>
  <c r="J21" i="31"/>
  <c r="AF147" i="31"/>
  <c r="T126" i="31" s="1"/>
  <c r="S2" i="7"/>
  <c r="BA3" i="29" s="1"/>
  <c r="S3" i="7"/>
  <c r="S6" i="7"/>
  <c r="S24" i="7"/>
  <c r="S25" i="7"/>
  <c r="S28" i="7"/>
  <c r="R2" i="7"/>
  <c r="R3" i="7"/>
  <c r="R6" i="7"/>
  <c r="R24" i="7"/>
  <c r="R25" i="7"/>
  <c r="R28" i="7"/>
  <c r="D159" i="33" l="1"/>
  <c r="Y207" i="33"/>
  <c r="Z207" i="33" s="1"/>
  <c r="Y208" i="33"/>
  <c r="Z208" i="33" s="1"/>
  <c r="AC39" i="31"/>
  <c r="AD39" i="31" s="1"/>
  <c r="AE39" i="31" s="1"/>
  <c r="AC38" i="31"/>
  <c r="AD38" i="31" s="1"/>
  <c r="AD41" i="31" l="1"/>
  <c r="J45" i="31" s="1"/>
  <c r="C209" i="33" s="1"/>
  <c r="C211" i="33" s="1"/>
  <c r="AE38" i="31"/>
  <c r="AE41" i="31" s="1"/>
  <c r="Z210" i="33"/>
  <c r="D209" i="33" s="1"/>
  <c r="D211" i="33" s="1"/>
  <c r="N2" i="7" l="1"/>
  <c r="N64" i="7" l="1"/>
  <c r="AC11" i="7" l="1"/>
  <c r="T18" i="7"/>
  <c r="L2" i="7"/>
  <c r="M2" i="7" s="1"/>
  <c r="V11" i="7" l="1"/>
  <c r="U11" i="7"/>
  <c r="V8" i="7"/>
  <c r="U8" i="7"/>
  <c r="K64" i="7"/>
  <c r="M62" i="7"/>
  <c r="M58" i="7"/>
  <c r="M61" i="7"/>
  <c r="M55" i="7"/>
  <c r="M52" i="7"/>
  <c r="M63" i="7"/>
  <c r="M60" i="7"/>
  <c r="M57" i="7"/>
  <c r="M53" i="7"/>
  <c r="M59" i="7"/>
  <c r="T30" i="7"/>
  <c r="M56" i="7"/>
  <c r="M51" i="7"/>
  <c r="T34" i="7"/>
  <c r="M54" i="7"/>
  <c r="S8" i="7"/>
  <c r="R8" i="7"/>
  <c r="R11" i="7"/>
  <c r="S11" i="7"/>
  <c r="T15" i="7"/>
  <c r="V6" i="7"/>
  <c r="T16" i="7" l="1"/>
  <c r="T29" i="7"/>
  <c r="V24" i="7"/>
  <c r="T24" i="7"/>
  <c r="V61" i="7"/>
  <c r="T61" i="7"/>
  <c r="V63" i="7"/>
  <c r="T63" i="7"/>
  <c r="V28" i="7"/>
  <c r="T28" i="7"/>
  <c r="V62" i="7"/>
  <c r="T62" i="7"/>
  <c r="V3" i="7"/>
  <c r="T3" i="7"/>
  <c r="V25" i="7"/>
  <c r="T25" i="7"/>
  <c r="V2" i="7"/>
  <c r="T2" i="7"/>
  <c r="V55" i="7"/>
  <c r="T55" i="7"/>
  <c r="V51" i="7"/>
  <c r="T51" i="7"/>
  <c r="V54" i="7"/>
  <c r="T54" i="7"/>
  <c r="V57" i="7"/>
  <c r="T57" i="7"/>
  <c r="V60" i="7"/>
  <c r="T60" i="7"/>
  <c r="V56" i="7"/>
  <c r="T56" i="7"/>
  <c r="V58" i="7"/>
  <c r="T58" i="7"/>
  <c r="V52" i="7"/>
  <c r="T52" i="7"/>
  <c r="V59" i="7"/>
  <c r="T59" i="7"/>
  <c r="V53" i="7"/>
  <c r="T53" i="7"/>
  <c r="L64" i="7"/>
  <c r="U31" i="7"/>
  <c r="V16" i="7"/>
  <c r="U16" i="7"/>
  <c r="V31" i="7"/>
  <c r="S31" i="7"/>
  <c r="R31" i="7"/>
  <c r="V29" i="7"/>
  <c r="U29" i="7"/>
  <c r="V15" i="7"/>
  <c r="U15" i="7"/>
  <c r="U25" i="7"/>
  <c r="V13" i="7"/>
  <c r="U13" i="7"/>
  <c r="V18" i="7"/>
  <c r="U18" i="7"/>
  <c r="V5" i="7"/>
  <c r="U5" i="7"/>
  <c r="V20" i="7"/>
  <c r="U20" i="7"/>
  <c r="V34" i="7"/>
  <c r="U34" i="7"/>
  <c r="V30" i="7"/>
  <c r="U30" i="7"/>
  <c r="U3" i="7"/>
  <c r="R15" i="7"/>
  <c r="S15" i="7"/>
  <c r="U28" i="7"/>
  <c r="R20" i="7"/>
  <c r="S20" i="7"/>
  <c r="S16" i="7"/>
  <c r="R16" i="7"/>
  <c r="U2" i="7"/>
  <c r="U24" i="7"/>
  <c r="S13" i="7"/>
  <c r="R13" i="7"/>
  <c r="R18" i="7"/>
  <c r="S18" i="7"/>
  <c r="U6" i="7"/>
  <c r="BG31" i="29" l="1"/>
  <c r="AP3" i="29" s="1"/>
  <c r="BB3" i="29"/>
  <c r="M64" i="7"/>
  <c r="BC3" i="29"/>
  <c r="V21" i="7"/>
  <c r="U21" i="7"/>
  <c r="S21" i="7"/>
  <c r="R21" i="7"/>
  <c r="R64" i="7" s="1"/>
  <c r="BI3" i="29" l="1"/>
  <c r="BI31" i="29" s="1"/>
  <c r="AP5" i="29" s="1"/>
  <c r="BH3" i="29"/>
  <c r="BH31" i="29" s="1"/>
  <c r="AP6" i="29" s="1"/>
  <c r="S64" i="7"/>
  <c r="AA18" i="7" s="1"/>
  <c r="T64" i="7"/>
  <c r="AA17" i="7" s="1"/>
  <c r="V64" i="7"/>
  <c r="U64" i="7"/>
  <c r="AI18" i="18"/>
  <c r="AD56" i="18"/>
  <c r="E65" i="15"/>
  <c r="D65" i="15"/>
  <c r="C65" i="15"/>
  <c r="B65" i="15"/>
  <c r="C18" i="15"/>
  <c r="B32" i="30" s="1"/>
  <c r="C32" i="30" s="1"/>
  <c r="C22" i="15"/>
  <c r="V137" i="31" s="1"/>
  <c r="W137" i="31" s="1"/>
  <c r="AP4" i="29" l="1"/>
  <c r="AK26" i="29" s="1"/>
  <c r="C184" i="33" s="1"/>
  <c r="AA19" i="7"/>
  <c r="F32" i="30"/>
  <c r="C258" i="33" s="1"/>
  <c r="L115" i="31"/>
  <c r="C81" i="15"/>
  <c r="AI27" i="24" s="1"/>
  <c r="C78" i="15"/>
  <c r="AI24" i="24" s="1"/>
  <c r="C79" i="15"/>
  <c r="AI25" i="24" s="1"/>
  <c r="C77" i="15"/>
  <c r="AI23" i="24" s="1"/>
  <c r="C80" i="15"/>
  <c r="AI26" i="24" s="1"/>
  <c r="C5" i="22"/>
  <c r="F7" i="23" s="1"/>
  <c r="C3" i="22"/>
  <c r="F8" i="23" s="1"/>
  <c r="T119" i="18"/>
  <c r="W116" i="18"/>
  <c r="W142" i="18" s="1"/>
  <c r="W155" i="18" s="1"/>
  <c r="W168" i="18" s="1"/>
  <c r="F117" i="18"/>
  <c r="F143" i="18" s="1"/>
  <c r="F156" i="18" s="1"/>
  <c r="F169" i="18" s="1"/>
  <c r="L111" i="18"/>
  <c r="L137" i="18" s="1"/>
  <c r="L150" i="18" s="1"/>
  <c r="V117" i="18"/>
  <c r="V143" i="18" s="1"/>
  <c r="V156" i="18" s="1"/>
  <c r="V169" i="18" s="1"/>
  <c r="C119" i="18"/>
  <c r="C145" i="18" s="1"/>
  <c r="C158" i="18" s="1"/>
  <c r="C171" i="18" s="1"/>
  <c r="N116" i="18"/>
  <c r="N142" i="18" s="1"/>
  <c r="N155" i="18" s="1"/>
  <c r="N207" i="18" s="1"/>
  <c r="Y113" i="18"/>
  <c r="Y139" i="18" s="1"/>
  <c r="Y152" i="18" s="1"/>
  <c r="Y165" i="18" s="1"/>
  <c r="C111" i="18"/>
  <c r="C137" i="18" s="1"/>
  <c r="C150" i="18" s="1"/>
  <c r="C163" i="18" s="1"/>
  <c r="K118" i="18"/>
  <c r="K144" i="18" s="1"/>
  <c r="K157" i="18" s="1"/>
  <c r="K170" i="18" s="1"/>
  <c r="V115" i="18"/>
  <c r="V141" i="18" s="1"/>
  <c r="V154" i="18" s="1"/>
  <c r="V206" i="18" s="1"/>
  <c r="V211" i="18" s="1"/>
  <c r="V218" i="18" s="1"/>
  <c r="AA9" i="22" s="1"/>
  <c r="H113" i="18"/>
  <c r="H139" i="18" s="1"/>
  <c r="H152" i="18" s="1"/>
  <c r="H165" i="18" s="1"/>
  <c r="K110" i="18"/>
  <c r="S117" i="18"/>
  <c r="S143" i="18" s="1"/>
  <c r="S156" i="18" s="1"/>
  <c r="S169" i="18" s="1"/>
  <c r="E115" i="18"/>
  <c r="E141" i="18" s="1"/>
  <c r="E154" i="18" s="1"/>
  <c r="E206" i="18" s="1"/>
  <c r="E211" i="18" s="1"/>
  <c r="E218" i="18" s="1"/>
  <c r="J9" i="22" s="1"/>
  <c r="P112" i="18"/>
  <c r="P138" i="18" s="1"/>
  <c r="P151" i="18" s="1"/>
  <c r="X119" i="18"/>
  <c r="X145" i="18" s="1"/>
  <c r="X158" i="18" s="1"/>
  <c r="X171" i="18" s="1"/>
  <c r="B117" i="18"/>
  <c r="M114" i="18"/>
  <c r="M140" i="18" s="1"/>
  <c r="M153" i="18" s="1"/>
  <c r="M192" i="18" s="1"/>
  <c r="M198" i="18" s="1"/>
  <c r="M217" i="18" s="1"/>
  <c r="R7" i="22" s="1"/>
  <c r="BD17" i="23" s="1"/>
  <c r="BD35" i="23" s="1"/>
  <c r="X111" i="18"/>
  <c r="X137" i="18" s="1"/>
  <c r="X150" i="18" s="1"/>
  <c r="X163" i="18" s="1"/>
  <c r="G119" i="18"/>
  <c r="G145" i="18" s="1"/>
  <c r="G158" i="18" s="1"/>
  <c r="G171" i="18" s="1"/>
  <c r="J116" i="18"/>
  <c r="J142" i="18" s="1"/>
  <c r="J155" i="18" s="1"/>
  <c r="J168" i="18" s="1"/>
  <c r="U113" i="18"/>
  <c r="U139" i="18" s="1"/>
  <c r="U152" i="18" s="1"/>
  <c r="U165" i="18" s="1"/>
  <c r="G111" i="18"/>
  <c r="G137" i="18" s="1"/>
  <c r="G150" i="18" s="1"/>
  <c r="G163" i="18" s="1"/>
  <c r="O118" i="18"/>
  <c r="O144" i="18" s="1"/>
  <c r="O157" i="18" s="1"/>
  <c r="O170" i="18" s="1"/>
  <c r="R115" i="18"/>
  <c r="R141" i="18" s="1"/>
  <c r="R154" i="18" s="1"/>
  <c r="R206" i="18" s="1"/>
  <c r="D113" i="18"/>
  <c r="D139" i="18" s="1"/>
  <c r="D152" i="18" s="1"/>
  <c r="D165" i="18" s="1"/>
  <c r="O110" i="18"/>
  <c r="W117" i="18"/>
  <c r="W143" i="18" s="1"/>
  <c r="W156" i="18" s="1"/>
  <c r="W169" i="18" s="1"/>
  <c r="I115" i="18"/>
  <c r="I141" i="18" s="1"/>
  <c r="I154" i="18" s="1"/>
  <c r="I206" i="18" s="1"/>
  <c r="I211" i="18" s="1"/>
  <c r="I218" i="18" s="1"/>
  <c r="N9" i="22" s="1"/>
  <c r="L112" i="18"/>
  <c r="L138" i="18" s="1"/>
  <c r="L151" i="18" s="1"/>
  <c r="G116" i="18"/>
  <c r="G142" i="18" s="1"/>
  <c r="G155" i="18" s="1"/>
  <c r="G168" i="18" s="1"/>
  <c r="K112" i="18"/>
  <c r="K138" i="18" s="1"/>
  <c r="K151" i="18" s="1"/>
  <c r="M112" i="18"/>
  <c r="M138" i="18" s="1"/>
  <c r="M151" i="18" s="1"/>
  <c r="J114" i="18"/>
  <c r="J140" i="18" s="1"/>
  <c r="J153" i="18" s="1"/>
  <c r="J192" i="18" s="1"/>
  <c r="J198" i="18" s="1"/>
  <c r="J217" i="18" s="1"/>
  <c r="O7" i="22" s="1"/>
  <c r="BA17" i="23" s="1"/>
  <c r="BA35" i="23" s="1"/>
  <c r="O116" i="18"/>
  <c r="O142" i="18" s="1"/>
  <c r="O155" i="18" s="1"/>
  <c r="O207" i="18" s="1"/>
  <c r="D118" i="18"/>
  <c r="D144" i="18" s="1"/>
  <c r="D157" i="18" s="1"/>
  <c r="D170" i="18" s="1"/>
  <c r="R112" i="18"/>
  <c r="R138" i="18" s="1"/>
  <c r="R151" i="18" s="1"/>
  <c r="L117" i="18"/>
  <c r="L143" i="18" s="1"/>
  <c r="L156" i="18" s="1"/>
  <c r="L169" i="18" s="1"/>
  <c r="I112" i="18"/>
  <c r="I138" i="18" s="1"/>
  <c r="I151" i="18" s="1"/>
  <c r="I177" i="18" s="1"/>
  <c r="T116" i="18"/>
  <c r="T142" i="18" s="1"/>
  <c r="T155" i="18" s="1"/>
  <c r="T168" i="18" s="1"/>
  <c r="Y118" i="18"/>
  <c r="Y144" i="18" s="1"/>
  <c r="Y157" i="18" s="1"/>
  <c r="Y170" i="18" s="1"/>
  <c r="N113" i="18"/>
  <c r="N139" i="18" s="1"/>
  <c r="N152" i="18" s="1"/>
  <c r="N165" i="18" s="1"/>
  <c r="H118" i="18"/>
  <c r="H144" i="18" s="1"/>
  <c r="H157" i="18" s="1"/>
  <c r="H170" i="18" s="1"/>
  <c r="V112" i="18"/>
  <c r="V138" i="18" s="1"/>
  <c r="V151" i="18" s="1"/>
  <c r="S114" i="18"/>
  <c r="S140" i="18" s="1"/>
  <c r="S153" i="18" s="1"/>
  <c r="S192" i="18" s="1"/>
  <c r="S198" i="18" s="1"/>
  <c r="S217" i="18" s="1"/>
  <c r="X7" i="22" s="1"/>
  <c r="BJ17" i="23" s="1"/>
  <c r="BJ37" i="23" s="1"/>
  <c r="X116" i="18"/>
  <c r="X142" i="18" s="1"/>
  <c r="X155" i="18" s="1"/>
  <c r="X168" i="18" s="1"/>
  <c r="M111" i="18"/>
  <c r="M137" i="18" s="1"/>
  <c r="M150" i="18" s="1"/>
  <c r="S112" i="18"/>
  <c r="S138" i="18" s="1"/>
  <c r="S151" i="18" s="1"/>
  <c r="D119" i="18"/>
  <c r="D145" i="18" s="1"/>
  <c r="D158" i="18" s="1"/>
  <c r="D171" i="18" s="1"/>
  <c r="J113" i="18"/>
  <c r="J139" i="18" s="1"/>
  <c r="J152" i="18" s="1"/>
  <c r="J165" i="18" s="1"/>
  <c r="T118" i="18"/>
  <c r="T144" i="18" s="1"/>
  <c r="T157" i="18" s="1"/>
  <c r="T170" i="18" s="1"/>
  <c r="F116" i="18"/>
  <c r="F142" i="18" s="1"/>
  <c r="F155" i="18" s="1"/>
  <c r="F168" i="18" s="1"/>
  <c r="Q113" i="18"/>
  <c r="Q139" i="18" s="1"/>
  <c r="Q152" i="18" s="1"/>
  <c r="Q165" i="18" s="1"/>
  <c r="T110" i="18"/>
  <c r="T136" i="18" s="1"/>
  <c r="T149" i="18" s="1"/>
  <c r="C118" i="18"/>
  <c r="C144" i="18" s="1"/>
  <c r="C157" i="18" s="1"/>
  <c r="C170" i="18" s="1"/>
  <c r="N115" i="18"/>
  <c r="N141" i="18" s="1"/>
  <c r="N154" i="18" s="1"/>
  <c r="N206" i="18" s="1"/>
  <c r="Y112" i="18"/>
  <c r="Y138" i="18" s="1"/>
  <c r="Y151" i="18" s="1"/>
  <c r="Y177" i="18" s="1"/>
  <c r="K117" i="18"/>
  <c r="K143" i="18" s="1"/>
  <c r="K156" i="18" s="1"/>
  <c r="K169" i="18" s="1"/>
  <c r="V114" i="18"/>
  <c r="V140" i="18" s="1"/>
  <c r="V153" i="18" s="1"/>
  <c r="V192" i="18" s="1"/>
  <c r="V198" i="18" s="1"/>
  <c r="V217" i="18" s="1"/>
  <c r="AA7" i="22" s="1"/>
  <c r="BM17" i="23" s="1"/>
  <c r="BM37" i="23" s="1"/>
  <c r="H112" i="18"/>
  <c r="H138" i="18" s="1"/>
  <c r="H151" i="18" s="1"/>
  <c r="H177" i="18" s="1"/>
  <c r="P119" i="18"/>
  <c r="P145" i="18" s="1"/>
  <c r="P158" i="18" s="1"/>
  <c r="P171" i="18" s="1"/>
  <c r="S116" i="18"/>
  <c r="S142" i="18" s="1"/>
  <c r="S155" i="18" s="1"/>
  <c r="S168" i="18" s="1"/>
  <c r="E114" i="18"/>
  <c r="E140" i="18" s="1"/>
  <c r="E153" i="18" s="1"/>
  <c r="E192" i="18" s="1"/>
  <c r="E198" i="18" s="1"/>
  <c r="E217" i="18" s="1"/>
  <c r="J7" i="22" s="1"/>
  <c r="AV17" i="23" s="1"/>
  <c r="AV39" i="23" s="1"/>
  <c r="P111" i="18"/>
  <c r="P137" i="18" s="1"/>
  <c r="P150" i="18" s="1"/>
  <c r="X118" i="18"/>
  <c r="X144" i="18" s="1"/>
  <c r="X157" i="18" s="1"/>
  <c r="X170" i="18" s="1"/>
  <c r="B116" i="18"/>
  <c r="M113" i="18"/>
  <c r="M139" i="18" s="1"/>
  <c r="M152" i="18" s="1"/>
  <c r="M165" i="18" s="1"/>
  <c r="X110" i="18"/>
  <c r="G118" i="18"/>
  <c r="G144" i="18" s="1"/>
  <c r="G157" i="18" s="1"/>
  <c r="G170" i="18" s="1"/>
  <c r="J115" i="18"/>
  <c r="J141" i="18" s="1"/>
  <c r="J154" i="18" s="1"/>
  <c r="J206" i="18" s="1"/>
  <c r="J211" i="18" s="1"/>
  <c r="J218" i="18" s="1"/>
  <c r="O9" i="22" s="1"/>
  <c r="U112" i="18"/>
  <c r="U138" i="18" s="1"/>
  <c r="U151" i="18" s="1"/>
  <c r="O117" i="18"/>
  <c r="O143" i="18" s="1"/>
  <c r="O156" i="18" s="1"/>
  <c r="O169" i="18" s="1"/>
  <c r="R114" i="18"/>
  <c r="R140" i="18" s="1"/>
  <c r="R153" i="18" s="1"/>
  <c r="R192" i="18" s="1"/>
  <c r="D112" i="18"/>
  <c r="D138" i="18" s="1"/>
  <c r="D151" i="18" s="1"/>
  <c r="D177" i="18" s="1"/>
  <c r="D185" i="18" s="1"/>
  <c r="D216" i="18" s="1"/>
  <c r="I6" i="22" s="1"/>
  <c r="AU16" i="23" s="1"/>
  <c r="AU31" i="23" s="1"/>
  <c r="E118" i="18"/>
  <c r="E144" i="18" s="1"/>
  <c r="E157" i="18" s="1"/>
  <c r="E170" i="18" s="1"/>
  <c r="Q114" i="18"/>
  <c r="Q140" i="18" s="1"/>
  <c r="Q153" i="18" s="1"/>
  <c r="Q192" i="18" s="1"/>
  <c r="Q198" i="18" s="1"/>
  <c r="Q217" i="18" s="1"/>
  <c r="V7" i="22" s="1"/>
  <c r="BH17" i="23" s="1"/>
  <c r="BH36" i="23" s="1"/>
  <c r="U118" i="18"/>
  <c r="U144" i="18" s="1"/>
  <c r="U157" i="18" s="1"/>
  <c r="U170" i="18" s="1"/>
  <c r="P115" i="18"/>
  <c r="P141" i="18" s="1"/>
  <c r="P154" i="18" s="1"/>
  <c r="P206" i="18" s="1"/>
  <c r="L118" i="18"/>
  <c r="L144" i="18" s="1"/>
  <c r="L157" i="18" s="1"/>
  <c r="L170" i="18" s="1"/>
  <c r="W115" i="18"/>
  <c r="W141" i="18" s="1"/>
  <c r="W154" i="18" s="1"/>
  <c r="W206" i="18" s="1"/>
  <c r="W211" i="18" s="1"/>
  <c r="W218" i="18" s="1"/>
  <c r="AB9" i="22" s="1"/>
  <c r="I113" i="18"/>
  <c r="I139" i="18" s="1"/>
  <c r="I152" i="18" s="1"/>
  <c r="I165" i="18" s="1"/>
  <c r="L110" i="18"/>
  <c r="T117" i="18"/>
  <c r="T143" i="18" s="1"/>
  <c r="T156" i="18" s="1"/>
  <c r="T169" i="18" s="1"/>
  <c r="F115" i="18"/>
  <c r="F141" i="18" s="1"/>
  <c r="F154" i="18" s="1"/>
  <c r="F206" i="18" s="1"/>
  <c r="F211" i="18" s="1"/>
  <c r="F218" i="18" s="1"/>
  <c r="K9" i="22" s="1"/>
  <c r="Q112" i="18"/>
  <c r="Q138" i="18" s="1"/>
  <c r="Q151" i="18" s="1"/>
  <c r="Y119" i="18"/>
  <c r="Y145" i="18" s="1"/>
  <c r="Y158" i="18" s="1"/>
  <c r="Y171" i="18" s="1"/>
  <c r="C117" i="18"/>
  <c r="C143" i="18" s="1"/>
  <c r="C156" i="18" s="1"/>
  <c r="C169" i="18" s="1"/>
  <c r="N114" i="18"/>
  <c r="N140" i="18" s="1"/>
  <c r="N153" i="18" s="1"/>
  <c r="N192" i="18" s="1"/>
  <c r="Y111" i="18"/>
  <c r="Y137" i="18" s="1"/>
  <c r="Y150" i="18" s="1"/>
  <c r="Y163" i="18" s="1"/>
  <c r="H119" i="18"/>
  <c r="H145" i="18" s="1"/>
  <c r="H158" i="18" s="1"/>
  <c r="H171" i="18" s="1"/>
  <c r="K116" i="18"/>
  <c r="K142" i="18" s="1"/>
  <c r="K155" i="18" s="1"/>
  <c r="K168" i="18" s="1"/>
  <c r="V113" i="18"/>
  <c r="V139" i="18" s="1"/>
  <c r="V152" i="18" s="1"/>
  <c r="V165" i="18" s="1"/>
  <c r="H111" i="18"/>
  <c r="H137" i="18" s="1"/>
  <c r="H150" i="18" s="1"/>
  <c r="H163" i="18" s="1"/>
  <c r="P118" i="18"/>
  <c r="P144" i="18" s="1"/>
  <c r="P157" i="18" s="1"/>
  <c r="P170" i="18" s="1"/>
  <c r="S115" i="18"/>
  <c r="S141" i="18" s="1"/>
  <c r="S154" i="18" s="1"/>
  <c r="S206" i="18" s="1"/>
  <c r="S211" i="18" s="1"/>
  <c r="S218" i="18" s="1"/>
  <c r="X9" i="22" s="1"/>
  <c r="E113" i="18"/>
  <c r="E139" i="18" s="1"/>
  <c r="E152" i="18" s="1"/>
  <c r="E165" i="18" s="1"/>
  <c r="P110" i="18"/>
  <c r="X117" i="18"/>
  <c r="X143" i="18" s="1"/>
  <c r="X156" i="18" s="1"/>
  <c r="X169" i="18" s="1"/>
  <c r="B115" i="18"/>
  <c r="B141" i="18" s="1"/>
  <c r="U119" i="18"/>
  <c r="U145" i="18" s="1"/>
  <c r="U158" i="18" s="1"/>
  <c r="U171" i="18" s="1"/>
  <c r="G117" i="18"/>
  <c r="G143" i="18" s="1"/>
  <c r="G156" i="18" s="1"/>
  <c r="G169" i="18" s="1"/>
  <c r="N117" i="18"/>
  <c r="N143" i="18" s="1"/>
  <c r="N156" i="18" s="1"/>
  <c r="N169" i="18" s="1"/>
  <c r="O115" i="18"/>
  <c r="O141" i="18" s="1"/>
  <c r="O154" i="18" s="1"/>
  <c r="O206" i="18" s="1"/>
  <c r="W114" i="18"/>
  <c r="W140" i="18" s="1"/>
  <c r="W153" i="18" s="1"/>
  <c r="W192" i="18" s="1"/>
  <c r="W198" i="18" s="1"/>
  <c r="W217" i="18" s="1"/>
  <c r="AB7" i="22" s="1"/>
  <c r="BN17" i="23" s="1"/>
  <c r="BN37" i="23" s="1"/>
  <c r="Q119" i="18"/>
  <c r="Q145" i="18" s="1"/>
  <c r="Q158" i="18" s="1"/>
  <c r="Q171" i="18" s="1"/>
  <c r="Q111" i="18"/>
  <c r="Q137" i="18" s="1"/>
  <c r="Q150" i="18" s="1"/>
  <c r="C116" i="18"/>
  <c r="C142" i="18" s="1"/>
  <c r="C155" i="18" s="1"/>
  <c r="C168" i="18" s="1"/>
  <c r="Y110" i="18"/>
  <c r="K115" i="18"/>
  <c r="K141" i="18" s="1"/>
  <c r="K154" i="18" s="1"/>
  <c r="K206" i="18" s="1"/>
  <c r="K211" i="18" s="1"/>
  <c r="K218" i="18" s="1"/>
  <c r="P9" i="22" s="1"/>
  <c r="P117" i="18"/>
  <c r="P143" i="18" s="1"/>
  <c r="P156" i="18" s="1"/>
  <c r="P169" i="18" s="1"/>
  <c r="E112" i="18"/>
  <c r="E138" i="18" s="1"/>
  <c r="E151" i="18" s="1"/>
  <c r="E177" i="18" s="1"/>
  <c r="E185" i="18" s="1"/>
  <c r="E216" i="18" s="1"/>
  <c r="J6" i="22" s="1"/>
  <c r="AV16" i="23" s="1"/>
  <c r="AV31" i="23" s="1"/>
  <c r="B114" i="18"/>
  <c r="B140" i="18" s="1"/>
  <c r="M118" i="18"/>
  <c r="M144" i="18" s="1"/>
  <c r="M157" i="18" s="1"/>
  <c r="M170" i="18" s="1"/>
  <c r="M110" i="18"/>
  <c r="U111" i="18"/>
  <c r="U137" i="18" s="1"/>
  <c r="U150" i="18" s="1"/>
  <c r="F114" i="18"/>
  <c r="F140" i="18" s="1"/>
  <c r="F153" i="18" s="1"/>
  <c r="F192" i="18" s="1"/>
  <c r="F198" i="18" s="1"/>
  <c r="F217" i="18" s="1"/>
  <c r="K7" i="22" s="1"/>
  <c r="AW17" i="23" s="1"/>
  <c r="AW39" i="23" s="1"/>
  <c r="H110" i="18"/>
  <c r="M119" i="18"/>
  <c r="M145" i="18" s="1"/>
  <c r="M158" i="18" s="1"/>
  <c r="M171" i="18" s="1"/>
  <c r="L119" i="18"/>
  <c r="L145" i="18" s="1"/>
  <c r="L158" i="18" s="1"/>
  <c r="L171" i="18" s="1"/>
  <c r="U117" i="18"/>
  <c r="U143" i="18" s="1"/>
  <c r="U156" i="18" s="1"/>
  <c r="U169" i="18" s="1"/>
  <c r="G115" i="18"/>
  <c r="G141" i="18" s="1"/>
  <c r="G154" i="18" s="1"/>
  <c r="G206" i="18" s="1"/>
  <c r="G211" i="18" s="1"/>
  <c r="G218" i="18" s="1"/>
  <c r="L9" i="22" s="1"/>
  <c r="J112" i="18"/>
  <c r="J138" i="18" s="1"/>
  <c r="J151" i="18" s="1"/>
  <c r="J177" i="18" s="1"/>
  <c r="R119" i="18"/>
  <c r="R145" i="18" s="1"/>
  <c r="R158" i="18" s="1"/>
  <c r="R171" i="18" s="1"/>
  <c r="D117" i="18"/>
  <c r="D143" i="18" s="1"/>
  <c r="D156" i="18" s="1"/>
  <c r="D169" i="18" s="1"/>
  <c r="O114" i="18"/>
  <c r="O140" i="18" s="1"/>
  <c r="O153" i="18" s="1"/>
  <c r="O192" i="18" s="1"/>
  <c r="O198" i="18" s="1"/>
  <c r="O217" i="18" s="1"/>
  <c r="T7" i="22" s="1"/>
  <c r="BF17" i="23" s="1"/>
  <c r="BF36" i="23" s="1"/>
  <c r="R111" i="18"/>
  <c r="R137" i="18" s="1"/>
  <c r="R150" i="18" s="1"/>
  <c r="R189" i="18" s="1"/>
  <c r="I119" i="18"/>
  <c r="I145" i="18" s="1"/>
  <c r="I158" i="18" s="1"/>
  <c r="I171" i="18" s="1"/>
  <c r="L116" i="18"/>
  <c r="L142" i="18" s="1"/>
  <c r="L155" i="18" s="1"/>
  <c r="L207" i="18" s="1"/>
  <c r="W113" i="18"/>
  <c r="W139" i="18" s="1"/>
  <c r="W152" i="18" s="1"/>
  <c r="W165" i="18" s="1"/>
  <c r="I111" i="18"/>
  <c r="I137" i="18" s="1"/>
  <c r="I150" i="18" s="1"/>
  <c r="I163" i="18" s="1"/>
  <c r="Q118" i="18"/>
  <c r="Q144" i="18" s="1"/>
  <c r="Q157" i="18" s="1"/>
  <c r="Q170" i="18" s="1"/>
  <c r="T115" i="18"/>
  <c r="T141" i="18" s="1"/>
  <c r="T154" i="18" s="1"/>
  <c r="T206" i="18" s="1"/>
  <c r="T211" i="18" s="1"/>
  <c r="T218" i="18" s="1"/>
  <c r="Y9" i="22" s="1"/>
  <c r="F113" i="18"/>
  <c r="F139" i="18" s="1"/>
  <c r="F152" i="18" s="1"/>
  <c r="F165" i="18" s="1"/>
  <c r="Q110" i="18"/>
  <c r="Y117" i="18"/>
  <c r="Y143" i="18" s="1"/>
  <c r="Y156" i="18" s="1"/>
  <c r="Y169" i="18" s="1"/>
  <c r="C115" i="18"/>
  <c r="C141" i="18" s="1"/>
  <c r="C154" i="18" s="1"/>
  <c r="C206" i="18" s="1"/>
  <c r="C211" i="18" s="1"/>
  <c r="C218" i="18" s="1"/>
  <c r="H9" i="22" s="1"/>
  <c r="N112" i="18"/>
  <c r="N138" i="18" s="1"/>
  <c r="N151" i="18" s="1"/>
  <c r="V119" i="18"/>
  <c r="V145" i="18" s="1"/>
  <c r="V158" i="18" s="1"/>
  <c r="V171" i="18" s="1"/>
  <c r="H117" i="18"/>
  <c r="H143" i="18" s="1"/>
  <c r="H156" i="18" s="1"/>
  <c r="H169" i="18" s="1"/>
  <c r="K114" i="18"/>
  <c r="K140" i="18" s="1"/>
  <c r="K153" i="18" s="1"/>
  <c r="K192" i="18" s="1"/>
  <c r="V111" i="18"/>
  <c r="V137" i="18" s="1"/>
  <c r="V150" i="18" s="1"/>
  <c r="E119" i="18"/>
  <c r="E145" i="18" s="1"/>
  <c r="E158" i="18" s="1"/>
  <c r="E171" i="18" s="1"/>
  <c r="P116" i="18"/>
  <c r="P142" i="18" s="1"/>
  <c r="P155" i="18" s="1"/>
  <c r="P207" i="18" s="1"/>
  <c r="S113" i="18"/>
  <c r="S139" i="18" s="1"/>
  <c r="S152" i="18" s="1"/>
  <c r="S165" i="18" s="1"/>
  <c r="E111" i="18"/>
  <c r="E137" i="18" s="1"/>
  <c r="E150" i="18" s="1"/>
  <c r="E163" i="18" s="1"/>
  <c r="B113" i="18"/>
  <c r="R113" i="18"/>
  <c r="R139" i="18" s="1"/>
  <c r="R152" i="18" s="1"/>
  <c r="R165" i="18" s="1"/>
  <c r="S119" i="18"/>
  <c r="S145" i="18" s="1"/>
  <c r="S158" i="18" s="1"/>
  <c r="S171" i="18" s="1"/>
  <c r="P114" i="18"/>
  <c r="P140" i="18" s="1"/>
  <c r="P153" i="18" s="1"/>
  <c r="P192" i="18" s="1"/>
  <c r="P198" i="18" s="1"/>
  <c r="P217" i="18" s="1"/>
  <c r="U7" i="22" s="1"/>
  <c r="BG17" i="23" s="1"/>
  <c r="BG36" i="23" s="1"/>
  <c r="B119" i="18"/>
  <c r="X113" i="18"/>
  <c r="X139" i="18" s="1"/>
  <c r="X152" i="18" s="1"/>
  <c r="X165" i="18" s="1"/>
  <c r="J118" i="18"/>
  <c r="J144" i="18" s="1"/>
  <c r="J157" i="18" s="1"/>
  <c r="J170" i="18" s="1"/>
  <c r="G113" i="18"/>
  <c r="G139" i="18" s="1"/>
  <c r="G152" i="18" s="1"/>
  <c r="G165" i="18" s="1"/>
  <c r="R117" i="18"/>
  <c r="R143" i="18" s="1"/>
  <c r="R156" i="18" s="1"/>
  <c r="R169" i="18" s="1"/>
  <c r="O112" i="18"/>
  <c r="O138" i="18" s="1"/>
  <c r="O151" i="18" s="1"/>
  <c r="W119" i="18"/>
  <c r="W145" i="18" s="1"/>
  <c r="W158" i="18" s="1"/>
  <c r="W171" i="18" s="1"/>
  <c r="L114" i="18"/>
  <c r="L140" i="18" s="1"/>
  <c r="L153" i="18" s="1"/>
  <c r="L192" i="18" s="1"/>
  <c r="L198" i="18" s="1"/>
  <c r="L217" i="18" s="1"/>
  <c r="Q7" i="22" s="1"/>
  <c r="BC17" i="23" s="1"/>
  <c r="BC35" i="23" s="1"/>
  <c r="F119" i="18"/>
  <c r="F145" i="18" s="1"/>
  <c r="F158" i="18" s="1"/>
  <c r="F171" i="18" s="1"/>
  <c r="T113" i="18"/>
  <c r="T139" i="18" s="1"/>
  <c r="T152" i="18" s="1"/>
  <c r="T165" i="18" s="1"/>
  <c r="N118" i="18"/>
  <c r="N144" i="18" s="1"/>
  <c r="N157" i="18" s="1"/>
  <c r="N170" i="18" s="1"/>
  <c r="C113" i="18"/>
  <c r="C139" i="18" s="1"/>
  <c r="C152" i="18" s="1"/>
  <c r="C165" i="18" s="1"/>
  <c r="C112" i="18"/>
  <c r="C138" i="18" s="1"/>
  <c r="C151" i="18" s="1"/>
  <c r="C177" i="18" s="1"/>
  <c r="C185" i="18" s="1"/>
  <c r="C216" i="18" s="1"/>
  <c r="H6" i="22" s="1"/>
  <c r="AT16" i="23" s="1"/>
  <c r="AT30" i="23" s="1"/>
  <c r="U110" i="18"/>
  <c r="H115" i="18"/>
  <c r="H141" i="18" s="1"/>
  <c r="H154" i="18" s="1"/>
  <c r="H206" i="18" s="1"/>
  <c r="H211" i="18" s="1"/>
  <c r="H218" i="18" s="1"/>
  <c r="M9" i="22" s="1"/>
  <c r="K119" i="18"/>
  <c r="K145" i="18" s="1"/>
  <c r="K158" i="18" s="1"/>
  <c r="K171" i="18" s="1"/>
  <c r="H114" i="18"/>
  <c r="H140" i="18" s="1"/>
  <c r="H153" i="18" s="1"/>
  <c r="H192" i="18" s="1"/>
  <c r="H198" i="18" s="1"/>
  <c r="H217" i="18" s="1"/>
  <c r="M7" i="22" s="1"/>
  <c r="AY17" i="23" s="1"/>
  <c r="AY35" i="23" s="1"/>
  <c r="K111" i="18"/>
  <c r="K137" i="18" s="1"/>
  <c r="K150" i="18" s="1"/>
  <c r="E116" i="18"/>
  <c r="E142" i="18" s="1"/>
  <c r="E155" i="18" s="1"/>
  <c r="E168" i="18" s="1"/>
  <c r="S110" i="18"/>
  <c r="M115" i="18"/>
  <c r="M141" i="18" s="1"/>
  <c r="M154" i="18" s="1"/>
  <c r="M206" i="18" s="1"/>
  <c r="U114" i="18"/>
  <c r="U140" i="18" s="1"/>
  <c r="U153" i="18" s="1"/>
  <c r="U192" i="18" s="1"/>
  <c r="U198" i="18" s="1"/>
  <c r="U217" i="18" s="1"/>
  <c r="Z7" i="22" s="1"/>
  <c r="BL17" i="23" s="1"/>
  <c r="BL37" i="23" s="1"/>
  <c r="O119" i="18"/>
  <c r="O145" i="18" s="1"/>
  <c r="O158" i="18" s="1"/>
  <c r="O171" i="18" s="1"/>
  <c r="D114" i="18"/>
  <c r="D140" i="18" s="1"/>
  <c r="D153" i="18" s="1"/>
  <c r="D192" i="18" s="1"/>
  <c r="D198" i="18" s="1"/>
  <c r="D217" i="18" s="1"/>
  <c r="I7" i="22" s="1"/>
  <c r="AU17" i="23" s="1"/>
  <c r="AU39" i="23" s="1"/>
  <c r="W118" i="18"/>
  <c r="W144" i="18" s="1"/>
  <c r="W157" i="18" s="1"/>
  <c r="W170" i="18" s="1"/>
  <c r="W110" i="18"/>
  <c r="Q115" i="18"/>
  <c r="Q141" i="18" s="1"/>
  <c r="Q154" i="18" s="1"/>
  <c r="Q206" i="18" s="1"/>
  <c r="D111" i="18"/>
  <c r="D137" i="18" s="1"/>
  <c r="D150" i="18" s="1"/>
  <c r="D163" i="18" s="1"/>
  <c r="T111" i="18"/>
  <c r="T137" i="18" s="1"/>
  <c r="T150" i="18" s="1"/>
  <c r="M117" i="18"/>
  <c r="M143" i="18" s="1"/>
  <c r="M156" i="18" s="1"/>
  <c r="M169" i="18" s="1"/>
  <c r="X114" i="18"/>
  <c r="X140" i="18" s="1"/>
  <c r="X153" i="18" s="1"/>
  <c r="X192" i="18" s="1"/>
  <c r="X198" i="18" s="1"/>
  <c r="X217" i="18" s="1"/>
  <c r="AC7" i="22" s="1"/>
  <c r="BO17" i="23" s="1"/>
  <c r="BO38" i="23" s="1"/>
  <c r="B112" i="18"/>
  <c r="B138" i="18" s="1"/>
  <c r="J119" i="18"/>
  <c r="J145" i="18" s="1"/>
  <c r="J158" i="18" s="1"/>
  <c r="J171" i="18" s="1"/>
  <c r="U116" i="18"/>
  <c r="U142" i="18" s="1"/>
  <c r="U155" i="18" s="1"/>
  <c r="U168" i="18" s="1"/>
  <c r="G114" i="18"/>
  <c r="G140" i="18" s="1"/>
  <c r="G153" i="18" s="1"/>
  <c r="G192" i="18" s="1"/>
  <c r="G198" i="18" s="1"/>
  <c r="G217" i="18" s="1"/>
  <c r="L7" i="22" s="1"/>
  <c r="AX17" i="23" s="1"/>
  <c r="AX39" i="23" s="1"/>
  <c r="J111" i="18"/>
  <c r="J137" i="18" s="1"/>
  <c r="J150" i="18" s="1"/>
  <c r="J163" i="18" s="1"/>
  <c r="R118" i="18"/>
  <c r="R144" i="18" s="1"/>
  <c r="R157" i="18" s="1"/>
  <c r="R170" i="18" s="1"/>
  <c r="D116" i="18"/>
  <c r="D142" i="18" s="1"/>
  <c r="D155" i="18" s="1"/>
  <c r="D168" i="18" s="1"/>
  <c r="O113" i="18"/>
  <c r="O139" i="18" s="1"/>
  <c r="O152" i="18" s="1"/>
  <c r="O165" i="18" s="1"/>
  <c r="R110" i="18"/>
  <c r="I118" i="18"/>
  <c r="I144" i="18" s="1"/>
  <c r="I157" i="18" s="1"/>
  <c r="I170" i="18" s="1"/>
  <c r="L115" i="18"/>
  <c r="L141" i="18" s="1"/>
  <c r="L154" i="18" s="1"/>
  <c r="L206" i="18" s="1"/>
  <c r="W112" i="18"/>
  <c r="W138" i="18" s="1"/>
  <c r="W151" i="18" s="1"/>
  <c r="W177" i="18" s="1"/>
  <c r="I110" i="18"/>
  <c r="Q117" i="18"/>
  <c r="Q143" i="18" s="1"/>
  <c r="Q156" i="18" s="1"/>
  <c r="Q169" i="18" s="1"/>
  <c r="T114" i="18"/>
  <c r="T140" i="18" s="1"/>
  <c r="T153" i="18" s="1"/>
  <c r="T192" i="18" s="1"/>
  <c r="T198" i="18" s="1"/>
  <c r="T217" i="18" s="1"/>
  <c r="Y7" i="22" s="1"/>
  <c r="BK17" i="23" s="1"/>
  <c r="BK37" i="23" s="1"/>
  <c r="F112" i="18"/>
  <c r="F138" i="18" s="1"/>
  <c r="F151" i="18" s="1"/>
  <c r="F177" i="18" s="1"/>
  <c r="N119" i="18"/>
  <c r="N145" i="18" s="1"/>
  <c r="N158" i="18" s="1"/>
  <c r="N171" i="18" s="1"/>
  <c r="Y116" i="18"/>
  <c r="Y142" i="18" s="1"/>
  <c r="Y155" i="18" s="1"/>
  <c r="Y168" i="18" s="1"/>
  <c r="C114" i="18"/>
  <c r="C140" i="18" s="1"/>
  <c r="C153" i="18" s="1"/>
  <c r="C192" i="18" s="1"/>
  <c r="C198" i="18" s="1"/>
  <c r="C217" i="18" s="1"/>
  <c r="H7" i="22" s="1"/>
  <c r="AT17" i="23" s="1"/>
  <c r="AT38" i="23" s="1"/>
  <c r="N111" i="18"/>
  <c r="N137" i="18" s="1"/>
  <c r="N150" i="18" s="1"/>
  <c r="V118" i="18"/>
  <c r="V144" i="18" s="1"/>
  <c r="V157" i="18" s="1"/>
  <c r="V170" i="18" s="1"/>
  <c r="H116" i="18"/>
  <c r="H142" i="18" s="1"/>
  <c r="H155" i="18" s="1"/>
  <c r="H168" i="18" s="1"/>
  <c r="K113" i="18"/>
  <c r="K139" i="18" s="1"/>
  <c r="K152" i="18" s="1"/>
  <c r="K165" i="18" s="1"/>
  <c r="V110" i="18"/>
  <c r="Y114" i="18"/>
  <c r="Y140" i="18" s="1"/>
  <c r="Y153" i="18" s="1"/>
  <c r="Y192" i="18" s="1"/>
  <c r="Y198" i="18" s="1"/>
  <c r="Y217" i="18" s="1"/>
  <c r="AD7" i="22" s="1"/>
  <c r="BP17" i="23" s="1"/>
  <c r="BP38" i="23" s="1"/>
  <c r="E117" i="18"/>
  <c r="E143" i="18" s="1"/>
  <c r="E156" i="18" s="1"/>
  <c r="E169" i="18" s="1"/>
  <c r="S111" i="18"/>
  <c r="S137" i="18" s="1"/>
  <c r="S150" i="18" s="1"/>
  <c r="M116" i="18"/>
  <c r="M142" i="18" s="1"/>
  <c r="M155" i="18" s="1"/>
  <c r="M207" i="18" s="1"/>
  <c r="B111" i="18"/>
  <c r="U115" i="18"/>
  <c r="U141" i="18" s="1"/>
  <c r="U154" i="18" s="1"/>
  <c r="U206" i="18" s="1"/>
  <c r="U211" i="18" s="1"/>
  <c r="U218" i="18" s="1"/>
  <c r="Z9" i="22" s="1"/>
  <c r="J110" i="18"/>
  <c r="D115" i="18"/>
  <c r="D141" i="18" s="1"/>
  <c r="D154" i="18" s="1"/>
  <c r="D206" i="18" s="1"/>
  <c r="D211" i="18" s="1"/>
  <c r="D218" i="18" s="1"/>
  <c r="I9" i="22" s="1"/>
  <c r="I117" i="18"/>
  <c r="I143" i="18" s="1"/>
  <c r="I156" i="18" s="1"/>
  <c r="I169" i="18" s="1"/>
  <c r="W111" i="18"/>
  <c r="W137" i="18" s="1"/>
  <c r="W150" i="18" s="1"/>
  <c r="W163" i="18" s="1"/>
  <c r="Q116" i="18"/>
  <c r="Q142" i="18" s="1"/>
  <c r="Q155" i="18" s="1"/>
  <c r="Q207" i="18" s="1"/>
  <c r="F111" i="18"/>
  <c r="F137" i="18" s="1"/>
  <c r="F150" i="18" s="1"/>
  <c r="F163" i="18" s="1"/>
  <c r="Y115" i="18"/>
  <c r="Y141" i="18" s="1"/>
  <c r="Y154" i="18" s="1"/>
  <c r="Y206" i="18" s="1"/>
  <c r="Y211" i="18" s="1"/>
  <c r="Y218" i="18" s="1"/>
  <c r="AD9" i="22" s="1"/>
  <c r="N110" i="18"/>
  <c r="X115" i="18"/>
  <c r="X141" i="18" s="1"/>
  <c r="X154" i="18" s="1"/>
  <c r="X206" i="18" s="1"/>
  <c r="X211" i="18" s="1"/>
  <c r="X218" i="18" s="1"/>
  <c r="AC9" i="22" s="1"/>
  <c r="V116" i="18"/>
  <c r="V142" i="18" s="1"/>
  <c r="V155" i="18" s="1"/>
  <c r="V168" i="18" s="1"/>
  <c r="S118" i="18"/>
  <c r="S144" i="18" s="1"/>
  <c r="S157" i="18" s="1"/>
  <c r="S170" i="18" s="1"/>
  <c r="P113" i="18"/>
  <c r="P139" i="18" s="1"/>
  <c r="P152" i="18" s="1"/>
  <c r="P165" i="18" s="1"/>
  <c r="B118" i="18"/>
  <c r="B144" i="18" s="1"/>
  <c r="X112" i="18"/>
  <c r="X138" i="18" s="1"/>
  <c r="X151" i="18" s="1"/>
  <c r="X177" i="18" s="1"/>
  <c r="J117" i="18"/>
  <c r="J143" i="18" s="1"/>
  <c r="J156" i="18" s="1"/>
  <c r="J169" i="18" s="1"/>
  <c r="G112" i="18"/>
  <c r="G138" i="18" s="1"/>
  <c r="G151" i="18" s="1"/>
  <c r="G177" i="18" s="1"/>
  <c r="R116" i="18"/>
  <c r="R142" i="18" s="1"/>
  <c r="R155" i="18" s="1"/>
  <c r="R207" i="18" s="1"/>
  <c r="O111" i="18"/>
  <c r="O137" i="18" s="1"/>
  <c r="O150" i="18" s="1"/>
  <c r="I116" i="18"/>
  <c r="I142" i="18" s="1"/>
  <c r="I155" i="18" s="1"/>
  <c r="I168" i="18" s="1"/>
  <c r="L113" i="18"/>
  <c r="L139" i="18" s="1"/>
  <c r="L152" i="18" s="1"/>
  <c r="L165" i="18" s="1"/>
  <c r="F118" i="18"/>
  <c r="F144" i="18" s="1"/>
  <c r="F157" i="18" s="1"/>
  <c r="F170" i="18" s="1"/>
  <c r="T112" i="18"/>
  <c r="T138" i="18" s="1"/>
  <c r="T151" i="18" s="1"/>
  <c r="I114" i="18"/>
  <c r="I140" i="18" s="1"/>
  <c r="I153" i="18" s="1"/>
  <c r="I192" i="18" s="1"/>
  <c r="B110" i="18"/>
  <c r="C110" i="18"/>
  <c r="G110" i="18"/>
  <c r="D110" i="18"/>
  <c r="F110" i="18"/>
  <c r="E110" i="18"/>
  <c r="T145" i="18"/>
  <c r="C19" i="15"/>
  <c r="C20" i="15"/>
  <c r="C21" i="15" s="1"/>
  <c r="C39" i="15" s="1"/>
  <c r="C51" i="15"/>
  <c r="C23" i="15"/>
  <c r="C37" i="15"/>
  <c r="U11" i="31" s="1"/>
  <c r="D184" i="33" l="1"/>
  <c r="D183" i="33" s="1"/>
  <c r="D192" i="33" s="1"/>
  <c r="D235" i="33" s="1"/>
  <c r="D236" i="33" s="1"/>
  <c r="T175" i="18"/>
  <c r="T162" i="18"/>
  <c r="R198" i="18"/>
  <c r="R217" i="18" s="1"/>
  <c r="W7" i="22" s="1"/>
  <c r="BI17" i="23" s="1"/>
  <c r="BI37" i="23" s="1"/>
  <c r="BR37" i="23" s="1"/>
  <c r="F93" i="23" s="1"/>
  <c r="F95" i="23" s="1"/>
  <c r="S163" i="18"/>
  <c r="S176" i="18"/>
  <c r="K163" i="18"/>
  <c r="K189" i="18"/>
  <c r="U163" i="18"/>
  <c r="U176" i="18"/>
  <c r="M163" i="18"/>
  <c r="M176" i="18"/>
  <c r="L163" i="18"/>
  <c r="L176" i="18"/>
  <c r="T163" i="18"/>
  <c r="T176" i="18"/>
  <c r="R163" i="18"/>
  <c r="R176" i="18"/>
  <c r="Q163" i="18"/>
  <c r="Q176" i="18"/>
  <c r="V163" i="18"/>
  <c r="V176" i="18"/>
  <c r="O163" i="18"/>
  <c r="O176" i="18"/>
  <c r="N163" i="18"/>
  <c r="N189" i="18"/>
  <c r="N198" i="18" s="1"/>
  <c r="N217" i="18" s="1"/>
  <c r="S7" i="22" s="1"/>
  <c r="BE17" i="23" s="1"/>
  <c r="BE36" i="23" s="1"/>
  <c r="BR36" i="23" s="1"/>
  <c r="E93" i="23" s="1"/>
  <c r="E95" i="23" s="1"/>
  <c r="P163" i="18"/>
  <c r="P176" i="18"/>
  <c r="AK225" i="33"/>
  <c r="AO225" i="33" s="1"/>
  <c r="AO228" i="33" s="1"/>
  <c r="AR228" i="33" s="1"/>
  <c r="AS228" i="33" s="1"/>
  <c r="AT228" i="33" s="1"/>
  <c r="AW228" i="33" s="1"/>
  <c r="D240" i="33" s="1"/>
  <c r="D258" i="33"/>
  <c r="D282" i="33" s="1"/>
  <c r="D287" i="33" s="1"/>
  <c r="C282" i="33"/>
  <c r="C287" i="33" s="1"/>
  <c r="C292" i="33" s="1"/>
  <c r="C35" i="15"/>
  <c r="U125" i="31" s="1"/>
  <c r="C36" i="30"/>
  <c r="F36" i="30" s="1"/>
  <c r="B100" i="30" s="1"/>
  <c r="J115" i="31"/>
  <c r="C14" i="31"/>
  <c r="U12" i="31"/>
  <c r="Y83" i="31" s="1"/>
  <c r="BR39" i="23"/>
  <c r="H93" i="23" s="1"/>
  <c r="H95" i="23" s="1"/>
  <c r="T177" i="18"/>
  <c r="T164" i="18"/>
  <c r="V177" i="18"/>
  <c r="V164" i="18"/>
  <c r="U177" i="18"/>
  <c r="U164" i="18"/>
  <c r="P177" i="18"/>
  <c r="P164" i="18"/>
  <c r="S177" i="18"/>
  <c r="S164" i="18"/>
  <c r="K177" i="18"/>
  <c r="K164" i="18"/>
  <c r="O177" i="18"/>
  <c r="O164" i="18"/>
  <c r="L177" i="18"/>
  <c r="L164" i="18"/>
  <c r="N177" i="18"/>
  <c r="N164" i="18"/>
  <c r="Q177" i="18"/>
  <c r="Q164" i="18"/>
  <c r="R177" i="18"/>
  <c r="R164" i="18"/>
  <c r="M177" i="18"/>
  <c r="M164" i="18"/>
  <c r="C83" i="15"/>
  <c r="AI29" i="24" s="1"/>
  <c r="C91" i="15"/>
  <c r="C89" i="15"/>
  <c r="C86" i="15"/>
  <c r="C84" i="15"/>
  <c r="AI30" i="24" s="1"/>
  <c r="C87" i="15"/>
  <c r="C82" i="15"/>
  <c r="AI28" i="24" s="1"/>
  <c r="AL28" i="24" s="1"/>
  <c r="AL54" i="24" s="1"/>
  <c r="CD90" i="31" s="1"/>
  <c r="E83" i="31" s="1"/>
  <c r="L83" i="31" s="1"/>
  <c r="C90" i="15"/>
  <c r="C85" i="15"/>
  <c r="AI31" i="24" s="1"/>
  <c r="C88" i="15"/>
  <c r="AN27" i="25"/>
  <c r="C27" i="15"/>
  <c r="C44" i="15" s="1"/>
  <c r="C30" i="15"/>
  <c r="C40" i="15" s="1"/>
  <c r="F9" i="23"/>
  <c r="K9" i="23" s="1"/>
  <c r="AK18" i="18"/>
  <c r="AA144" i="18"/>
  <c r="AA141" i="18"/>
  <c r="W172" i="18"/>
  <c r="W215" i="18" s="1"/>
  <c r="AB5" i="22" s="1"/>
  <c r="BN15" i="23" s="1"/>
  <c r="BN21" i="23" s="1"/>
  <c r="E120" i="18"/>
  <c r="E136" i="18"/>
  <c r="E149" i="18" s="1"/>
  <c r="E162" i="18" s="1"/>
  <c r="E172" i="18" s="1"/>
  <c r="E215" i="18" s="1"/>
  <c r="D120" i="18"/>
  <c r="D136" i="18"/>
  <c r="D149" i="18" s="1"/>
  <c r="D162" i="18" s="1"/>
  <c r="D172" i="18" s="1"/>
  <c r="D215" i="18" s="1"/>
  <c r="R120" i="18"/>
  <c r="R136" i="18"/>
  <c r="R149" i="18" s="1"/>
  <c r="R162" i="18" s="1"/>
  <c r="B151" i="18"/>
  <c r="B177" i="18" s="1"/>
  <c r="B185" i="18" s="1"/>
  <c r="AA138" i="18"/>
  <c r="H136" i="18"/>
  <c r="H149" i="18" s="1"/>
  <c r="H120" i="18"/>
  <c r="W136" i="18"/>
  <c r="W149" i="18" s="1"/>
  <c r="W175" i="18" s="1"/>
  <c r="W185" i="18" s="1"/>
  <c r="W216" i="18" s="1"/>
  <c r="AB6" i="22" s="1"/>
  <c r="BN16" i="23" s="1"/>
  <c r="BN29" i="23" s="1"/>
  <c r="W120" i="18"/>
  <c r="V120" i="18"/>
  <c r="V136" i="18"/>
  <c r="V149" i="18" s="1"/>
  <c r="V175" i="18" s="1"/>
  <c r="Y136" i="18"/>
  <c r="Y149" i="18" s="1"/>
  <c r="Y175" i="18" s="1"/>
  <c r="Y185" i="18" s="1"/>
  <c r="Y216" i="18" s="1"/>
  <c r="AD6" i="22" s="1"/>
  <c r="BP16" i="23" s="1"/>
  <c r="BP30" i="23" s="1"/>
  <c r="Y120" i="18"/>
  <c r="X120" i="18"/>
  <c r="X136" i="18"/>
  <c r="X149" i="18" s="1"/>
  <c r="X175" i="18" s="1"/>
  <c r="X185" i="18" s="1"/>
  <c r="X216" i="18" s="1"/>
  <c r="AC6" i="22" s="1"/>
  <c r="BO16" i="23" s="1"/>
  <c r="BO30" i="23" s="1"/>
  <c r="K120" i="18"/>
  <c r="K136" i="18"/>
  <c r="K149" i="18" s="1"/>
  <c r="K162" i="18" s="1"/>
  <c r="B157" i="18"/>
  <c r="B170" i="18" s="1"/>
  <c r="F120" i="18"/>
  <c r="F136" i="18"/>
  <c r="F149" i="18" s="1"/>
  <c r="C120" i="18"/>
  <c r="C136" i="18"/>
  <c r="C149" i="18" s="1"/>
  <c r="C162" i="18" s="1"/>
  <c r="C172" i="18" s="1"/>
  <c r="C215" i="18" s="1"/>
  <c r="J120" i="18"/>
  <c r="J136" i="18"/>
  <c r="J149" i="18" s="1"/>
  <c r="U120" i="18"/>
  <c r="U136" i="18"/>
  <c r="U149" i="18" s="1"/>
  <c r="B154" i="18"/>
  <c r="B206" i="18" s="1"/>
  <c r="B211" i="18" s="1"/>
  <c r="O136" i="18"/>
  <c r="O149" i="18" s="1"/>
  <c r="O162" i="18" s="1"/>
  <c r="O120" i="18"/>
  <c r="X172" i="18"/>
  <c r="X215" i="18" s="1"/>
  <c r="AC5" i="22" s="1"/>
  <c r="BO15" i="23" s="1"/>
  <c r="BO22" i="23" s="1"/>
  <c r="B145" i="18"/>
  <c r="B139" i="18"/>
  <c r="AA139" i="18" s="1"/>
  <c r="M120" i="18"/>
  <c r="M136" i="18"/>
  <c r="M149" i="18" s="1"/>
  <c r="M162" i="18" s="1"/>
  <c r="L120" i="18"/>
  <c r="L136" i="18"/>
  <c r="L149" i="18" s="1"/>
  <c r="L162" i="18" s="1"/>
  <c r="B142" i="18"/>
  <c r="AA142" i="18" s="1"/>
  <c r="B137" i="18"/>
  <c r="AA137" i="18" s="1"/>
  <c r="I120" i="18"/>
  <c r="I136" i="18"/>
  <c r="I149" i="18" s="1"/>
  <c r="I175" i="18" s="1"/>
  <c r="I185" i="18" s="1"/>
  <c r="I216" i="18" s="1"/>
  <c r="N6" i="22" s="1"/>
  <c r="AZ16" i="23" s="1"/>
  <c r="AZ27" i="23" s="1"/>
  <c r="S120" i="18"/>
  <c r="S136" i="18"/>
  <c r="S149" i="18" s="1"/>
  <c r="P136" i="18"/>
  <c r="P149" i="18" s="1"/>
  <c r="P162" i="18" s="1"/>
  <c r="P120" i="18"/>
  <c r="Y172" i="18"/>
  <c r="Y215" i="18" s="1"/>
  <c r="AD5" i="22" s="1"/>
  <c r="BP15" i="23" s="1"/>
  <c r="BP22" i="23" s="1"/>
  <c r="B143" i="18"/>
  <c r="AA143" i="18" s="1"/>
  <c r="Q136" i="18"/>
  <c r="Q149" i="18" s="1"/>
  <c r="Q162" i="18" s="1"/>
  <c r="Q120" i="18"/>
  <c r="G136" i="18"/>
  <c r="G149" i="18" s="1"/>
  <c r="G120" i="18"/>
  <c r="B136" i="18"/>
  <c r="B120" i="18"/>
  <c r="N120" i="18"/>
  <c r="N136" i="18"/>
  <c r="N149" i="18" s="1"/>
  <c r="N162" i="18" s="1"/>
  <c r="T120" i="18"/>
  <c r="B153" i="18"/>
  <c r="B192" i="18" s="1"/>
  <c r="B198" i="18" s="1"/>
  <c r="AA140" i="18"/>
  <c r="T158" i="18"/>
  <c r="C52" i="15"/>
  <c r="C24" i="15"/>
  <c r="C10" i="31"/>
  <c r="C43" i="15"/>
  <c r="C9" i="31" s="1"/>
  <c r="AJ216" i="33" l="1"/>
  <c r="AN216" i="33" s="1"/>
  <c r="D220" i="33" s="1"/>
  <c r="C294" i="33"/>
  <c r="S175" i="18"/>
  <c r="S162" i="18"/>
  <c r="S172" i="18" s="1"/>
  <c r="S215" i="18" s="1"/>
  <c r="X5" i="22" s="1"/>
  <c r="L172" i="18"/>
  <c r="L215" i="18" s="1"/>
  <c r="U175" i="18"/>
  <c r="U185" i="18" s="1"/>
  <c r="U216" i="18" s="1"/>
  <c r="Z6" i="22" s="1"/>
  <c r="BL16" i="23" s="1"/>
  <c r="BL29" i="23" s="1"/>
  <c r="U162" i="18"/>
  <c r="U172" i="18" s="1"/>
  <c r="U215" i="18" s="1"/>
  <c r="Z5" i="22" s="1"/>
  <c r="BL15" i="23" s="1"/>
  <c r="BL21" i="23" s="1"/>
  <c r="O172" i="18"/>
  <c r="O215" i="18" s="1"/>
  <c r="T5" i="22" s="1"/>
  <c r="BF15" i="23" s="1"/>
  <c r="BF20" i="23" s="1"/>
  <c r="J175" i="18"/>
  <c r="J185" i="18" s="1"/>
  <c r="J216" i="18" s="1"/>
  <c r="O6" i="22" s="1"/>
  <c r="BA16" i="23" s="1"/>
  <c r="BA27" i="23" s="1"/>
  <c r="J162" i="18"/>
  <c r="J172" i="18" s="1"/>
  <c r="J215" i="18" s="1"/>
  <c r="O5" i="22" s="1"/>
  <c r="BA15" i="23" s="1"/>
  <c r="BA19" i="23" s="1"/>
  <c r="V172" i="18"/>
  <c r="V215" i="18" s="1"/>
  <c r="AA5" i="22" s="1"/>
  <c r="BM15" i="23" s="1"/>
  <c r="BM21" i="23" s="1"/>
  <c r="D276" i="33"/>
  <c r="D290" i="33" s="1"/>
  <c r="D292" i="33" s="1"/>
  <c r="D294" i="33" s="1"/>
  <c r="R172" i="18"/>
  <c r="R215" i="18" s="1"/>
  <c r="N172" i="18"/>
  <c r="N215" i="18" s="1"/>
  <c r="S5" i="22" s="1"/>
  <c r="BE15" i="23" s="1"/>
  <c r="BE20" i="23" s="1"/>
  <c r="S185" i="18"/>
  <c r="S216" i="18" s="1"/>
  <c r="X6" i="22" s="1"/>
  <c r="BJ16" i="23" s="1"/>
  <c r="BJ29" i="23" s="1"/>
  <c r="M172" i="18"/>
  <c r="M215" i="18" s="1"/>
  <c r="R5" i="22" s="1"/>
  <c r="BD15" i="23" s="1"/>
  <c r="BD19" i="23" s="1"/>
  <c r="Q172" i="18"/>
  <c r="Q215" i="18" s="1"/>
  <c r="V5" i="22" s="1"/>
  <c r="BH15" i="23" s="1"/>
  <c r="BH20" i="23" s="1"/>
  <c r="K172" i="18"/>
  <c r="K215" i="18" s="1"/>
  <c r="P5" i="22" s="1"/>
  <c r="BB15" i="23" s="1"/>
  <c r="BB19" i="23" s="1"/>
  <c r="P172" i="18"/>
  <c r="P215" i="18" s="1"/>
  <c r="U5" i="22" s="1"/>
  <c r="BG15" i="23" s="1"/>
  <c r="BG20" i="23" s="1"/>
  <c r="T185" i="18"/>
  <c r="T216" i="18" s="1"/>
  <c r="Y6" i="22" s="1"/>
  <c r="BK16" i="23" s="1"/>
  <c r="BK29" i="23" s="1"/>
  <c r="L10" i="31"/>
  <c r="AG129" i="31"/>
  <c r="AG131" i="31" s="1"/>
  <c r="J10" i="31"/>
  <c r="L14" i="31"/>
  <c r="AG141" i="31"/>
  <c r="AG143" i="31" s="1"/>
  <c r="J14" i="31"/>
  <c r="D100" i="30"/>
  <c r="B119" i="30"/>
  <c r="B102" i="30"/>
  <c r="C29" i="31"/>
  <c r="J29" i="31" s="1"/>
  <c r="B119" i="31"/>
  <c r="J119" i="31" s="1"/>
  <c r="L9" i="31"/>
  <c r="AG126" i="31"/>
  <c r="AG128" i="31" s="1"/>
  <c r="J9" i="31"/>
  <c r="C13" i="31"/>
  <c r="V185" i="18"/>
  <c r="V216" i="18" s="1"/>
  <c r="AA6" i="22" s="1"/>
  <c r="O201" i="18"/>
  <c r="O211" i="18" s="1"/>
  <c r="O218" i="18" s="1"/>
  <c r="T9" i="22" s="1"/>
  <c r="O175" i="18"/>
  <c r="O185" i="18" s="1"/>
  <c r="O216" i="18" s="1"/>
  <c r="T6" i="22" s="1"/>
  <c r="BF16" i="23" s="1"/>
  <c r="BF28" i="23" s="1"/>
  <c r="K175" i="18"/>
  <c r="K185" i="18" s="1"/>
  <c r="K216" i="18" s="1"/>
  <c r="P6" i="22" s="1"/>
  <c r="BB16" i="23" s="1"/>
  <c r="BB27" i="23" s="1"/>
  <c r="K188" i="18"/>
  <c r="K198" i="18" s="1"/>
  <c r="K217" i="18" s="1"/>
  <c r="P7" i="22" s="1"/>
  <c r="BB17" i="23" s="1"/>
  <c r="BB35" i="23" s="1"/>
  <c r="M201" i="18"/>
  <c r="M211" i="18" s="1"/>
  <c r="M218" i="18" s="1"/>
  <c r="R9" i="22" s="1"/>
  <c r="M175" i="18"/>
  <c r="M185" i="18" s="1"/>
  <c r="M216" i="18" s="1"/>
  <c r="R6" i="22" s="1"/>
  <c r="BD16" i="23" s="1"/>
  <c r="BD27" i="23" s="1"/>
  <c r="F162" i="18"/>
  <c r="F172" i="18" s="1"/>
  <c r="F215" i="18" s="1"/>
  <c r="K5" i="22" s="1"/>
  <c r="AW15" i="23" s="1"/>
  <c r="AW23" i="23" s="1"/>
  <c r="F175" i="18"/>
  <c r="F185" i="18" s="1"/>
  <c r="F216" i="18" s="1"/>
  <c r="K6" i="22" s="1"/>
  <c r="AW16" i="23" s="1"/>
  <c r="AW31" i="23" s="1"/>
  <c r="Q201" i="18"/>
  <c r="Q211" i="18" s="1"/>
  <c r="Q218" i="18" s="1"/>
  <c r="V9" i="22" s="1"/>
  <c r="Q175" i="18"/>
  <c r="Q185" i="18" s="1"/>
  <c r="Q216" i="18" s="1"/>
  <c r="V6" i="22" s="1"/>
  <c r="BH16" i="23" s="1"/>
  <c r="BH28" i="23" s="1"/>
  <c r="P201" i="18"/>
  <c r="P211" i="18" s="1"/>
  <c r="P218" i="18" s="1"/>
  <c r="U9" i="22" s="1"/>
  <c r="P175" i="18"/>
  <c r="P185" i="18" s="1"/>
  <c r="P216" i="18" s="1"/>
  <c r="U6" i="22" s="1"/>
  <c r="BG16" i="23" s="1"/>
  <c r="BG28" i="23" s="1"/>
  <c r="I162" i="18"/>
  <c r="I172" i="18" s="1"/>
  <c r="I215" i="18" s="1"/>
  <c r="N5" i="22" s="1"/>
  <c r="AZ15" i="23" s="1"/>
  <c r="AZ19" i="23" s="1"/>
  <c r="I188" i="18"/>
  <c r="I198" i="18" s="1"/>
  <c r="I217" i="18" s="1"/>
  <c r="N7" i="22" s="1"/>
  <c r="AZ17" i="23" s="1"/>
  <c r="AZ35" i="23" s="1"/>
  <c r="L201" i="18"/>
  <c r="L211" i="18" s="1"/>
  <c r="L218" i="18" s="1"/>
  <c r="Q9" i="22" s="1"/>
  <c r="L175" i="18"/>
  <c r="L185" i="18" s="1"/>
  <c r="G162" i="18"/>
  <c r="G172" i="18" s="1"/>
  <c r="G215" i="18" s="1"/>
  <c r="L5" i="22" s="1"/>
  <c r="AX15" i="23" s="1"/>
  <c r="AX23" i="23" s="1"/>
  <c r="G175" i="18"/>
  <c r="G185" i="18" s="1"/>
  <c r="G216" i="18" s="1"/>
  <c r="L6" i="22" s="1"/>
  <c r="AX16" i="23" s="1"/>
  <c r="AX31" i="23" s="1"/>
  <c r="N201" i="18"/>
  <c r="N211" i="18" s="1"/>
  <c r="N218" i="18" s="1"/>
  <c r="S9" i="22" s="1"/>
  <c r="N175" i="18"/>
  <c r="N185" i="18" s="1"/>
  <c r="N216" i="18" s="1"/>
  <c r="S6" i="22" s="1"/>
  <c r="BE16" i="23" s="1"/>
  <c r="BE28" i="23" s="1"/>
  <c r="H162" i="18"/>
  <c r="H172" i="18" s="1"/>
  <c r="H215" i="18" s="1"/>
  <c r="M5" i="22" s="1"/>
  <c r="AY15" i="23" s="1"/>
  <c r="AY19" i="23" s="1"/>
  <c r="H175" i="18"/>
  <c r="H185" i="18" s="1"/>
  <c r="H216" i="18" s="1"/>
  <c r="M6" i="22" s="1"/>
  <c r="AY16" i="23" s="1"/>
  <c r="AY27" i="23" s="1"/>
  <c r="R201" i="18"/>
  <c r="R211" i="18" s="1"/>
  <c r="R218" i="18" s="1"/>
  <c r="W9" i="22" s="1"/>
  <c r="R175" i="18"/>
  <c r="R185" i="18" s="1"/>
  <c r="R216" i="18" s="1"/>
  <c r="W6" i="22" s="1"/>
  <c r="BI16" i="23" s="1"/>
  <c r="BI29" i="23" s="1"/>
  <c r="AN54" i="25"/>
  <c r="CE92" i="31" s="1"/>
  <c r="F85" i="31" s="1"/>
  <c r="M85" i="31" s="1"/>
  <c r="J85" i="31" s="1"/>
  <c r="AI32" i="24"/>
  <c r="AI35" i="24"/>
  <c r="AI34" i="24"/>
  <c r="AI37" i="24"/>
  <c r="AI36" i="24"/>
  <c r="AI33" i="24"/>
  <c r="C56" i="15"/>
  <c r="C105" i="15"/>
  <c r="C104" i="15"/>
  <c r="C102" i="15"/>
  <c r="C103" i="15"/>
  <c r="C106" i="15"/>
  <c r="AL28" i="25"/>
  <c r="AL54" i="25" s="1"/>
  <c r="CE90" i="31" s="1"/>
  <c r="F83" i="31" s="1"/>
  <c r="M83" i="31" s="1"/>
  <c r="J83" i="31" s="1"/>
  <c r="C99" i="15"/>
  <c r="C97" i="15"/>
  <c r="C100" i="15"/>
  <c r="C98" i="15"/>
  <c r="C101" i="15"/>
  <c r="C28" i="15"/>
  <c r="C59" i="15"/>
  <c r="C31" i="15"/>
  <c r="C41" i="15" s="1"/>
  <c r="C53" i="15"/>
  <c r="C25" i="15"/>
  <c r="C54" i="15" s="1"/>
  <c r="AD8" i="22"/>
  <c r="BP5" i="23" s="1"/>
  <c r="AB8" i="22"/>
  <c r="BN5" i="23" s="1"/>
  <c r="BN9" i="23" s="1"/>
  <c r="W5" i="22"/>
  <c r="BI15" i="23" s="1"/>
  <c r="BI21" i="23" s="1"/>
  <c r="Q5" i="22"/>
  <c r="BC15" i="23" s="1"/>
  <c r="BC19" i="23" s="1"/>
  <c r="I5" i="22"/>
  <c r="AC8" i="22"/>
  <c r="BO5" i="23" s="1"/>
  <c r="J5" i="22"/>
  <c r="H5" i="22"/>
  <c r="B158" i="18"/>
  <c r="B171" i="18" s="1"/>
  <c r="AA145" i="18"/>
  <c r="B152" i="18"/>
  <c r="B165" i="18" s="1"/>
  <c r="B155" i="18"/>
  <c r="B168" i="18" s="1"/>
  <c r="B156" i="18"/>
  <c r="B169" i="18" s="1"/>
  <c r="B216" i="18"/>
  <c r="G6" i="22" s="1"/>
  <c r="AS16" i="23" s="1"/>
  <c r="AS30" i="23" s="1"/>
  <c r="BR30" i="23" s="1"/>
  <c r="G83" i="23" s="1"/>
  <c r="G85" i="23" s="1"/>
  <c r="B149" i="18"/>
  <c r="AA136" i="18"/>
  <c r="B150" i="18"/>
  <c r="B163" i="18" s="1"/>
  <c r="B217" i="18"/>
  <c r="G7" i="22" s="1"/>
  <c r="AS17" i="23" s="1"/>
  <c r="AS38" i="23" s="1"/>
  <c r="BR38" i="23" s="1"/>
  <c r="G93" i="23" s="1"/>
  <c r="G95" i="23" s="1"/>
  <c r="B218" i="18"/>
  <c r="G9" i="22" s="1"/>
  <c r="AA120" i="18"/>
  <c r="T171" i="18"/>
  <c r="T172" i="18" s="1"/>
  <c r="O8" i="22" l="1"/>
  <c r="BA5" i="23" s="1"/>
  <c r="BA7" i="23" s="1"/>
  <c r="BJ15" i="23"/>
  <c r="BJ21" i="23" s="1"/>
  <c r="X8" i="22"/>
  <c r="BJ5" i="23" s="1"/>
  <c r="BJ9" i="23" s="1"/>
  <c r="Z8" i="22"/>
  <c r="BL5" i="23" s="1"/>
  <c r="BL9" i="23" s="1"/>
  <c r="D119" i="30"/>
  <c r="B122" i="30"/>
  <c r="B128" i="30" s="1"/>
  <c r="B130" i="30" s="1"/>
  <c r="BR35" i="23"/>
  <c r="D93" i="23" s="1"/>
  <c r="D95" i="23" s="1"/>
  <c r="AG138" i="31"/>
  <c r="AG140" i="31" s="1"/>
  <c r="L13" i="31"/>
  <c r="J13" i="31"/>
  <c r="BR20" i="23"/>
  <c r="E73" i="23" s="1"/>
  <c r="E75" i="23" s="1"/>
  <c r="BR19" i="23"/>
  <c r="D73" i="23" s="1"/>
  <c r="D75" i="23" s="1"/>
  <c r="BR28" i="23"/>
  <c r="E83" i="23" s="1"/>
  <c r="E85" i="23" s="1"/>
  <c r="BR31" i="23"/>
  <c r="H83" i="23" s="1"/>
  <c r="H85" i="23" s="1"/>
  <c r="AA8" i="22"/>
  <c r="BM5" i="23" s="1"/>
  <c r="BM9" i="23" s="1"/>
  <c r="BM16" i="23"/>
  <c r="BM29" i="23" s="1"/>
  <c r="BR29" i="23" s="1"/>
  <c r="F83" i="23" s="1"/>
  <c r="F85" i="23" s="1"/>
  <c r="H8" i="22"/>
  <c r="AT5" i="23" s="1"/>
  <c r="AT10" i="23" s="1"/>
  <c r="AT15" i="23"/>
  <c r="AT22" i="23" s="1"/>
  <c r="J8" i="22"/>
  <c r="AV5" i="23" s="1"/>
  <c r="AV11" i="23" s="1"/>
  <c r="AV15" i="23"/>
  <c r="AV23" i="23" s="1"/>
  <c r="I8" i="22"/>
  <c r="AU5" i="23" s="1"/>
  <c r="AU11" i="23" s="1"/>
  <c r="AU15" i="23"/>
  <c r="AU23" i="23" s="1"/>
  <c r="BP9" i="23"/>
  <c r="BP10" i="23"/>
  <c r="AT9" i="23"/>
  <c r="BO9" i="23"/>
  <c r="BO10" i="23"/>
  <c r="AV9" i="23"/>
  <c r="AU9" i="23"/>
  <c r="AA211" i="18"/>
  <c r="T8" i="22"/>
  <c r="BF5" i="23" s="1"/>
  <c r="BF8" i="23" s="1"/>
  <c r="BJ8" i="23"/>
  <c r="M8" i="22"/>
  <c r="AY5" i="23" s="1"/>
  <c r="AY7" i="23" s="1"/>
  <c r="N8" i="22"/>
  <c r="AZ5" i="23" s="1"/>
  <c r="AZ7" i="23" s="1"/>
  <c r="K8" i="22"/>
  <c r="AW5" i="23" s="1"/>
  <c r="AA198" i="18"/>
  <c r="W8" i="22"/>
  <c r="BI5" i="23" s="1"/>
  <c r="P8" i="22"/>
  <c r="BB5" i="23" s="1"/>
  <c r="BB7" i="23" s="1"/>
  <c r="V8" i="22"/>
  <c r="BH5" i="23" s="1"/>
  <c r="BH8" i="23" s="1"/>
  <c r="L8" i="22"/>
  <c r="AX5" i="23" s="1"/>
  <c r="L216" i="18"/>
  <c r="Q6" i="22" s="1"/>
  <c r="AA185" i="18"/>
  <c r="R8" i="22"/>
  <c r="BD5" i="23" s="1"/>
  <c r="BD7" i="23" s="1"/>
  <c r="S8" i="22"/>
  <c r="BE5" i="23" s="1"/>
  <c r="BE8" i="23" s="1"/>
  <c r="U8" i="22"/>
  <c r="BG5" i="23" s="1"/>
  <c r="BG8" i="23" s="1"/>
  <c r="J14" i="22"/>
  <c r="C14" i="22" s="1"/>
  <c r="F16" i="23" s="1"/>
  <c r="K16" i="23" s="1"/>
  <c r="H14" i="22"/>
  <c r="C12" i="22" s="1"/>
  <c r="F14" i="23" s="1"/>
  <c r="K14" i="23" s="1"/>
  <c r="C57" i="15"/>
  <c r="C45" i="15"/>
  <c r="AI48" i="24"/>
  <c r="AI50" i="24"/>
  <c r="AI43" i="24"/>
  <c r="AI51" i="24"/>
  <c r="AI45" i="24"/>
  <c r="AI44" i="24"/>
  <c r="AI46" i="24"/>
  <c r="AK54" i="18"/>
  <c r="CC89" i="31" s="1"/>
  <c r="D82" i="31" s="1"/>
  <c r="AI52" i="24"/>
  <c r="AI47" i="24"/>
  <c r="AI49" i="24"/>
  <c r="C29" i="15"/>
  <c r="C60" i="15"/>
  <c r="C32" i="15"/>
  <c r="AA146" i="18"/>
  <c r="AA147" i="18" s="1"/>
  <c r="C166" i="33" s="1"/>
  <c r="D166" i="33" s="1"/>
  <c r="B172" i="18"/>
  <c r="B215" i="18" s="1"/>
  <c r="AF9" i="22"/>
  <c r="AA221" i="18"/>
  <c r="C301" i="33" s="1"/>
  <c r="AA159" i="18"/>
  <c r="C165" i="33" s="1"/>
  <c r="D165" i="33" s="1"/>
  <c r="T215" i="18"/>
  <c r="Y5" i="22" s="1"/>
  <c r="C4" i="22" l="1"/>
  <c r="C7" i="22" s="1"/>
  <c r="K25" i="23" s="1"/>
  <c r="C172" i="33" s="1"/>
  <c r="AD19" i="31"/>
  <c r="R17" i="31"/>
  <c r="K82" i="31"/>
  <c r="BR23" i="23"/>
  <c r="H73" i="23" s="1"/>
  <c r="H75" i="23" s="1"/>
  <c r="Y8" i="22"/>
  <c r="BK15" i="23"/>
  <c r="BK21" i="23" s="1"/>
  <c r="BR21" i="23" s="1"/>
  <c r="F73" i="23" s="1"/>
  <c r="F75" i="23" s="1"/>
  <c r="Q8" i="22"/>
  <c r="BC5" i="23" s="1"/>
  <c r="BC7" i="23" s="1"/>
  <c r="BR7" i="23" s="1"/>
  <c r="D25" i="23" s="1"/>
  <c r="BC16" i="23"/>
  <c r="BC27" i="23" s="1"/>
  <c r="BR27" i="23" s="1"/>
  <c r="D83" i="23" s="1"/>
  <c r="D85" i="23" s="1"/>
  <c r="AX9" i="23"/>
  <c r="AX11" i="23"/>
  <c r="AW9" i="23"/>
  <c r="AW11" i="23"/>
  <c r="BI8" i="23"/>
  <c r="BR8" i="23" s="1"/>
  <c r="E25" i="23" s="1"/>
  <c r="E27" i="23" s="1"/>
  <c r="BI9" i="23"/>
  <c r="C58" i="15"/>
  <c r="C46" i="15"/>
  <c r="C11" i="31" s="1"/>
  <c r="C61" i="15"/>
  <c r="C42" i="15"/>
  <c r="C12" i="31" s="1"/>
  <c r="AK54" i="25"/>
  <c r="CE89" i="31" s="1"/>
  <c r="F82" i="31" s="1"/>
  <c r="M82" i="31" s="1"/>
  <c r="G5" i="22"/>
  <c r="AA172" i="18"/>
  <c r="AA220" i="18"/>
  <c r="C300" i="33" s="1"/>
  <c r="AA219" i="18"/>
  <c r="D172" i="33" l="1"/>
  <c r="C175" i="33"/>
  <c r="D175" i="33" s="1"/>
  <c r="L11" i="31"/>
  <c r="AG132" i="31"/>
  <c r="AG134" i="31" s="1"/>
  <c r="J11" i="31"/>
  <c r="D27" i="23"/>
  <c r="AG135" i="31"/>
  <c r="AG137" i="31" s="1"/>
  <c r="L12" i="31"/>
  <c r="J12" i="31"/>
  <c r="K116" i="31"/>
  <c r="C214" i="33" s="1"/>
  <c r="T110" i="31"/>
  <c r="T17" i="31"/>
  <c r="S17" i="31"/>
  <c r="AE19" i="31"/>
  <c r="C20" i="31" s="1"/>
  <c r="C152" i="33" s="1"/>
  <c r="AF19" i="31"/>
  <c r="D20" i="31" s="1"/>
  <c r="C155" i="33" s="1"/>
  <c r="T112" i="31"/>
  <c r="M116" i="31"/>
  <c r="G8" i="22"/>
  <c r="AS5" i="23" s="1"/>
  <c r="AS10" i="23" s="1"/>
  <c r="BR10" i="23" s="1"/>
  <c r="G25" i="23" s="1"/>
  <c r="G27" i="23" s="1"/>
  <c r="AS15" i="23"/>
  <c r="AS22" i="23" s="1"/>
  <c r="BR22" i="23" s="1"/>
  <c r="G73" i="23" s="1"/>
  <c r="G75" i="23" s="1"/>
  <c r="K27" i="23"/>
  <c r="K73" i="23"/>
  <c r="BR11" i="23"/>
  <c r="H25" i="23" s="1"/>
  <c r="H27" i="23" s="1"/>
  <c r="AS9" i="23"/>
  <c r="C49" i="15"/>
  <c r="AK54" i="24"/>
  <c r="CD89" i="31" s="1"/>
  <c r="E82" i="31" s="1"/>
  <c r="C179" i="33" s="1"/>
  <c r="BK5" i="23"/>
  <c r="BK9" i="23" s="1"/>
  <c r="D155" i="33" l="1"/>
  <c r="D179" i="33"/>
  <c r="C158" i="33"/>
  <c r="D152" i="33"/>
  <c r="C216" i="33"/>
  <c r="D214" i="33"/>
  <c r="K75" i="23"/>
  <c r="C30" i="31"/>
  <c r="B118" i="31"/>
  <c r="C176" i="33" s="1"/>
  <c r="D176" i="33" s="1"/>
  <c r="L82" i="31"/>
  <c r="AG147" i="31"/>
  <c r="U126" i="31" s="1"/>
  <c r="J20" i="31"/>
  <c r="BR9" i="23"/>
  <c r="F25" i="23" s="1"/>
  <c r="C170" i="33" s="1"/>
  <c r="AF8" i="22"/>
  <c r="AF5" i="22" s="1"/>
  <c r="G14" i="22"/>
  <c r="C11" i="22" s="1"/>
  <c r="F13" i="23" s="1"/>
  <c r="K13" i="23" s="1"/>
  <c r="D158" i="33" l="1"/>
  <c r="C160" i="33"/>
  <c r="D160" i="33" s="1"/>
  <c r="C177" i="33"/>
  <c r="D177" i="33" s="1"/>
  <c r="D216" i="33"/>
  <c r="C178" i="33"/>
  <c r="D170" i="33"/>
  <c r="D178" i="33" s="1"/>
  <c r="C173" i="33"/>
  <c r="T111" i="31"/>
  <c r="L116" i="31"/>
  <c r="J82" i="31"/>
  <c r="J118" i="31"/>
  <c r="C218" i="33" s="1"/>
  <c r="D218" i="33" s="1"/>
  <c r="J30" i="31"/>
  <c r="F27" i="23"/>
  <c r="AD18" i="31"/>
  <c r="R16" i="31"/>
  <c r="C221" i="33" l="1"/>
  <c r="C174" i="33"/>
  <c r="D174" i="33" s="1"/>
  <c r="D173" i="33"/>
  <c r="D221" i="33"/>
  <c r="S16" i="31"/>
  <c r="T16" i="31"/>
  <c r="AE18" i="31"/>
  <c r="C19" i="31" s="1"/>
  <c r="C151" i="33" s="1"/>
  <c r="AF18" i="31"/>
  <c r="D19" i="31" s="1"/>
  <c r="J145" i="31"/>
  <c r="D151" i="33" l="1"/>
  <c r="C154" i="33"/>
  <c r="C180" i="33"/>
  <c r="J19" i="31"/>
  <c r="C194" i="33" s="1"/>
  <c r="D154" i="33" l="1"/>
  <c r="C181" i="33"/>
  <c r="D180" i="33"/>
  <c r="D181" i="33" s="1"/>
  <c r="D194" i="33"/>
  <c r="D237" i="33" s="1"/>
  <c r="C237" i="33"/>
  <c r="C157" i="33"/>
  <c r="J48" i="31"/>
  <c r="B174" i="31" s="1"/>
  <c r="D157" i="33" l="1"/>
  <c r="C241" i="33"/>
  <c r="C238" i="33"/>
  <c r="D241" i="33"/>
  <c r="D242" i="33" s="1"/>
  <c r="D238" i="33"/>
  <c r="B175" i="31"/>
  <c r="B180" i="31"/>
  <c r="B181" i="31" s="1"/>
  <c r="C242" i="33" l="1"/>
</calcChain>
</file>

<file path=xl/comments1.xml><?xml version="1.0" encoding="utf-8"?>
<comments xmlns="http://schemas.openxmlformats.org/spreadsheetml/2006/main">
  <authors>
    <author>Auteur</author>
  </authors>
  <commentList>
    <comment ref="Z3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Les DPB Estive rentre-t-elle dans le calcul de l'ICHN ?
A priori OUI
</t>
        </r>
      </text>
    </comment>
  </commentList>
</comments>
</file>

<file path=xl/comments2.xml><?xml version="1.0" encoding="utf-8"?>
<comments xmlns="http://schemas.openxmlformats.org/spreadsheetml/2006/main">
  <authors>
    <author>Tristan MORAUD</author>
  </authors>
  <commentList>
    <comment ref="R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6 naissances-1 mort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6 naissances-1 mort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naissances-1 mort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
ou 15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 ventes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 ventes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-0 morte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+3 jeunes</t>
        </r>
      </text>
    </comment>
    <comment ref="U1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+3 jeunes</t>
        </r>
      </text>
    </comment>
    <comment ref="V1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+3 jeunes</t>
        </r>
      </text>
    </comment>
    <comment ref="W1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+3 jeunes</t>
        </r>
      </text>
    </comment>
    <comment ref="T1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U1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V1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W1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 sorties 
3 entrées</t>
        </r>
      </text>
    </comment>
    <comment ref="K12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0,15</t>
        </r>
      </text>
    </comment>
    <comment ref="L12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0,15</t>
        </r>
      </text>
    </comment>
    <comment ref="S12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0,2 de fin septembre à debut novembre</t>
        </r>
      </text>
    </comment>
  </commentList>
</comments>
</file>

<file path=xl/comments3.xml><?xml version="1.0" encoding="utf-8"?>
<comments xmlns="http://schemas.openxmlformats.org/spreadsheetml/2006/main">
  <authors>
    <author>Tristan MORAUD</author>
  </authors>
  <commentList>
    <comment ref="Q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185
14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185
14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environ 70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besoin en concentré à réajuster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vrai besoin 17 T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doit avoir -17</t>
        </r>
      </text>
    </comment>
    <comment ref="Q2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185
14
78</t>
        </r>
      </text>
    </comment>
    <comment ref="Q3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189
13
187
78</t>
        </r>
      </text>
    </comment>
    <comment ref="Q3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183
187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181
14</t>
        </r>
      </text>
    </comment>
    <comment ref="Q3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183
187
78</t>
        </r>
      </text>
    </comment>
    <comment ref="Q3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190
13
187</t>
        </r>
      </text>
    </comment>
  </commentList>
</comments>
</file>

<file path=xl/comments4.xml><?xml version="1.0" encoding="utf-8"?>
<comments xmlns="http://schemas.openxmlformats.org/spreadsheetml/2006/main">
  <authors>
    <author>Tristan MORAUD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avant 3,66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ancien 1,2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3,81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3,81</t>
        </r>
      </text>
    </comment>
  </commentList>
</comments>
</file>

<file path=xl/comments5.xml><?xml version="1.0" encoding="utf-8"?>
<comments xmlns="http://schemas.openxmlformats.org/spreadsheetml/2006/main">
  <authors>
    <author>Tristan MORAUD</author>
  </authors>
  <commentList>
    <comment ref="G1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avant 3,66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ancien 1,2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initial 3,81</t>
        </r>
      </text>
    </comment>
  </commentList>
</comments>
</file>

<file path=xl/comments6.xml><?xml version="1.0" encoding="utf-8"?>
<comments xmlns="http://schemas.openxmlformats.org/spreadsheetml/2006/main">
  <authors>
    <author>Tristan MORAUD</author>
  </authors>
  <commentList>
    <comment ref="R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6 naissances-1 mort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6 naissances-1 mort</t>
        </r>
      </text>
    </comment>
    <comment ref="V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naissances-1 mort</t>
        </r>
      </text>
    </comment>
    <comment ref="W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X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Y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Q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 ventes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 ventes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rajouter les 2 taureaux?</t>
        </r>
      </text>
    </comment>
    <comment ref="Q1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sortie 15 réformes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entrée 15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sortie 15 vers lot principal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transfert 15 génisses 24 mois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entrée 15 génisses de 6 mois</t>
        </r>
      </text>
    </comment>
    <comment ref="Q2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-3 ref</t>
        </r>
      </text>
    </comment>
    <comment ref="T2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-3 ref
+4 jeunes</t>
        </r>
      </text>
    </comment>
    <comment ref="U2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-3 ref
+4 jeunes</t>
        </r>
      </text>
    </comment>
    <comment ref="V2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+4 jeunes</t>
        </r>
      </text>
    </comment>
    <comment ref="W20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+3 jeunes</t>
        </r>
      </text>
    </comment>
    <comment ref="T2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U2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V2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W21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 sorties 
3 entrées</t>
        </r>
      </text>
    </comment>
    <comment ref="Q2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-3 ref</t>
        </r>
      </text>
    </comment>
    <comment ref="T2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-3 ref
+4 jeunes</t>
        </r>
      </text>
    </comment>
    <comment ref="U2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-3 ref
+4 jeunes</t>
        </r>
      </text>
    </comment>
    <comment ref="V2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+4 jeunes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+3 jeunes</t>
        </r>
      </text>
    </comment>
    <comment ref="T2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U2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V2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W2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 sorties 
3 entrées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rajouter les 2 taureaux?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S4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T4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6 naissances-1 mort</t>
        </r>
      </text>
    </comment>
    <comment ref="U4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6 naissances-1 mort</t>
        </r>
      </text>
    </comment>
    <comment ref="V4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naissances-1 mort</t>
        </r>
      </text>
    </comment>
    <comment ref="W4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X4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Y4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naissances</t>
        </r>
      </text>
    </comment>
    <comment ref="Q4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R4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T4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U4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V4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 ventes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 ventes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I4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2 ventes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rajouter les 2 taureaux?</t>
        </r>
      </text>
    </comment>
    <comment ref="Q54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sortie 15 réformes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entrée 15</t>
        </r>
      </text>
    </comment>
    <comment ref="R55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sortie 15 vers lot principal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transfert 15 génisses 24 mois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entrée 15 génisses de 6 mois</t>
        </r>
      </text>
    </comment>
    <comment ref="Q5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-0 morte</t>
        </r>
      </text>
    </comment>
    <comment ref="R5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</t>
        </r>
      </text>
    </comment>
    <comment ref="S5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</t>
        </r>
      </text>
    </comment>
    <comment ref="T5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+3 jeunes</t>
        </r>
      </text>
    </comment>
    <comment ref="U5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+3 jeunes</t>
        </r>
      </text>
    </comment>
    <comment ref="V5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+3 jeunes</t>
        </r>
      </text>
    </comment>
    <comment ref="W58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+3 jeunes</t>
        </r>
      </text>
    </comment>
    <comment ref="T5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U5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V5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W59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 sorties 
3 entrées</t>
        </r>
      </text>
    </comment>
    <comment ref="Q6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-0 morte</t>
        </r>
      </text>
    </comment>
    <comment ref="R6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</t>
        </r>
      </text>
    </comment>
    <comment ref="S6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</t>
        </r>
      </text>
    </comment>
    <comment ref="T6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+3 jeunes</t>
        </r>
      </text>
    </comment>
    <comment ref="U6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+3 jeunes</t>
        </r>
      </text>
    </comment>
    <comment ref="V6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-2 ref
+3 jeunes</t>
        </r>
      </text>
    </comment>
    <comment ref="W66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+3 jeunes</t>
        </r>
      </text>
    </comment>
    <comment ref="T6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U6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V6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4 sorties 
4 entrées</t>
        </r>
      </text>
    </comment>
    <comment ref="W67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3 sorties 
3 entrées</t>
        </r>
      </text>
    </comment>
    <comment ref="A72" authorId="0" shapeId="0">
      <text>
        <r>
          <rPr>
            <b/>
            <sz val="9"/>
            <color indexed="81"/>
            <rFont val="Tahoma"/>
            <family val="2"/>
          </rPr>
          <t>Tristan MORAUD:</t>
        </r>
        <r>
          <rPr>
            <sz val="9"/>
            <color indexed="81"/>
            <rFont val="Tahoma"/>
            <family val="2"/>
          </rPr>
          <t xml:space="preserve">
rajouter les 2 taureaux?</t>
        </r>
      </text>
    </comment>
  </commentList>
</comments>
</file>

<file path=xl/sharedStrings.xml><?xml version="1.0" encoding="utf-8"?>
<sst xmlns="http://schemas.openxmlformats.org/spreadsheetml/2006/main" count="3161" uniqueCount="1463">
  <si>
    <t>Février</t>
  </si>
  <si>
    <t>Mars</t>
  </si>
  <si>
    <t>Janvier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</si>
  <si>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</si>
  <si>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</si>
  <si>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</si>
  <si>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</si>
  <si>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</si>
  <si>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</si>
  <si>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</si>
  <si>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</si>
  <si>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</si>
  <si>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Effectifs lot</t>
  </si>
  <si>
    <t>TOTAL</t>
  </si>
  <si>
    <t>part attendu au pâturage</t>
  </si>
  <si>
    <t>Fourrage distribué (tMS)</t>
  </si>
  <si>
    <t>Numéro
Parcelle</t>
  </si>
  <si>
    <t>type</t>
  </si>
  <si>
    <t>surface</t>
  </si>
  <si>
    <t>forme</t>
  </si>
  <si>
    <t>dénivelé</t>
  </si>
  <si>
    <t>surface 
corrigée forme</t>
  </si>
  <si>
    <t>surface 
corrigée dénivé + forme</t>
  </si>
  <si>
    <t>petit côté 
(m)</t>
  </si>
  <si>
    <t>nombre 
"petit côté"</t>
  </si>
  <si>
    <t>coefficient 
 surface (%)</t>
  </si>
  <si>
    <t>Coefficient "côté"</t>
  </si>
  <si>
    <t>coefficient 
surface (%)</t>
  </si>
  <si>
    <t xml:space="preserve">carré </t>
  </si>
  <si>
    <t>nul</t>
  </si>
  <si>
    <t xml:space="preserve">rectangle </t>
  </si>
  <si>
    <t xml:space="preserve">faible </t>
  </si>
  <si>
    <t xml:space="preserve">biscornue </t>
  </si>
  <si>
    <t>important</t>
  </si>
  <si>
    <t>présence</t>
  </si>
  <si>
    <t>jours</t>
  </si>
  <si>
    <t>paille</t>
  </si>
  <si>
    <t>surfaces</t>
  </si>
  <si>
    <t>tMS</t>
  </si>
  <si>
    <t>nb côté max</t>
  </si>
  <si>
    <t>Type clôture</t>
  </si>
  <si>
    <t>type clôture</t>
  </si>
  <si>
    <t>km</t>
  </si>
  <si>
    <t>km en lisière SAU-forêt</t>
  </si>
  <si>
    <t>km total à élaguer</t>
  </si>
  <si>
    <t>nombre côtés</t>
  </si>
  <si>
    <t>linéaire filet (m)</t>
  </si>
  <si>
    <t>dont lisière fermé (m)</t>
  </si>
  <si>
    <t>linéaire fixe (m)</t>
  </si>
  <si>
    <t>dont partage voisin (m)</t>
  </si>
  <si>
    <t>Total linéaire (m)</t>
  </si>
  <si>
    <t>nb de jeu de 20 filets</t>
  </si>
  <si>
    <t>ha</t>
  </si>
  <si>
    <t>Conduite Trp 1</t>
  </si>
  <si>
    <t>allotement, logement et alimentation du troupeau 1</t>
  </si>
  <si>
    <t>Conduite Trp 2</t>
  </si>
  <si>
    <t>allotement, logement et alimentation du troupeau 2</t>
  </si>
  <si>
    <t>Conduite Trp 3</t>
  </si>
  <si>
    <t>allotement, logement et alimentation du troupeau 3</t>
  </si>
  <si>
    <t>Conduite Trp 4</t>
  </si>
  <si>
    <t>allotement, logement et alimentation du troupeau 4</t>
  </si>
  <si>
    <t>Scénario</t>
  </si>
  <si>
    <t>Synt Cd Trp</t>
  </si>
  <si>
    <t>Synthèse conduites des différents troupeaux</t>
  </si>
  <si>
    <t>Syst fourrager</t>
  </si>
  <si>
    <t>équilibre du système fourrager</t>
  </si>
  <si>
    <t>Parcellaire</t>
  </si>
  <si>
    <t>Travail</t>
  </si>
  <si>
    <t>Economie</t>
  </si>
  <si>
    <t>Protection</t>
  </si>
  <si>
    <t xml:space="preserve">case jaune </t>
  </si>
  <si>
    <t>entrée (saisie des enquêtes pour le scénario 0)</t>
  </si>
  <si>
    <t>case verte</t>
  </si>
  <si>
    <t>case violette</t>
  </si>
  <si>
    <t>calculs en interne dans la feuille</t>
  </si>
  <si>
    <t>case orange</t>
  </si>
  <si>
    <t>MEP</t>
  </si>
  <si>
    <t>F : fauche</t>
  </si>
  <si>
    <t>Pâture</t>
  </si>
  <si>
    <t>Stock</t>
  </si>
  <si>
    <t>Offre pâturage</t>
  </si>
  <si>
    <t>Offre</t>
  </si>
  <si>
    <t>disponibles</t>
  </si>
  <si>
    <t>P : pâture</t>
  </si>
  <si>
    <t>(tMS/ha)</t>
  </si>
  <si>
    <t>stock</t>
  </si>
  <si>
    <t>(tMS)</t>
  </si>
  <si>
    <t>(tonnes)</t>
  </si>
  <si>
    <t>(ha)</t>
  </si>
  <si>
    <t>pour vérif</t>
  </si>
  <si>
    <r>
      <t>Offre (O)</t>
    </r>
    <r>
      <rPr>
        <sz val="11"/>
        <color theme="1"/>
        <rFont val="Calibri"/>
        <family val="2"/>
        <scheme val="minor"/>
      </rPr>
      <t xml:space="preserve"> (tMS)</t>
    </r>
  </si>
  <si>
    <r>
      <t>Demande (D)</t>
    </r>
    <r>
      <rPr>
        <sz val="11"/>
        <color theme="1"/>
        <rFont val="Calibri"/>
        <family val="2"/>
        <scheme val="minor"/>
      </rPr>
      <t xml:space="preserve"> (tMS)</t>
    </r>
  </si>
  <si>
    <r>
      <t>Solde (O-D)</t>
    </r>
    <r>
      <rPr>
        <sz val="11"/>
        <color theme="1"/>
        <rFont val="Calibri"/>
        <family val="2"/>
        <scheme val="minor"/>
      </rPr>
      <t xml:space="preserve"> (tMS)</t>
    </r>
  </si>
  <si>
    <t>femelles présentes à la MB</t>
  </si>
  <si>
    <t>Cheptel 1</t>
  </si>
  <si>
    <t>Cheptel 2</t>
  </si>
  <si>
    <t>Cheptel 3</t>
  </si>
  <si>
    <t>Cheptel 4</t>
  </si>
  <si>
    <t>Catégorie cheptel</t>
  </si>
  <si>
    <t>nombre de femelles (déclaration)</t>
  </si>
  <si>
    <t>case bleue</t>
  </si>
  <si>
    <t>saisie en quête</t>
  </si>
  <si>
    <t>femelles à la traite</t>
  </si>
  <si>
    <t>femelles renouvellement &lt; 1 an</t>
  </si>
  <si>
    <t>femelles renouvellement 1 -2 an</t>
  </si>
  <si>
    <t>femelles renouvellement 2-3 an</t>
  </si>
  <si>
    <t>femelles renouvellement  3-4 an</t>
  </si>
  <si>
    <t>Animaux présents</t>
  </si>
  <si>
    <t>Jeunes nés</t>
  </si>
  <si>
    <t>nombe annuel de mise bas</t>
  </si>
  <si>
    <t>Lait / femelle</t>
  </si>
  <si>
    <t>mâles reproducteurs</t>
  </si>
  <si>
    <t>jeunes femelles  &gt; 1 an pour la boucherie</t>
  </si>
  <si>
    <t>appel à calcul ou références venant d'une autre feuille ou du classeur RéfPA</t>
  </si>
  <si>
    <t>Saisie enquête</t>
  </si>
  <si>
    <t>âge 1ère mise bas</t>
  </si>
  <si>
    <t>âge à la 1ère mise bas (an)</t>
  </si>
  <si>
    <t>taux de mise bas (%)</t>
  </si>
  <si>
    <t>taux de mise à la traite (%)</t>
  </si>
  <si>
    <t>prolificité (%)</t>
  </si>
  <si>
    <t>ratio mâle / femelles (%)</t>
  </si>
  <si>
    <t>taux mise engrais mâle (%)</t>
  </si>
  <si>
    <t>taux mise engrais femelle (%)</t>
  </si>
  <si>
    <t>mâles 1-2 ans à l'engrais</t>
  </si>
  <si>
    <t>mâles 2-3 ans à l'engrais</t>
  </si>
  <si>
    <t>mâles 3-4 ans à l'engrais</t>
  </si>
  <si>
    <t>femelles 1-2 ans à l'engrais</t>
  </si>
  <si>
    <t>femelles 2-3 ans à l'engrais</t>
  </si>
  <si>
    <t>femelles 3-4 ans à l'engrais</t>
  </si>
  <si>
    <t>Lait / troupeau / an (litres)</t>
  </si>
  <si>
    <t>lait / femelle / an (litres)</t>
  </si>
  <si>
    <t>jeunes sevrés</t>
  </si>
  <si>
    <t>mortalité jeunes avant sevrage (%)</t>
  </si>
  <si>
    <t>Flux annuels</t>
  </si>
  <si>
    <t>femelles adultes réformés</t>
  </si>
  <si>
    <t>mâle reproducteurs réformés</t>
  </si>
  <si>
    <t xml:space="preserve">ventre  femelles &lt; 1 an </t>
  </si>
  <si>
    <t>vente femelles 1-2 ans</t>
  </si>
  <si>
    <t>vente femelles 2-3 ans</t>
  </si>
  <si>
    <t>vente femelles 3-4 ans</t>
  </si>
  <si>
    <t xml:space="preserve">ventre  mâles &lt; 1 an </t>
  </si>
  <si>
    <t>vente mâles 1-2 ans</t>
  </si>
  <si>
    <t>vente mâles 2-3 ans</t>
  </si>
  <si>
    <t>vente mâles 3-4 ans</t>
  </si>
  <si>
    <t>femelles adultes mortes</t>
  </si>
  <si>
    <t>taux de mortalité femelles adultes (%)</t>
  </si>
  <si>
    <t>taux de renouvellement des mâles reproducteurs (%)</t>
  </si>
  <si>
    <t>taux de renouvellement des femelles (%)</t>
  </si>
  <si>
    <t>âge vente mâle (an)</t>
  </si>
  <si>
    <t>âge vente femelle (an)</t>
  </si>
  <si>
    <t>équivalence UGB</t>
  </si>
  <si>
    <t>femelles adultes</t>
  </si>
  <si>
    <t>Total des UGB</t>
  </si>
  <si>
    <t>Numéro de références Animaux</t>
  </si>
  <si>
    <t>Troupeau</t>
  </si>
  <si>
    <t>Foncrionnement troupeau et performances zootechniques (pour 4 cheptels différents présents sur l'élevage)</t>
  </si>
  <si>
    <t>lot2</t>
  </si>
  <si>
    <t>lot3</t>
  </si>
  <si>
    <t>lot4</t>
  </si>
  <si>
    <t>lot5</t>
  </si>
  <si>
    <t>lot6</t>
  </si>
  <si>
    <t>lot7</t>
  </si>
  <si>
    <t>lot8</t>
  </si>
  <si>
    <t>lot9</t>
  </si>
  <si>
    <t>lot10</t>
  </si>
  <si>
    <t>ventes animaux 1</t>
  </si>
  <si>
    <t>ventes animaux 2</t>
  </si>
  <si>
    <t>ventes animaux 3</t>
  </si>
  <si>
    <t>ventes animaux 4</t>
  </si>
  <si>
    <t>Equivalence UGB</t>
  </si>
  <si>
    <t>UGB</t>
  </si>
  <si>
    <t>Total des UGB par quinzaine</t>
  </si>
  <si>
    <t>à remplir a posteriori à la main, à partir des références Animaux et de la composition des lots ci-dessous</t>
  </si>
  <si>
    <t>Nommer ici les lots présents</t>
  </si>
  <si>
    <t>Effectif à remplir a posteriori, en fonction de la composition des lots et des événements zootechhniques</t>
  </si>
  <si>
    <r>
      <t xml:space="preserve">Présence en bâtiment </t>
    </r>
    <r>
      <rPr>
        <sz val="11"/>
        <color rgb="FFFF0000"/>
        <rFont val="Calibri"/>
        <family val="2"/>
        <scheme val="minor"/>
      </rPr>
      <t>(1 : stabulation permanente / 0,5 : jour dehors, nuit dedans / 0 : plein-air intégral)</t>
    </r>
  </si>
  <si>
    <t>durée quinzaine (jours)</t>
  </si>
  <si>
    <t>TOTAL / MOYENNE</t>
  </si>
  <si>
    <t>jour.UGB de présence en bâtiment</t>
  </si>
  <si>
    <t>Total des jour.UBG en bât</t>
  </si>
  <si>
    <t xml:space="preserve">Estimation de la paille nécessaire </t>
  </si>
  <si>
    <t>Références Anx pour cheptel</t>
  </si>
  <si>
    <t>numéro de référence Anx</t>
  </si>
  <si>
    <t>besoin en paille (kg/jour.UGB)</t>
  </si>
  <si>
    <t>calcul 1</t>
  </si>
  <si>
    <t>(d'après les jours.UGB)</t>
  </si>
  <si>
    <t>calcul 2</t>
  </si>
  <si>
    <t>(réf à rentrer directement</t>
  </si>
  <si>
    <t>effectif (tête)</t>
  </si>
  <si>
    <t>besoin (kg/tête)</t>
  </si>
  <si>
    <t>tonnes</t>
  </si>
  <si>
    <t>UGB annuelle</t>
  </si>
  <si>
    <r>
      <t>Ajustement pour les besoins</t>
    </r>
    <r>
      <rPr>
        <b/>
        <sz val="11"/>
        <color rgb="FFFF0000"/>
        <rFont val="Calibri"/>
        <family val="2"/>
        <scheme val="minor"/>
      </rPr>
      <t xml:space="preserve"> (par défaut 1 ; </t>
    </r>
    <r>
      <rPr>
        <sz val="11"/>
        <color rgb="FFFF0000"/>
        <rFont val="Calibri"/>
        <family val="2"/>
        <scheme val="minor"/>
      </rPr>
      <t>à ajuster pour les femelles en production - lactation / allaitement / préparation MB)</t>
    </r>
  </si>
  <si>
    <t>1 (adulte)</t>
  </si>
  <si>
    <t>2 (ajustement selon stade physio)</t>
  </si>
  <si>
    <t>3 (ajustement selon stade physio)</t>
  </si>
  <si>
    <t>4 (ajustement selon stade physio)</t>
  </si>
  <si>
    <t>5 (ajustement selon stade physio)</t>
  </si>
  <si>
    <t>besoin en MS / UGB / jour - 1</t>
  </si>
  <si>
    <t>besoin en MS / UGB / jour - 2</t>
  </si>
  <si>
    <t>besoin en MS / UGB / jour - 3</t>
  </si>
  <si>
    <t>besoin en MS / UGB / jour - 4</t>
  </si>
  <si>
    <t>besoin en MS / UGB / jour - 5</t>
  </si>
  <si>
    <t>total besoins (tMS)</t>
  </si>
  <si>
    <t>Besoins fourrages par UGB et par jour (kgMS)</t>
  </si>
  <si>
    <t>Besoins fourrages (tMS par quinzaine)</t>
  </si>
  <si>
    <t>(entre 1 : 100 % pâturage à 0 : 100 % distribution en bâtiment</t>
  </si>
  <si>
    <t>besoin total du cheptel</t>
  </si>
  <si>
    <t>Pâturé (tMS)</t>
  </si>
  <si>
    <r>
      <t xml:space="preserve">Calendrier pâturage </t>
    </r>
    <r>
      <rPr>
        <sz val="11"/>
        <color rgb="FFFF0000"/>
        <rFont val="Calibri"/>
        <family val="2"/>
        <scheme val="minor"/>
      </rPr>
      <t>(1=PF / 2 : PE / 3 : landes privées / 4 : hors exploitation)</t>
    </r>
  </si>
  <si>
    <t>demande sur prairies proches de la ferme (PF)</t>
  </si>
  <si>
    <t>total demande sur PF (tMS)</t>
  </si>
  <si>
    <t>tMS pâturées sur PF</t>
  </si>
  <si>
    <t>demande sur prairies éloignées de la ferme (PE)</t>
  </si>
  <si>
    <t>tMS pâturées sur PE</t>
  </si>
  <si>
    <t>demande sur landes privées (LP)</t>
  </si>
  <si>
    <t>demande sur surfaces hors de l'exploitation</t>
  </si>
  <si>
    <t>Calendrier des besoins de MS à pâturer sur les différentes surfaces</t>
  </si>
  <si>
    <t>PF</t>
  </si>
  <si>
    <t>PE</t>
  </si>
  <si>
    <t>LP</t>
  </si>
  <si>
    <t>Hors exploitation</t>
  </si>
  <si>
    <t>tMS fourrages pâturés</t>
  </si>
  <si>
    <t>tMS  pâturées</t>
  </si>
  <si>
    <t>tMS pâturés sur l'exploitation</t>
  </si>
  <si>
    <t>tMS pâturées hors de l'exploitation</t>
  </si>
  <si>
    <t>source référence besoin paille</t>
  </si>
  <si>
    <t>lot1</t>
  </si>
  <si>
    <t>besoin concentrés 1 femelles adultes / tête</t>
  </si>
  <si>
    <t>besoin concentrés 2 femelles adultes / tête</t>
  </si>
  <si>
    <t>besoin concentrés 3 femelles adultes / tête</t>
  </si>
  <si>
    <t>besoin concentrés 1 femelles renouvellement / tête</t>
  </si>
  <si>
    <t>besoin concentrés 2 femelles renouvellement / tête</t>
  </si>
  <si>
    <t>besoin concentrés 1 femelles engraissés</t>
  </si>
  <si>
    <t>besoin concentrés 2 femelles engraissés</t>
  </si>
  <si>
    <t>besoin concentrés 1 mâles engraissés</t>
  </si>
  <si>
    <t>besoin concentrés 2 mâles engraissés</t>
  </si>
  <si>
    <t>besoin concentrés 1 femelle avant sevrage</t>
  </si>
  <si>
    <t>besoin concentrés 2 femelle avant sevrage</t>
  </si>
  <si>
    <t>besoin concentrés 2 mâles avant sevrage</t>
  </si>
  <si>
    <t>besoin concentrés 1 mâles avant sevrage</t>
  </si>
  <si>
    <t>besoin concentrés mâle reproducteur</t>
  </si>
  <si>
    <t>Consommation de concentrés (en kg par an)</t>
  </si>
  <si>
    <t>paille pour la litière</t>
  </si>
  <si>
    <t>CH Moulin, UMR SELMET</t>
  </si>
  <si>
    <t xml:space="preserve">Version </t>
  </si>
  <si>
    <t>Date</t>
  </si>
  <si>
    <t>Développement</t>
  </si>
  <si>
    <t>tonnes de MS</t>
  </si>
  <si>
    <t>Total sur exploitation</t>
  </si>
  <si>
    <t>demande pâture</t>
  </si>
  <si>
    <t>janvier</t>
  </si>
  <si>
    <t>février</t>
  </si>
  <si>
    <t>mars</t>
  </si>
  <si>
    <t>avril</t>
  </si>
  <si>
    <t>mai</t>
  </si>
  <si>
    <t>juin</t>
  </si>
  <si>
    <t>juilet</t>
  </si>
  <si>
    <t>août</t>
  </si>
  <si>
    <t>sept</t>
  </si>
  <si>
    <t>octobre</t>
  </si>
  <si>
    <t>nov</t>
  </si>
  <si>
    <t>déc</t>
  </si>
  <si>
    <t>découpage saison</t>
  </si>
  <si>
    <t>quinzaine</t>
  </si>
  <si>
    <t>6 saisons possibles, numéroter de 1 à 6, le printemps - ou début printemps - étant la saison 1)</t>
  </si>
  <si>
    <t>demande en MS à pâturer selon les saisons</t>
  </si>
  <si>
    <t>(faire le découpage en saison, en cohérence avec le découpage choisi pour les MEP)</t>
  </si>
  <si>
    <t>n°</t>
  </si>
  <si>
    <t>Prairies proches</t>
  </si>
  <si>
    <t>Prairies éloignées</t>
  </si>
  <si>
    <t>Landes privées</t>
  </si>
  <si>
    <t>Durée saision (mois)</t>
  </si>
  <si>
    <t>Durée (mois)</t>
  </si>
  <si>
    <t>Vérifer solde par saison pour la pâture et le solde sur le stock de fourrage à distribuer</t>
  </si>
  <si>
    <t>culture</t>
  </si>
  <si>
    <t>rendement</t>
  </si>
  <si>
    <t>gr/fr</t>
  </si>
  <si>
    <t>production</t>
  </si>
  <si>
    <t>cc</t>
  </si>
  <si>
    <t>usage</t>
  </si>
  <si>
    <t>besoin en paille alimentaire (kg par femelle présente)</t>
  </si>
  <si>
    <t>paille alimentaire (tonnes)</t>
  </si>
  <si>
    <t>tMS / besoin en fourrages conserver à consommer</t>
  </si>
  <si>
    <t>paille alimentaire</t>
  </si>
  <si>
    <t>type concentrés</t>
  </si>
  <si>
    <t>code</t>
  </si>
  <si>
    <t>quantités</t>
  </si>
  <si>
    <t>ensilage (maïs, ou autres cultures fourragères)</t>
  </si>
  <si>
    <t>taux de refus et perte herbe conservée</t>
  </si>
  <si>
    <t>taux de refus et perte maïs ensilage</t>
  </si>
  <si>
    <t>besoin en ensilage-maïs (tMS par femelle présente)</t>
  </si>
  <si>
    <t>ensilage maïs</t>
  </si>
  <si>
    <t>fourrage conservé</t>
  </si>
  <si>
    <t>herbe conservée</t>
  </si>
  <si>
    <t>Demande en autres fourrages conservés</t>
  </si>
  <si>
    <t>Besoins autres fourrages conservés que foins, enrubannage ou ensilage d'herbe</t>
  </si>
  <si>
    <t>taux de refus et perte ensilage</t>
  </si>
  <si>
    <t>tMS / DEMANDE en herbe conservée (y compris les refus et pertes)</t>
  </si>
  <si>
    <t>Demande en fourrage et en paille</t>
  </si>
  <si>
    <t>ensilage</t>
  </si>
  <si>
    <t>ensil</t>
  </si>
  <si>
    <t>Demande</t>
  </si>
  <si>
    <t>Paille alimentaire</t>
  </si>
  <si>
    <t>Paille litière</t>
  </si>
  <si>
    <t>Total paille</t>
  </si>
  <si>
    <t>Maïs-ensilage</t>
  </si>
  <si>
    <t>Solde</t>
  </si>
  <si>
    <t>cultures</t>
  </si>
  <si>
    <t>Stock herbe conservée</t>
  </si>
  <si>
    <t>Equilibre Offre - Demande sur herbe (pâture / stock)</t>
  </si>
  <si>
    <r>
      <t>Cultures</t>
    </r>
    <r>
      <rPr>
        <sz val="11"/>
        <color theme="1"/>
        <rFont val="Calibri"/>
        <family val="2"/>
        <scheme val="minor"/>
      </rPr>
      <t xml:space="preserve"> (hors prairies temporaires, y compris en dérobé)</t>
    </r>
  </si>
  <si>
    <t>A FAIRE</t>
  </si>
  <si>
    <t>caractérisation du parcellaire</t>
  </si>
  <si>
    <t>Feuilles</t>
  </si>
  <si>
    <t>total demande hors ferme (tMS)</t>
  </si>
  <si>
    <t>total demande sur LP (tMS)</t>
  </si>
  <si>
    <t>total demande sur PE (tMS)</t>
  </si>
  <si>
    <t>(kg)</t>
  </si>
  <si>
    <t>en tonnes</t>
  </si>
  <si>
    <t>kg</t>
  </si>
  <si>
    <t>tMS pâturéEs sur l'exploitation</t>
  </si>
  <si>
    <t>calcul pour vérification (feuille Alim - Surf)</t>
  </si>
  <si>
    <t xml:space="preserve">Présence </t>
  </si>
  <si>
    <t>parcelle retirée ou redécoupée pour mise en protection</t>
  </si>
  <si>
    <t>Voir protection</t>
  </si>
  <si>
    <t>rajouter des infos ici si besoin</t>
  </si>
  <si>
    <r>
      <t xml:space="preserve">Evénements </t>
    </r>
    <r>
      <rPr>
        <sz val="11"/>
        <color rgb="FFFF0000"/>
        <rFont val="Calibri"/>
        <family val="2"/>
        <scheme val="minor"/>
      </rPr>
      <t xml:space="preserve">(mettre des 1 dans les quinzaines concernées) </t>
    </r>
  </si>
  <si>
    <t>période repro adulte</t>
  </si>
  <si>
    <t>période repro primipare</t>
  </si>
  <si>
    <t>période de traite</t>
  </si>
  <si>
    <t>période principale de MB</t>
  </si>
  <si>
    <t>dont nb
côtés  lisière fermée (bois, haie)</t>
  </si>
  <si>
    <t xml:space="preserve">dont nb côtés lisière voisins </t>
  </si>
  <si>
    <t>filets</t>
  </si>
  <si>
    <t>fixes périmétrales complètes</t>
  </si>
  <si>
    <t>fixes périmétrales incomplètes + haie</t>
  </si>
  <si>
    <t>Terres arables non pâturées</t>
  </si>
  <si>
    <t>Terres arables pâturées</t>
  </si>
  <si>
    <t>Pp fauchée pâturées</t>
  </si>
  <si>
    <t>Pp uniquement pâturées</t>
  </si>
  <si>
    <t>Vielles prairies pâturées</t>
  </si>
  <si>
    <t>Parcours privées 5.1 landes ouvertes</t>
  </si>
  <si>
    <t>5.1</t>
  </si>
  <si>
    <t xml:space="preserve"> 5.2 landes fermées</t>
  </si>
  <si>
    <t>5.2</t>
  </si>
  <si>
    <t>Parcours privée en sous-bois</t>
  </si>
  <si>
    <t>Parcours pour volailles ou porcs</t>
  </si>
  <si>
    <t>Cultures permanentes CP non pâturées</t>
  </si>
  <si>
    <t>8.1</t>
  </si>
  <si>
    <t>Cultures permanentes CP  pâturées</t>
  </si>
  <si>
    <t>8.2</t>
  </si>
  <si>
    <t xml:space="preserve">que fauché </t>
  </si>
  <si>
    <t xml:space="preserve">pp que fauché </t>
  </si>
  <si>
    <t>besoin concentrés 4 femelles adultes / tête</t>
  </si>
  <si>
    <t>besoin concentrés 5 femelles adultes / tête</t>
  </si>
  <si>
    <t>besoin concentrés 3 femelles renouvellement / tête</t>
  </si>
  <si>
    <t>besoin concentrés 4 femelles renouvellement / tête</t>
  </si>
  <si>
    <t>besoin concentrés 5 femelles renouvellement / tête</t>
  </si>
  <si>
    <t>besoin concentrés 3 femelle avant sevrage</t>
  </si>
  <si>
    <t>besoin concentrés 4  femelle avant sevrage</t>
  </si>
  <si>
    <t>besoin concentrés 5 femelle avant sevrage</t>
  </si>
  <si>
    <t>besoin concentrés 3 mâles avant sevrage</t>
  </si>
  <si>
    <t>besoin concentrés 4 mâles avant sevrage</t>
  </si>
  <si>
    <t>besoin concentrés 5 mâles avant sevrage</t>
  </si>
  <si>
    <t>besoin concentrés 1 mâle reproducteur</t>
  </si>
  <si>
    <t>besoin concentrés 2 mâle reproducteur</t>
  </si>
  <si>
    <t>besoin concentrés 3 mâle reproducteur</t>
  </si>
  <si>
    <t>besoin concentrés 4 mâle reproducteur</t>
  </si>
  <si>
    <t>besoin concentrés 5 mâle reproducteur</t>
  </si>
  <si>
    <t>besoin concentrés 3 femelles engraissés</t>
  </si>
  <si>
    <t>besoin concentrés 4 femelles engraissés</t>
  </si>
  <si>
    <t>besoin concentrés 5 femelles engraissés</t>
  </si>
  <si>
    <t>besoin concentrés 3 mâles engraissés</t>
  </si>
  <si>
    <t>besoin concentrés 4 mâles engraissés</t>
  </si>
  <si>
    <t>besoin concentrés 5 mâles engraissés</t>
  </si>
  <si>
    <t xml:space="preserve"> concentrés 1 femelles adultes / tête</t>
  </si>
  <si>
    <t xml:space="preserve"> concentrés 2 femelles adultes / tête</t>
  </si>
  <si>
    <t xml:space="preserve"> concentrés 3 femelles adultes / tête</t>
  </si>
  <si>
    <t xml:space="preserve"> concentrés 4 femelles adultes / tête</t>
  </si>
  <si>
    <t xml:space="preserve"> concentrés 5 femelles adultes / tête</t>
  </si>
  <si>
    <t xml:space="preserve"> concentrés 1 femelles renouvellement / tête</t>
  </si>
  <si>
    <t xml:space="preserve"> concentrés 2 femelles renouvellement / tête</t>
  </si>
  <si>
    <t xml:space="preserve"> concentrés 3 femelles renouvellement / tête</t>
  </si>
  <si>
    <t xml:space="preserve"> concentrés 4 femelles renouvellement / tête</t>
  </si>
  <si>
    <t xml:space="preserve"> concentrés 5 femelles renouvellement / tête</t>
  </si>
  <si>
    <t xml:space="preserve"> concentrés 1 femelle avant sevrage</t>
  </si>
  <si>
    <t xml:space="preserve"> concentrés 2 femelle avant sevrage</t>
  </si>
  <si>
    <t xml:space="preserve"> concentrés 3 femelle avant sevrage</t>
  </si>
  <si>
    <t xml:space="preserve"> concentrés 4  femelle avant sevrage</t>
  </si>
  <si>
    <t xml:space="preserve"> concentrés 5 femelle avant sevrage</t>
  </si>
  <si>
    <t xml:space="preserve"> concentrés 1 mâles avant sevrage</t>
  </si>
  <si>
    <t xml:space="preserve"> concentrés 2 mâles avant sevrage</t>
  </si>
  <si>
    <t xml:space="preserve"> concentrés 3 mâles avant sevrage</t>
  </si>
  <si>
    <t xml:space="preserve"> concentrés 4 mâles avant sevrage</t>
  </si>
  <si>
    <t xml:space="preserve"> concentrés 5 mâles avant sevrage</t>
  </si>
  <si>
    <t xml:space="preserve"> concentrés 1 mâle reproducteur</t>
  </si>
  <si>
    <t xml:space="preserve"> concentrés 2 mâle reproducteur</t>
  </si>
  <si>
    <t xml:space="preserve"> concentrés 3 mâle reproducteur</t>
  </si>
  <si>
    <t xml:space="preserve"> concentrés 4 mâle reproducteur</t>
  </si>
  <si>
    <t xml:space="preserve"> concentrés 5 mâle reproducteur</t>
  </si>
  <si>
    <t xml:space="preserve"> concentrés 1 femelles engraissés</t>
  </si>
  <si>
    <t xml:space="preserve"> concentrés 2 femelles engraissés</t>
  </si>
  <si>
    <t xml:space="preserve"> concentrés 3 femelles engraissés</t>
  </si>
  <si>
    <t xml:space="preserve"> concentrés 4 femelles engraissés</t>
  </si>
  <si>
    <t xml:space="preserve"> concentrés 5 femelles engraissés</t>
  </si>
  <si>
    <t xml:space="preserve"> concentrés 1 mâles engraissés</t>
  </si>
  <si>
    <t xml:space="preserve"> concentrés 2 mâles engraissés</t>
  </si>
  <si>
    <t xml:space="preserve"> concentrés 3 mâles engraissés</t>
  </si>
  <si>
    <t xml:space="preserve"> concentrés 4 mâles engraissés</t>
  </si>
  <si>
    <t xml:space="preserve"> concentrés 5 mâles engraissés</t>
  </si>
  <si>
    <t>codes concentrés</t>
  </si>
  <si>
    <t>1. Saisir le découpage des saisons, colonne AU à BR</t>
  </si>
  <si>
    <t>3. Vérifier cohérence des soldes (équilibre Offre - Demande), pour les stocks (sauf herbe) et pour l'herbe</t>
  </si>
  <si>
    <t>Equilibre Offre - Demande sur ensilage maïs , paille et concentrés</t>
  </si>
  <si>
    <t>(et  paille alimentaire)</t>
  </si>
  <si>
    <t>(hors ensilage maïs)</t>
  </si>
  <si>
    <t xml:space="preserve">2. Saisir les surfaces de cultures (terres cultivées) et les surfaces de prairies et landes affectées aux différents MEP (colonnes Q </t>
  </si>
  <si>
    <t>types de surface</t>
  </si>
  <si>
    <t>zones</t>
  </si>
  <si>
    <t>Pâture par saison</t>
  </si>
  <si>
    <t>Calculs de la demande en concentrés</t>
  </si>
  <si>
    <t>Calendrier de la demande de MS à pâturer sur les différentes surfaces</t>
  </si>
  <si>
    <r>
      <t>Demande en ccncentrés</t>
    </r>
    <r>
      <rPr>
        <sz val="11"/>
        <color theme="1"/>
        <rFont val="Calibri"/>
        <family val="2"/>
        <scheme val="minor"/>
      </rPr>
      <t xml:space="preserve"> (évnetuellement autoproduit)</t>
    </r>
  </si>
  <si>
    <t>type des concentrés</t>
  </si>
  <si>
    <t>calcul de l'offre en concentrés autoproduits</t>
  </si>
  <si>
    <t>0.4</t>
  </si>
  <si>
    <t xml:space="preserve">réforme </t>
  </si>
  <si>
    <t xml:space="preserve">bovin viande </t>
  </si>
  <si>
    <t xml:space="preserve">vente 1 15 réformes pour le roulement du trouoeau (estimation) </t>
  </si>
  <si>
    <t>vente 2 20 broutards 5/6 mois 270/300kg</t>
  </si>
  <si>
    <t>vente 2 broutards 5/6 mois 270/300kg</t>
  </si>
  <si>
    <t>achat fourrage : 50T paille</t>
  </si>
  <si>
    <t xml:space="preserve">autoconso C : 70T maïs grain(8à11ha) + maïs ensil 3 à 5ha </t>
  </si>
  <si>
    <t xml:space="preserve">achat C : 17T mélange soja colza </t>
  </si>
  <si>
    <t>réforme</t>
  </si>
  <si>
    <t>broutards</t>
  </si>
  <si>
    <t xml:space="preserve">Vaches </t>
  </si>
  <si>
    <t>Génisses 24 mois</t>
  </si>
  <si>
    <t>Génisses 12 mois</t>
  </si>
  <si>
    <t xml:space="preserve">que fauche prairie temporaire trèfle violet </t>
  </si>
  <si>
    <t>maïs ensil</t>
  </si>
  <si>
    <t xml:space="preserve"> 0 vigne</t>
  </si>
  <si>
    <t>bois pâturé 5.1</t>
  </si>
  <si>
    <t>pat+broyage</t>
  </si>
  <si>
    <t>0 vigne</t>
  </si>
  <si>
    <t>0 maïs</t>
  </si>
  <si>
    <t xml:space="preserve">que fauche </t>
  </si>
  <si>
    <t>PT FP</t>
  </si>
  <si>
    <t>distance</t>
  </si>
  <si>
    <t>type ancien codage enquete complémentaire</t>
  </si>
  <si>
    <t>proche</t>
  </si>
  <si>
    <t>éloigné</t>
  </si>
  <si>
    <t>demande saison (tMS)</t>
  </si>
  <si>
    <t>BV</t>
  </si>
  <si>
    <t>lot principal</t>
  </si>
  <si>
    <t>génisses 2 ans</t>
  </si>
  <si>
    <t xml:space="preserve">génisses 1 à 2 </t>
  </si>
  <si>
    <t xml:space="preserve">génisses 6 mois 1 ans </t>
  </si>
  <si>
    <t>tot</t>
  </si>
  <si>
    <t xml:space="preserve">convertisseur ugb </t>
  </si>
  <si>
    <t>on considère le transfert en fct mise à repro primipare</t>
  </si>
  <si>
    <t>Génisses jeunes</t>
  </si>
  <si>
    <t xml:space="preserve">saisie initial des besoin </t>
  </si>
  <si>
    <t>Equilibre Offre - Demande sur pâture selon types surfaces</t>
  </si>
  <si>
    <t>A RAJOUTER</t>
  </si>
  <si>
    <t>sur prairies proches</t>
  </si>
  <si>
    <t>sur prairies éloignées</t>
  </si>
  <si>
    <t>sur landes privées</t>
  </si>
  <si>
    <t xml:space="preserve">A recopier </t>
  </si>
  <si>
    <t>demande pâture PF</t>
  </si>
  <si>
    <t>demande pâture PE</t>
  </si>
  <si>
    <t>demande pâture LP</t>
  </si>
  <si>
    <t xml:space="preserve">parcelle présente pâturée </t>
  </si>
  <si>
    <t>parcelle présente non pâturée</t>
  </si>
  <si>
    <t>numéro du cas modélisé</t>
  </si>
  <si>
    <t>Structure juridique</t>
  </si>
  <si>
    <t>Exploit. Ind.</t>
  </si>
  <si>
    <t>non</t>
  </si>
  <si>
    <t>Si GAEC, nbre associés</t>
  </si>
  <si>
    <t>GAEC</t>
  </si>
  <si>
    <t>oui</t>
  </si>
  <si>
    <t>nombre UMO exploitant</t>
  </si>
  <si>
    <t>EARL</t>
  </si>
  <si>
    <t>nombre UMO bénévole</t>
  </si>
  <si>
    <t>combinaisons cheptel</t>
  </si>
  <si>
    <t>Conduite au pâturage</t>
  </si>
  <si>
    <t>nombre UMO salariée (initial)</t>
  </si>
  <si>
    <t>Montagne basque</t>
  </si>
  <si>
    <t>A1</t>
  </si>
  <si>
    <t>Montagne Béarn</t>
  </si>
  <si>
    <t>BL</t>
  </si>
  <si>
    <t>A2</t>
  </si>
  <si>
    <t>zone étude</t>
  </si>
  <si>
    <t>Cotraux et côte basques</t>
  </si>
  <si>
    <t>OL</t>
  </si>
  <si>
    <t>A3</t>
  </si>
  <si>
    <t>zonage ICHN</t>
  </si>
  <si>
    <t>Adour, Oloron, entre gaves</t>
  </si>
  <si>
    <t>OL/BV</t>
  </si>
  <si>
    <t>B</t>
  </si>
  <si>
    <t>Montagne =1  / sinon 0</t>
  </si>
  <si>
    <t>Pau et coteaux Béarn</t>
  </si>
  <si>
    <t>OL/EQ</t>
  </si>
  <si>
    <t>T1</t>
  </si>
  <si>
    <t>Zone HN = 1 / sinon 0</t>
  </si>
  <si>
    <t>OL/BV/EQ</t>
  </si>
  <si>
    <t>T2</t>
  </si>
  <si>
    <t>Combinaison de cheptel</t>
  </si>
  <si>
    <t>T3</t>
  </si>
  <si>
    <t>HM</t>
  </si>
  <si>
    <t>Haute Montagne</t>
  </si>
  <si>
    <t>M1</t>
  </si>
  <si>
    <t>Montagne I</t>
  </si>
  <si>
    <t>Vente sous SIQO</t>
  </si>
  <si>
    <t>M2</t>
  </si>
  <si>
    <t>Montagne II</t>
  </si>
  <si>
    <t>Part du lait transformé OL (p.100)</t>
  </si>
  <si>
    <t>PT</t>
  </si>
  <si>
    <t>Piémont</t>
  </si>
  <si>
    <t>AOP Ossau-Iraty</t>
  </si>
  <si>
    <t>DS</t>
  </si>
  <si>
    <t>Défavorisé simple</t>
  </si>
  <si>
    <t>Taux d'engraissement des réformes (p.100) - C1</t>
  </si>
  <si>
    <t>hors zone handicap naturel</t>
  </si>
  <si>
    <t>Taux d'engraissement des réformes (p.100) - C2</t>
  </si>
  <si>
    <t>Taux d'engraissement des réformes (p.100) - C3</t>
  </si>
  <si>
    <t>Taux d'engraissement des réformes (p.100) - C4</t>
  </si>
  <si>
    <t>Calcul intermédiaire pour l'assolement</t>
  </si>
  <si>
    <t>num</t>
  </si>
  <si>
    <t>Type</t>
  </si>
  <si>
    <t>ME</t>
  </si>
  <si>
    <t>MG</t>
  </si>
  <si>
    <t>CR</t>
  </si>
  <si>
    <t>OP</t>
  </si>
  <si>
    <t>SJ</t>
  </si>
  <si>
    <t>FL</t>
  </si>
  <si>
    <t>AU</t>
  </si>
  <si>
    <t>pour scénario en cours</t>
  </si>
  <si>
    <t>surfaces 1° coupe -  INITIAL</t>
  </si>
  <si>
    <t>surfaces 2° coupe -  INITIAL</t>
  </si>
  <si>
    <t>surfaces 3° coupe -  INITIAL</t>
  </si>
  <si>
    <t>% de 1ere coupe en enrubannage</t>
  </si>
  <si>
    <t>%</t>
  </si>
  <si>
    <t>surfaces landes fauchées litières</t>
  </si>
  <si>
    <t>copier ces valeurs en colonne K si on est sur Situation initiale</t>
  </si>
  <si>
    <t>surfaces cultivées (hors PT et dérobées)</t>
  </si>
  <si>
    <t>Maïs-grain</t>
  </si>
  <si>
    <t>Céréales à paille</t>
  </si>
  <si>
    <t>Oléo-protéagineux</t>
  </si>
  <si>
    <t>Soja</t>
  </si>
  <si>
    <t>Autres</t>
  </si>
  <si>
    <t>surfaces PT</t>
  </si>
  <si>
    <t>surfaces PP</t>
  </si>
  <si>
    <t>surfaces dérobées</t>
  </si>
  <si>
    <t>surfaces enrubannées</t>
  </si>
  <si>
    <t>Estive</t>
  </si>
  <si>
    <t>cheptel 1</t>
  </si>
  <si>
    <t>durée utilisation estive C1 (mois)</t>
  </si>
  <si>
    <t>nombre d'UGB estive C1</t>
  </si>
  <si>
    <t>nbre de cheptel dans le troupeeau estive C1</t>
  </si>
  <si>
    <t>Individuel</t>
  </si>
  <si>
    <t>1. 1 visite par semaine</t>
  </si>
  <si>
    <t>mode de présence éleveur en estive C1</t>
  </si>
  <si>
    <t>Collectif</t>
  </si>
  <si>
    <t>2. 2-3 visites par semaine</t>
  </si>
  <si>
    <t>nbre de lots de conduite en estive</t>
  </si>
  <si>
    <t>3. 7 visites par semaine</t>
  </si>
  <si>
    <t xml:space="preserve">nbre de lieux de couches équipés </t>
  </si>
  <si>
    <t>4. présence 1 éleveur</t>
  </si>
  <si>
    <t>5. présence 2 éleveurs</t>
  </si>
  <si>
    <t>durée utilisation estive C2 (mois)</t>
  </si>
  <si>
    <t>0. pas de transh ou pas de cheptel</t>
  </si>
  <si>
    <t>nombre d'UGB estive C2</t>
  </si>
  <si>
    <t>mode de présence éleveur en estive C2</t>
  </si>
  <si>
    <t>durée utilisation estive C3 (mois)</t>
  </si>
  <si>
    <t>nombre d'UGB estive C3</t>
  </si>
  <si>
    <t>mode de présence éleveur en estive C3</t>
  </si>
  <si>
    <t>UGB.mois gros bétail C1</t>
  </si>
  <si>
    <t>UGB.mois gros bétail C2</t>
  </si>
  <si>
    <t>UGB.mois gros bétail C3</t>
  </si>
  <si>
    <t>total UGB.mois gros bétail</t>
  </si>
  <si>
    <t>UP Zones intermédiaires</t>
  </si>
  <si>
    <t>initial</t>
  </si>
  <si>
    <t>Mode de conduite OL pour PNA</t>
  </si>
  <si>
    <t>durée utilisation ZI  C1 (mois)</t>
  </si>
  <si>
    <t>nombre d'UGB ZI C1</t>
  </si>
  <si>
    <t>Parcs</t>
  </si>
  <si>
    <t>cheptel 2</t>
  </si>
  <si>
    <t>durée utilisation ZI C2 (mois)</t>
  </si>
  <si>
    <t>nombre d'UGB ZI  C2</t>
  </si>
  <si>
    <t>durée utilisation ZI C3 (mois)</t>
  </si>
  <si>
    <t>choix moyen protection sur ferme OL</t>
  </si>
  <si>
    <t>choix de protection pour le gros bétail sur la ferme</t>
  </si>
  <si>
    <t>nombre d'UGB ZI C3</t>
  </si>
  <si>
    <t>1. Tout clôture fixe</t>
  </si>
  <si>
    <t>clôture renforcée</t>
  </si>
  <si>
    <t>(laisser vide si pas d'OL et pour situation initiale)</t>
  </si>
  <si>
    <t>2. filet sur prairies, clôture fixe sur landes</t>
  </si>
  <si>
    <t>pas de modification des clôtures existantes</t>
  </si>
  <si>
    <t>choix moyen de protection sur UP pour OL</t>
  </si>
  <si>
    <t>Mise en protection</t>
  </si>
  <si>
    <t>GARDE + CHIEN</t>
  </si>
  <si>
    <t>pas de moyen de protection</t>
  </si>
  <si>
    <t>type de scénarion de mise en protection</t>
  </si>
  <si>
    <t>CLOTURE + CHIEN</t>
  </si>
  <si>
    <t>clôture simple + chien</t>
  </si>
  <si>
    <t>FILET MOBILE + CHIEN</t>
  </si>
  <si>
    <t xml:space="preserve">clôture renforcée + chien </t>
  </si>
  <si>
    <t>choix moyen de protection sur estive pour OL</t>
  </si>
  <si>
    <t>garde + chien</t>
  </si>
  <si>
    <t>choix de protection pour le gros bétail sur ZI</t>
  </si>
  <si>
    <t>choix de protection pour le gros bétail sur estive</t>
  </si>
  <si>
    <t>nombre de bergers embauchés</t>
  </si>
  <si>
    <t>(y compris en situation initiale)</t>
  </si>
  <si>
    <t>enjeu sur les lots</t>
  </si>
  <si>
    <t>Rappel des lots</t>
  </si>
  <si>
    <t>Enjeux sur les lots</t>
  </si>
  <si>
    <t>Cheptel1</t>
  </si>
  <si>
    <t>fort</t>
  </si>
  <si>
    <t>faible</t>
  </si>
  <si>
    <t>cheptel2</t>
  </si>
  <si>
    <t>cheptel3</t>
  </si>
  <si>
    <t>autofinancement investissement mat protection (%)</t>
  </si>
  <si>
    <t>Embauche salarié pour manipulation clôture</t>
  </si>
  <si>
    <t>pas d'embauche</t>
  </si>
  <si>
    <t>embauche d'un salarié pour le nombre d'heures nécessaires</t>
  </si>
  <si>
    <t>Calcul du  nombre de coupes</t>
  </si>
  <si>
    <t>nb coupes</t>
  </si>
  <si>
    <t>ha 1ère C</t>
  </si>
  <si>
    <t>ha 2ème C</t>
  </si>
  <si>
    <t>ha 3ème C</t>
  </si>
  <si>
    <t>dérobé</t>
  </si>
  <si>
    <t>Lég. Fourr.</t>
  </si>
  <si>
    <t>PT (y.c Lég f.)</t>
  </si>
  <si>
    <t>ha dérobé</t>
  </si>
  <si>
    <t>ha léf. Fourr.</t>
  </si>
  <si>
    <t>ha PT</t>
  </si>
  <si>
    <t>ha PP</t>
  </si>
  <si>
    <t>ha PT pâture</t>
  </si>
  <si>
    <t>ha PT 1 coupe</t>
  </si>
  <si>
    <t>ha PT 2 coupe</t>
  </si>
  <si>
    <t>ha PP pâture</t>
  </si>
  <si>
    <t>ha PP 1 coupe</t>
  </si>
  <si>
    <t>PP 2 coupe</t>
  </si>
  <si>
    <t>PP proches</t>
  </si>
  <si>
    <t>PT proches</t>
  </si>
  <si>
    <t>dérobées proches</t>
  </si>
  <si>
    <t>PP éloignées</t>
  </si>
  <si>
    <t>PT éloignées</t>
  </si>
  <si>
    <t>dérobés éloignés</t>
  </si>
  <si>
    <t>landes privées</t>
  </si>
  <si>
    <t>total surfaces</t>
  </si>
  <si>
    <t>linéaire de clôture</t>
  </si>
  <si>
    <t>superficie à clôturer</t>
  </si>
  <si>
    <t>Total</t>
  </si>
  <si>
    <t>linéaire (m)</t>
  </si>
  <si>
    <t>superficie (ha)</t>
  </si>
  <si>
    <t>num parcelle</t>
  </si>
  <si>
    <t>linéaire lisière à débroussailler</t>
  </si>
  <si>
    <t>linéaire clôture</t>
  </si>
  <si>
    <t>linéaire voisin</t>
  </si>
  <si>
    <t>OCS1</t>
  </si>
  <si>
    <t>OCS2</t>
  </si>
  <si>
    <t>OCS3</t>
  </si>
  <si>
    <t>nbre de lot à protéger sur prairies (PF)</t>
  </si>
  <si>
    <t>linéraires de landes privés à clôiture éventuellement</t>
  </si>
  <si>
    <t>nbre de lot à protéger sur prairies (PE)</t>
  </si>
  <si>
    <t>linéaire total à clôturer</t>
  </si>
  <si>
    <t>nbre de lot à protéger sur landes privées (LP)</t>
  </si>
  <si>
    <t>linéaire pour clôturer les PE</t>
  </si>
  <si>
    <t>nbre de lot à protéger sur UP ZI</t>
  </si>
  <si>
    <t>linéaire pour clôturer les PF</t>
  </si>
  <si>
    <t>nbre de lot à protéger sur UP estive</t>
  </si>
  <si>
    <t>linéaire clôture estive</t>
  </si>
  <si>
    <t>nbre de chiens sur prairies</t>
  </si>
  <si>
    <t xml:space="preserve">nombre de chiens </t>
  </si>
  <si>
    <t>nbre de chiens sur landes privées</t>
  </si>
  <si>
    <t>nbre de chiens sur ZI</t>
  </si>
  <si>
    <t>nbre de chiens sur Estives</t>
  </si>
  <si>
    <t>Moyens de protection ferme</t>
  </si>
  <si>
    <t>nbre total de chiens fermes + ZI + Estive par qz</t>
  </si>
  <si>
    <t>calcul nombre de groupes de chiens à nourrir cheptel 1</t>
  </si>
  <si>
    <t>nombre de filets pour la ferme cheptel OL</t>
  </si>
  <si>
    <t>lot plein-air intégral</t>
  </si>
  <si>
    <t>nbre de jeux de filets pour la ferme</t>
  </si>
  <si>
    <t>lot bâtiment intégral</t>
  </si>
  <si>
    <t>lot semi bâtiment</t>
  </si>
  <si>
    <t>Nombre de groupes de chiens sur la ferme</t>
  </si>
  <si>
    <t>Clôture fixe renforcée</t>
  </si>
  <si>
    <t>ferme avec OL</t>
  </si>
  <si>
    <t>ferme sans OL</t>
  </si>
  <si>
    <t>Synthèse clôture renforcée totale</t>
  </si>
  <si>
    <t>Nombre de groupes de chiens  sur les UP ZI</t>
  </si>
  <si>
    <t>scénario 1 et 2</t>
  </si>
  <si>
    <t>BV/EQ/BL</t>
  </si>
  <si>
    <t>total</t>
  </si>
  <si>
    <t>(sous  conditions de scénario protection)</t>
  </si>
  <si>
    <t>Nombre de lots montant en estive</t>
  </si>
  <si>
    <t>clôture des landes privées si utilisation filet</t>
  </si>
  <si>
    <t>linéaire</t>
  </si>
  <si>
    <t>Nombre de groupes de chiens à nourrir en estive</t>
  </si>
  <si>
    <t>clôtures fixes renforcées si pas de filets</t>
  </si>
  <si>
    <t>si filet</t>
  </si>
  <si>
    <t>nombre de groupe de chiens à nourrir</t>
  </si>
  <si>
    <t>scénario 3 et 4</t>
  </si>
  <si>
    <t>si pas filet</t>
  </si>
  <si>
    <t>Calcul nombre de chiens cheptel 2</t>
  </si>
  <si>
    <t>nbre de lot à protéger sur prairies (PF/PE)</t>
  </si>
  <si>
    <t>mètre linéaire de clôture fixe renforcée</t>
  </si>
  <si>
    <t>moyens de protection estive / ZI</t>
  </si>
  <si>
    <t>BV/EQ</t>
  </si>
  <si>
    <t>sc1/sc2</t>
  </si>
  <si>
    <t>parcs de nuits Estive</t>
  </si>
  <si>
    <t xml:space="preserve"> cabane d'appoint supplémentaire Estive</t>
  </si>
  <si>
    <t>parc de nuit ZI</t>
  </si>
  <si>
    <t>cabane d'appoint supp ZI</t>
  </si>
  <si>
    <t>sc3</t>
  </si>
  <si>
    <t>Calcul nombre de groupes de chiens à nourrir cheptel 2</t>
  </si>
  <si>
    <t>clôture mobile fixe sobre sur Estive et ZI</t>
  </si>
  <si>
    <t>Calcul nombre de chiens cheptel 3</t>
  </si>
  <si>
    <t>cheptel 3</t>
  </si>
  <si>
    <t>Calcul nombre de groupes de chiens à nourrir cheptel 3</t>
  </si>
  <si>
    <t>Effectif moyen</t>
  </si>
  <si>
    <t>Présence en bâtiment et lieu pâturage plein-air intégral</t>
  </si>
  <si>
    <t>Lieu pâturage cheptel 1</t>
  </si>
  <si>
    <t xml:space="preserve"> Présence en bâtiment et lieu pâturage plein air intégral</t>
  </si>
  <si>
    <t>Lieu pâturage cheptel 2</t>
  </si>
  <si>
    <t>Présence en bâtiment</t>
  </si>
  <si>
    <t>Total année (heures)</t>
  </si>
  <si>
    <t>x</t>
  </si>
  <si>
    <t>Travail Astreinte Troupeau</t>
  </si>
  <si>
    <t>Effectif  du lot</t>
  </si>
  <si>
    <t>Alimentation et soins au pâturage (heure par quinzaine)</t>
  </si>
  <si>
    <t>Alimentation - soins - paillage en bâtiment</t>
  </si>
  <si>
    <t>TOTAL Alim - soins au pâturage et en bâtiment</t>
  </si>
  <si>
    <t>Existence du lot</t>
  </si>
  <si>
    <t>Conduite en estive</t>
  </si>
  <si>
    <t>nbre cheptel</t>
  </si>
  <si>
    <t>prés éleveurs</t>
  </si>
  <si>
    <t>h/qz</t>
  </si>
  <si>
    <t>nbre qz</t>
  </si>
  <si>
    <t>Total (heures)</t>
  </si>
  <si>
    <t>attention, il ne faut calculer ici que le travail de l'éleveur</t>
  </si>
  <si>
    <t>Conduite sur zones intermédiaires</t>
  </si>
  <si>
    <t>Enjeu sur lot</t>
  </si>
  <si>
    <t>modalité enjeu sur le lot</t>
  </si>
  <si>
    <t>Reproduction - surveillance mise bas (heure / an)</t>
  </si>
  <si>
    <t>nbre de MB</t>
  </si>
  <si>
    <t>min / MB</t>
  </si>
  <si>
    <t>Traite</t>
  </si>
  <si>
    <t>forfait fixe</t>
  </si>
  <si>
    <t>nbre brebis</t>
  </si>
  <si>
    <t>h / brebis</t>
  </si>
  <si>
    <t>bâtiment intégral</t>
  </si>
  <si>
    <t>Transformation  laitière et commercialisation</t>
  </si>
  <si>
    <t>volume transfo</t>
  </si>
  <si>
    <t>min / litres</t>
  </si>
  <si>
    <t>semi-bâtiment</t>
  </si>
  <si>
    <t>plein-air intégral ou lot n'existant pas</t>
  </si>
  <si>
    <t>Commercialisation animaux</t>
  </si>
  <si>
    <t>Lieu de pâturage</t>
  </si>
  <si>
    <t>Travail de Saison</t>
  </si>
  <si>
    <t>Cultures</t>
  </si>
  <si>
    <t>réf tps travaux</t>
  </si>
  <si>
    <t>PE et LP</t>
  </si>
  <si>
    <t>Céréales  (y.c. travaux associé moisson)</t>
  </si>
  <si>
    <t>HF</t>
  </si>
  <si>
    <t>maïs-ensilage (y.c. récolte)</t>
  </si>
  <si>
    <t>pas de pâturage</t>
  </si>
  <si>
    <t>Semis PT</t>
  </si>
  <si>
    <t>Semis dérobées</t>
  </si>
  <si>
    <t>Ferti -amendement prairies</t>
  </si>
  <si>
    <t>Réalisation foin 1er coupe</t>
  </si>
  <si>
    <t>Réalisation foin 2ème coupe</t>
  </si>
  <si>
    <t>Réalisation foin 3ème coupe</t>
  </si>
  <si>
    <t>Réalisation enrubannage</t>
  </si>
  <si>
    <t>Codes conditions du lot</t>
  </si>
  <si>
    <t>Fauche litière sur landes</t>
  </si>
  <si>
    <t>Zone/cheptel</t>
  </si>
  <si>
    <t>Elevages</t>
  </si>
  <si>
    <t>lot en bâtiment intégral</t>
  </si>
  <si>
    <t>Entretien  clôtures</t>
  </si>
  <si>
    <t xml:space="preserve">Entretien bâtiment - équipement </t>
  </si>
  <si>
    <t>Travail de  saison troupeau cheptel 1</t>
  </si>
  <si>
    <t>Travail de  saison troupeau cheptel 2</t>
  </si>
  <si>
    <t>Travail de  saison troupeau cheptel 3</t>
  </si>
  <si>
    <t>Travail Astreinte protection</t>
  </si>
  <si>
    <t>Déplacement filet mobile - cheptel 1</t>
  </si>
  <si>
    <t>Déplacement filet mobile - cheptel 2</t>
  </si>
  <si>
    <t>Situation lot en bâtiment</t>
  </si>
  <si>
    <t>Déplacement filet mobile - cheptel 3</t>
  </si>
  <si>
    <t>Vérif et intervention sur clôture fixe - cheptel 1</t>
  </si>
  <si>
    <t>Vérif et intervention sur clôture fixe - cheptel 2</t>
  </si>
  <si>
    <t>Vérif et intervention sur clôture fixe - cheptel 3</t>
  </si>
  <si>
    <t>nbre de chiens</t>
  </si>
  <si>
    <t>Travail de Saison protection</t>
  </si>
  <si>
    <t>à éduquer</t>
  </si>
  <si>
    <t>j/an</t>
  </si>
  <si>
    <t>Education des chiens</t>
  </si>
  <si>
    <t>nbre de lot en bâtiment intégral avec fort enjeu</t>
  </si>
  <si>
    <t xml:space="preserve">km </t>
  </si>
  <si>
    <t>h/km</t>
  </si>
  <si>
    <t>nbre de lot en bâtiment  intégral avec faible enjeu</t>
  </si>
  <si>
    <t>Entretien - élagage clôtures fixes</t>
  </si>
  <si>
    <t>nbre de lot en semi-bâtiment  avec fort enjeu</t>
  </si>
  <si>
    <t>vérification clôture sortie hiver</t>
  </si>
  <si>
    <t>nbre de lot en semi-bâtiment  avec faible enjeu</t>
  </si>
  <si>
    <t>(mois)</t>
  </si>
  <si>
    <t>Situation pour travail en bâtiment</t>
  </si>
  <si>
    <t xml:space="preserve">Surveillance renforcée en estive, avec salarié à la charge de l'élevage </t>
  </si>
  <si>
    <t>Référence alim-soins en bâtiment - part fixe (h / quinzaine)</t>
  </si>
  <si>
    <t>Référence alim-soins en bâtiment - part variable (h / quinzaine)</t>
  </si>
  <si>
    <t>Nombre d'animaux en bâtiment</t>
  </si>
  <si>
    <t>Bilans sur le travail (heures)</t>
  </si>
  <si>
    <t>élevage</t>
  </si>
  <si>
    <t>par femelles présentes (h/femelle)</t>
  </si>
  <si>
    <t>TA Alim - soin C1</t>
  </si>
  <si>
    <t>TA Alim - soin C2</t>
  </si>
  <si>
    <t>TA Alim - soin C3</t>
  </si>
  <si>
    <t>TA Alim - soins cheptels</t>
  </si>
  <si>
    <t>TA estive - ZI C1</t>
  </si>
  <si>
    <t>TA estive - ZI C2</t>
  </si>
  <si>
    <t>TA estive - ZI C3</t>
  </si>
  <si>
    <t>TA estive - ZI cheptels</t>
  </si>
  <si>
    <t>TA repro, mises-bas, traite C1</t>
  </si>
  <si>
    <t>TA repro, mises-bas, traite C2</t>
  </si>
  <si>
    <t>Nbre de tranches</t>
  </si>
  <si>
    <t>TA repro, mises-bas, traite C3</t>
  </si>
  <si>
    <t>Nbre de tranches au-delà de 1</t>
  </si>
  <si>
    <t>TA repro, mises-bas, traite cheptels</t>
  </si>
  <si>
    <t>Temps alim-soins en bâtiment - part variable (h / quinzaine)</t>
  </si>
  <si>
    <t>TA transfo et comm lait C1</t>
  </si>
  <si>
    <t>TA transfo et comm lait C2</t>
  </si>
  <si>
    <t>Référence alim-soins au pâturage (h / quinzaine)</t>
  </si>
  <si>
    <t>TA transfo et comm lait C3</t>
  </si>
  <si>
    <t>Valeur compteur</t>
  </si>
  <si>
    <t>TA transfo et comm lait cheptels</t>
  </si>
  <si>
    <t>TS élevage cheptels</t>
  </si>
  <si>
    <t>TS cultures</t>
  </si>
  <si>
    <t>TA protection - clôture C1</t>
  </si>
  <si>
    <t>TA protection - clôture C2</t>
  </si>
  <si>
    <t>TA protection - clôture C3</t>
  </si>
  <si>
    <t>TA protection - clôture cheptels</t>
  </si>
  <si>
    <t>TA entretien chiens</t>
  </si>
  <si>
    <t>TS éducation chiens</t>
  </si>
  <si>
    <t>TS clôtures</t>
  </si>
  <si>
    <t>TS surveillance en UP</t>
  </si>
  <si>
    <t>Temps alim-soin au pâturage (heures/ quinzaine)</t>
  </si>
  <si>
    <t>TA cheptel C1</t>
  </si>
  <si>
    <t>TA cheptel C2</t>
  </si>
  <si>
    <t>TA cheptel C3</t>
  </si>
  <si>
    <t>TA élevage</t>
  </si>
  <si>
    <t>TS élevage</t>
  </si>
  <si>
    <t>TA protection</t>
  </si>
  <si>
    <t>TS protection</t>
  </si>
  <si>
    <t>Total travail (heures)</t>
  </si>
  <si>
    <t>dont assurée par salariés supp pour la protection</t>
  </si>
  <si>
    <t>heures restant par UMO (UMO = cellule de base familiale + salariée)</t>
  </si>
  <si>
    <t>Produits</t>
  </si>
  <si>
    <t>compteur</t>
  </si>
  <si>
    <t>Part du lait transformé</t>
  </si>
  <si>
    <t>en pourcentage</t>
  </si>
  <si>
    <t>Q C1</t>
  </si>
  <si>
    <t>Q C2</t>
  </si>
  <si>
    <t>Q C3</t>
  </si>
  <si>
    <t>PU C1</t>
  </si>
  <si>
    <t>PU C2</t>
  </si>
  <si>
    <t>PU C3</t>
  </si>
  <si>
    <t>C1</t>
  </si>
  <si>
    <t>Produits végétaux</t>
  </si>
  <si>
    <t>lait livré (litres) (PU au 1 000 litres)</t>
  </si>
  <si>
    <t xml:space="preserve">part du lait transformé </t>
  </si>
  <si>
    <t>Prix du lait si AOP ou non</t>
  </si>
  <si>
    <t>n°culture</t>
  </si>
  <si>
    <t>maïs grain</t>
  </si>
  <si>
    <t>blé tendre</t>
  </si>
  <si>
    <t>orge hiver</t>
  </si>
  <si>
    <t>triticale</t>
  </si>
  <si>
    <t xml:space="preserve">soja zone </t>
  </si>
  <si>
    <t>lait transformé (litres)</t>
  </si>
  <si>
    <t>Lait produit</t>
  </si>
  <si>
    <t>Prix du fromage brebis AOP</t>
  </si>
  <si>
    <t>jeunes mâles au sevrage</t>
  </si>
  <si>
    <t>Taux de mise à l'engrais des réformes</t>
  </si>
  <si>
    <t>C2</t>
  </si>
  <si>
    <t>C3</t>
  </si>
  <si>
    <t>C4</t>
  </si>
  <si>
    <t>jeunes femelles au sevrage</t>
  </si>
  <si>
    <t>part des réformes engraissées</t>
  </si>
  <si>
    <t>jeunes mâles engraissés</t>
  </si>
  <si>
    <t>Femelles de réforme</t>
  </si>
  <si>
    <t>Jeunes femelles engraissées</t>
  </si>
  <si>
    <t>réformes grasses (n)</t>
  </si>
  <si>
    <t>Réforme maigres</t>
  </si>
  <si>
    <t>Réformes grasses</t>
  </si>
  <si>
    <t>Vente reproducteurs mâles</t>
  </si>
  <si>
    <t>solde</t>
  </si>
  <si>
    <t>excédent</t>
  </si>
  <si>
    <t>déficit</t>
  </si>
  <si>
    <t>Achat reproducteurs mâles</t>
  </si>
  <si>
    <t>céréales</t>
  </si>
  <si>
    <t>vente</t>
  </si>
  <si>
    <t>cession</t>
  </si>
  <si>
    <t>type culture</t>
  </si>
  <si>
    <t>Q vente</t>
  </si>
  <si>
    <t>Q cession</t>
  </si>
  <si>
    <t>PU vente</t>
  </si>
  <si>
    <t>PU cession</t>
  </si>
  <si>
    <t>protéagineux</t>
  </si>
  <si>
    <t>céréales à paille</t>
  </si>
  <si>
    <t>soja</t>
  </si>
  <si>
    <t xml:space="preserve">Aide Bovin allaitant </t>
  </si>
  <si>
    <t>Aide ovine</t>
  </si>
  <si>
    <t>Aide caprine</t>
  </si>
  <si>
    <t>Aide bovin lait</t>
  </si>
  <si>
    <t>VA  = vaches allaitantes</t>
  </si>
  <si>
    <t>Calcul aides couplées</t>
  </si>
  <si>
    <t>Nombre de part PAC (règle transparence GAEC)</t>
  </si>
  <si>
    <t>nombre d'animaux ou ha</t>
  </si>
  <si>
    <t>nbre têtes</t>
  </si>
  <si>
    <t>montant</t>
  </si>
  <si>
    <t>VA primée</t>
  </si>
  <si>
    <t>Brebis primée</t>
  </si>
  <si>
    <t>chèvres primée</t>
  </si>
  <si>
    <t>VL primée</t>
  </si>
  <si>
    <t>par associé</t>
  </si>
  <si>
    <t>10 à 50 VA</t>
  </si>
  <si>
    <t>0-500 brebs</t>
  </si>
  <si>
    <t>Montagne</t>
  </si>
  <si>
    <t>51 à 99 VA</t>
  </si>
  <si>
    <t>&gt; 500 brebis</t>
  </si>
  <si>
    <t>Total de l'aide</t>
  </si>
  <si>
    <t>Hors Montagne</t>
  </si>
  <si>
    <t>Paille excédentaire</t>
  </si>
  <si>
    <t>100  à 139 VA</t>
  </si>
  <si>
    <t>Foin excédentaire</t>
  </si>
  <si>
    <t>OL/OV</t>
  </si>
  <si>
    <t>OV</t>
  </si>
  <si>
    <t>Primes</t>
  </si>
  <si>
    <t>CP</t>
  </si>
  <si>
    <t>Aides couplées</t>
  </si>
  <si>
    <t>Bovin Allaitant</t>
  </si>
  <si>
    <t>Leg. fourr.</t>
  </si>
  <si>
    <t>Bovin Lait</t>
  </si>
  <si>
    <t>calcul ICHN</t>
  </si>
  <si>
    <t>zone ICHN</t>
  </si>
  <si>
    <t>Veaux sous la mère</t>
  </si>
  <si>
    <t>ICHN + PR</t>
  </si>
  <si>
    <t>montant unitaire</t>
  </si>
  <si>
    <t>Ovine</t>
  </si>
  <si>
    <t>Calcul de la surface pour DPB</t>
  </si>
  <si>
    <t>Surf. Réelle</t>
  </si>
  <si>
    <t>taux</t>
  </si>
  <si>
    <t>Surf. Admissble</t>
  </si>
  <si>
    <t>ha primable</t>
  </si>
  <si>
    <t>Caprine</t>
  </si>
  <si>
    <t>Terres Arables (hors PT et dérobée)</t>
  </si>
  <si>
    <t>surface admissible</t>
  </si>
  <si>
    <t>0-25 ha</t>
  </si>
  <si>
    <t>Légumineuse fourragère</t>
  </si>
  <si>
    <t>surface par associé</t>
  </si>
  <si>
    <t>25-50 ha</t>
  </si>
  <si>
    <t>50-75 ha</t>
  </si>
  <si>
    <t>Aides découplées</t>
  </si>
  <si>
    <t>DPB sur surfaces proratisées</t>
  </si>
  <si>
    <t>Dérobées</t>
  </si>
  <si>
    <t xml:space="preserve">ATTENTIION </t>
  </si>
  <si>
    <t>On ne garde pas ce calcul, 1. on est sur des UGB techniques - ensemble du cheptel, alors que adultes uniquement et UGB PAC 2. ce sont les UGB utilisant des surfaces hors de l'exploitation, pas forcément estive</t>
  </si>
  <si>
    <t>Paiement redistributif</t>
  </si>
  <si>
    <t>Paiement vert</t>
  </si>
  <si>
    <t>Total sans DPB estive</t>
  </si>
  <si>
    <t>ICHN</t>
  </si>
  <si>
    <t>DPB esti</t>
  </si>
  <si>
    <t>calcul des UGB</t>
  </si>
  <si>
    <t>Quinzaines</t>
  </si>
  <si>
    <t>cheptel 4</t>
  </si>
  <si>
    <t>Subvention annuelles plan loup</t>
  </si>
  <si>
    <t>Total surface DBP avec estive</t>
  </si>
  <si>
    <t>total UGB</t>
  </si>
  <si>
    <t>Total produit (euros)</t>
  </si>
  <si>
    <t>Calcul des UGB transhumantes (UGB.mois) (Estive + UP ZI)</t>
  </si>
  <si>
    <t>ratio UGB PR/ UGB total</t>
  </si>
  <si>
    <t>UGB.mois de cheptel transhumant</t>
  </si>
  <si>
    <t>ha DPB Estive</t>
  </si>
  <si>
    <t>Conduite</t>
  </si>
  <si>
    <t>UGB transhumante</t>
  </si>
  <si>
    <t>Charges</t>
  </si>
  <si>
    <t>UGB transh.quinzaine</t>
  </si>
  <si>
    <t>charges opérationnelles</t>
  </si>
  <si>
    <t>Quantité (tonnes)</t>
  </si>
  <si>
    <t>CO troupeau</t>
  </si>
  <si>
    <t>PU (€/T)</t>
  </si>
  <si>
    <t>nbre de réformes grasses - C1</t>
  </si>
  <si>
    <t>Calcul des concentrés pour les vaches de réforme engraissées</t>
  </si>
  <si>
    <t>nbre de réformes grasses - C2</t>
  </si>
  <si>
    <t>nbre de réformes grasses - C3</t>
  </si>
  <si>
    <t>nbre de réformes grasses - C4</t>
  </si>
  <si>
    <t>quantités (kg)</t>
  </si>
  <si>
    <t>Autres animaux</t>
  </si>
  <si>
    <t>par animal</t>
  </si>
  <si>
    <t>Frais vétérinaires</t>
  </si>
  <si>
    <t>CO concentrés total (euros)</t>
  </si>
  <si>
    <t>Frais repro, identification, GDS, cont perf</t>
  </si>
  <si>
    <t>frais transfo et commercialisation</t>
  </si>
  <si>
    <t>CMV</t>
  </si>
  <si>
    <t xml:space="preserve">frais estive </t>
  </si>
  <si>
    <t>frais pension hivernale</t>
  </si>
  <si>
    <t>total CO troupeau par cheptel (y.c. concentrés)</t>
  </si>
  <si>
    <t>fourrages achetés</t>
  </si>
  <si>
    <t>Achats de litière (paille)</t>
  </si>
  <si>
    <t>CO surfaces</t>
  </si>
  <si>
    <t>num culture</t>
  </si>
  <si>
    <t>CO / ha</t>
  </si>
  <si>
    <t>numéro réf Anx</t>
  </si>
  <si>
    <t>Calcul des quantités de viande vive</t>
  </si>
  <si>
    <t>cheptel</t>
  </si>
  <si>
    <t>COMPTEEUR</t>
  </si>
  <si>
    <t>1 000 litres / lait</t>
  </si>
  <si>
    <t>numéro de réf Anx</t>
  </si>
  <si>
    <t>100 kg viande vive</t>
  </si>
  <si>
    <t>jeune mâle sevré</t>
  </si>
  <si>
    <t>n</t>
  </si>
  <si>
    <t>femelles présentes à la MB (n)</t>
  </si>
  <si>
    <t>PV</t>
  </si>
  <si>
    <t>agnelles en pension (n)</t>
  </si>
  <si>
    <t>cumul</t>
  </si>
  <si>
    <t>jeune femelle sevrée</t>
  </si>
  <si>
    <t>Q</t>
  </si>
  <si>
    <t>PU</t>
  </si>
  <si>
    <t>COMPTEUR</t>
  </si>
  <si>
    <t>PP pâturées</t>
  </si>
  <si>
    <t>mâle engraissé</t>
  </si>
  <si>
    <t>PP 1 coupe</t>
  </si>
  <si>
    <t>PP 2 coupes et plus</t>
  </si>
  <si>
    <t>PT pâture</t>
  </si>
  <si>
    <t>femelle engraissée</t>
  </si>
  <si>
    <t>PT 1 coupe</t>
  </si>
  <si>
    <t>Frais estive</t>
  </si>
  <si>
    <t>PT 2 coupes et plus</t>
  </si>
  <si>
    <t>Frais pension</t>
  </si>
  <si>
    <t>Dérobées (1ère année)</t>
  </si>
  <si>
    <t>réforme maigre</t>
  </si>
  <si>
    <t>CO protection</t>
  </si>
  <si>
    <t>achat et entretien chien</t>
  </si>
  <si>
    <t>réforme grasse</t>
  </si>
  <si>
    <t>entretien matériel (clôture, cabanes d'appoint, parcs de nuit)</t>
  </si>
  <si>
    <t>réforme mâle reproducteur</t>
  </si>
  <si>
    <t>total charge opérationnelles</t>
  </si>
  <si>
    <t>total kg de viande vive</t>
  </si>
  <si>
    <t>Charges de structure</t>
  </si>
  <si>
    <t>Foncier (fermage, impôt foncier) (par ha ST)</t>
  </si>
  <si>
    <t>Bâtiment (forfait pour l'élevage)</t>
  </si>
  <si>
    <t>MSA (MO familiale) (forfait ferme)</t>
  </si>
  <si>
    <t>ha coupés en plus (SC - SI)</t>
  </si>
  <si>
    <t>Salaires (situation initiale) (par UMO salariée)</t>
  </si>
  <si>
    <t>final (si enrubannage = sur 1ère coupe)</t>
  </si>
  <si>
    <t>Autres charges de structure (par ha ST)</t>
  </si>
  <si>
    <t>Total des ha 1°C coupés</t>
  </si>
  <si>
    <t>Mécanisation (par ha ST)</t>
  </si>
  <si>
    <t>Total des ha 2°C coupés</t>
  </si>
  <si>
    <t>dont carburant / lubrifiant (situation initiale)</t>
  </si>
  <si>
    <t>Total des ha 3°C coupés</t>
  </si>
  <si>
    <t>surfaces supp en enrubannage</t>
  </si>
  <si>
    <t xml:space="preserve">carburant supplémentaire + en tretien matériel fauche(scénarios) </t>
  </si>
  <si>
    <t>ha fauchés en plus - 1ère coupe de foin</t>
  </si>
  <si>
    <t>ha fauchés en plus - 2ème coupe de foin</t>
  </si>
  <si>
    <t>ha fauchés en plus - 3ème coupe de foin</t>
  </si>
  <si>
    <t xml:space="preserve">ha enrubannage en plus </t>
  </si>
  <si>
    <t>Salaires supplémentaires scénarios</t>
  </si>
  <si>
    <t>smic horaire</t>
  </si>
  <si>
    <t>total charge de structures</t>
  </si>
  <si>
    <t xml:space="preserve">Excédent Brut d'Exploitation </t>
  </si>
  <si>
    <t>EBE / UMO familiale</t>
  </si>
  <si>
    <t>Annuités (situation initiale)</t>
  </si>
  <si>
    <t>Annuité protection</t>
  </si>
  <si>
    <t>Disponible pour vivre et autofinancer</t>
  </si>
  <si>
    <t>Disponible / UMO familiale</t>
  </si>
  <si>
    <t>Investissement dans  moyens de protection</t>
  </si>
  <si>
    <t>nbre de filets/jeu</t>
  </si>
  <si>
    <t>PU(euros)</t>
  </si>
  <si>
    <t>Montant (euros)</t>
  </si>
  <si>
    <t>jeux</t>
  </si>
  <si>
    <t>clôture fixe renforcée</t>
  </si>
  <si>
    <t>mètres</t>
  </si>
  <si>
    <t>parcs de nuit</t>
  </si>
  <si>
    <t>cabanes d'appoint</t>
  </si>
  <si>
    <t>Aide Etat</t>
  </si>
  <si>
    <t>Reste à investir</t>
  </si>
  <si>
    <t>Autofinancement</t>
  </si>
  <si>
    <t>Emprunt</t>
  </si>
  <si>
    <t>taux emprunt</t>
  </si>
  <si>
    <t>durée</t>
  </si>
  <si>
    <t>Annuité</t>
  </si>
  <si>
    <t>total investissement matériel</t>
  </si>
  <si>
    <t>clôture mobile fixe sobre</t>
  </si>
  <si>
    <t>Dépenses annuelles (chiens + surveillance)</t>
  </si>
  <si>
    <t>nombre de chiens</t>
  </si>
  <si>
    <t>nombre de mois d'embauche gardien estive / ZI</t>
  </si>
  <si>
    <t>jours de forfait EB</t>
  </si>
  <si>
    <t>Total des dépenses annuelles (chiens /surveillance)</t>
  </si>
  <si>
    <t>calculer l'aide de l'état aux dépenses annuelles en fonction des plafond</t>
  </si>
  <si>
    <t>aller chercher le plafond de l'aide selon taille du troupeau et mode de conduite</t>
  </si>
  <si>
    <t>taille du troupeau estive pour plafond</t>
  </si>
  <si>
    <t>Taille troupeau en bas</t>
  </si>
  <si>
    <t>Plafond (€)</t>
  </si>
  <si>
    <t>150 / mixte</t>
  </si>
  <si>
    <t>150 / parc</t>
  </si>
  <si>
    <t>151-450 / mixte</t>
  </si>
  <si>
    <t>151-450 / parc</t>
  </si>
  <si>
    <t>451-1200 / mixte</t>
  </si>
  <si>
    <t>451-1200 / parc</t>
  </si>
  <si>
    <t>1201-1500 / mixte</t>
  </si>
  <si>
    <t>1201-1500 / parc</t>
  </si>
  <si>
    <t>&gt; 1500 / mixte</t>
  </si>
  <si>
    <t>&gt; 1500 /parc</t>
  </si>
  <si>
    <t>Calcul de l'aide de l'état pour les dépenses annuelles</t>
  </si>
  <si>
    <t>si conduite mixte (transh)</t>
  </si>
  <si>
    <t>si conduite parc (sédentaire)</t>
  </si>
  <si>
    <t>Coût entretien matériel pour protection</t>
  </si>
  <si>
    <t>quantité</t>
  </si>
  <si>
    <t>PU (euros)</t>
  </si>
  <si>
    <t>entretien filet</t>
  </si>
  <si>
    <t>entretien clôture fixe</t>
  </si>
  <si>
    <t>entretien clôture sobre</t>
  </si>
  <si>
    <t>Structures</t>
  </si>
  <si>
    <t>Combinaison de cheptels</t>
  </si>
  <si>
    <t>brebis présentes à la MB  (n)</t>
  </si>
  <si>
    <t>proportionnalité taille</t>
  </si>
  <si>
    <t>vaches laitières présentes à la MB (n)</t>
  </si>
  <si>
    <t>identique</t>
  </si>
  <si>
    <t>vaches allaitantes présentes à la MB (n)</t>
  </si>
  <si>
    <t>nouveeau calcul</t>
  </si>
  <si>
    <t>juments présentes à la MB (n)</t>
  </si>
  <si>
    <t>Moyenne UGB -C1</t>
  </si>
  <si>
    <t>Moyenne UGB -C2</t>
  </si>
  <si>
    <t>Moyenne UGB -C3</t>
  </si>
  <si>
    <t>total des UGB</t>
  </si>
  <si>
    <t>surfaces COP</t>
  </si>
  <si>
    <t>surfaces de dérobées</t>
  </si>
  <si>
    <t>surfaces de PT</t>
  </si>
  <si>
    <t>surfaces Terres Arables</t>
  </si>
  <si>
    <t>surfaces de PP</t>
  </si>
  <si>
    <t>surfaces PT proches</t>
  </si>
  <si>
    <t>surfaces PT éloignées</t>
  </si>
  <si>
    <t>surfaces PP proches</t>
  </si>
  <si>
    <t>surfaces de PP éloignées</t>
  </si>
  <si>
    <t>surfaces de landes privées</t>
  </si>
  <si>
    <t>SAU sans les landes</t>
  </si>
  <si>
    <t>ST (avec les landes)</t>
  </si>
  <si>
    <t>Ne pas bouger cette ligne</t>
  </si>
  <si>
    <t>Chargement apparent ferme (UGB/ha ST)</t>
  </si>
  <si>
    <t>Coupes des surfaces en herbe</t>
  </si>
  <si>
    <t>surfaces 1° coupe -  sc en cours</t>
  </si>
  <si>
    <t>surfaces 2° coupe -  sc en cours</t>
  </si>
  <si>
    <t>surfaces 3° coupe -  sc en cours</t>
  </si>
  <si>
    <t>Assolement SCOP</t>
  </si>
  <si>
    <t>Ne pas bouger ces blocs ci-dessous</t>
  </si>
  <si>
    <t>Calcul des indicateurs pour caractériser la conduite au pâturage (ne pas bouger ces blocs)</t>
  </si>
  <si>
    <t>légumineuse fourragère</t>
  </si>
  <si>
    <t>Calcul de la SFP</t>
  </si>
  <si>
    <t>Surface de SFP</t>
  </si>
  <si>
    <t>Mode de conduite au pâturage</t>
  </si>
  <si>
    <t>MAX- C1</t>
  </si>
  <si>
    <t>fonctionnement identique</t>
  </si>
  <si>
    <t>MAX- C2</t>
  </si>
  <si>
    <t>quelle que soit la taille des cheptels</t>
  </si>
  <si>
    <t>MAX- C3</t>
  </si>
  <si>
    <t>MAX_ELEV</t>
  </si>
  <si>
    <t>DP_C1 (mois)</t>
  </si>
  <si>
    <t>DP_C2 (mois)</t>
  </si>
  <si>
    <t>DP_C3 (mois)</t>
  </si>
  <si>
    <t>DP_ELEV (mois)</t>
  </si>
  <si>
    <t>MOIS.LOT pâturage_C1</t>
  </si>
  <si>
    <t>MOIS.LOT pâturage_C2</t>
  </si>
  <si>
    <t>MOIS.LOT pâturage_C4</t>
  </si>
  <si>
    <t>MOIS.LOT pâturage_ELEV</t>
  </si>
  <si>
    <t>MOIS.LOT sur PF_C1</t>
  </si>
  <si>
    <t>MOIS.LOT sur PF_C2</t>
  </si>
  <si>
    <t>MOIS.LOT sur PF_C3</t>
  </si>
  <si>
    <t>MOIS.LOT sur PE_C1</t>
  </si>
  <si>
    <t>MOIS.LOT sur PE_C2</t>
  </si>
  <si>
    <t>MOIS.LOT sur PE_C3</t>
  </si>
  <si>
    <t>MOIS.LOT sur LP_C1</t>
  </si>
  <si>
    <t>MOIS.LOT sur LP_C2</t>
  </si>
  <si>
    <t>MOIS.LOT sur LP_C3</t>
  </si>
  <si>
    <t>MOIS.LOT sur ZI_C1</t>
  </si>
  <si>
    <t>MOIS.LOT sur ZI_C2</t>
  </si>
  <si>
    <t>MOIS.LOT sur ZI_C3</t>
  </si>
  <si>
    <t>MOIS.LOT sur Estive_C1</t>
  </si>
  <si>
    <t>MOIS.LOT sur Estive_C2</t>
  </si>
  <si>
    <t>MOIS.LOT sur Estive_C3</t>
  </si>
  <si>
    <t>Durée Estive_C1</t>
  </si>
  <si>
    <t>Durée Estive_C2</t>
  </si>
  <si>
    <t>Durée Estive_C3</t>
  </si>
  <si>
    <t>Durée Estive_ELEV</t>
  </si>
  <si>
    <t>Nombre de lots au pâturage</t>
  </si>
  <si>
    <t>Durée ZI_C1</t>
  </si>
  <si>
    <t>Durée ZI_C2</t>
  </si>
  <si>
    <t>Durée ZI_C3</t>
  </si>
  <si>
    <t>Durée ZI_ELEV</t>
  </si>
  <si>
    <t>Elevage</t>
  </si>
  <si>
    <t>% PF sur ferme_C1</t>
  </si>
  <si>
    <t>% PF sur ferme_C2</t>
  </si>
  <si>
    <t>Utilisation estive_C1</t>
  </si>
  <si>
    <t>% PF sur ferme_C3</t>
  </si>
  <si>
    <t>Utilisation estive_C2</t>
  </si>
  <si>
    <t>% PF sur ferme_ELEV</t>
  </si>
  <si>
    <t>Utilisation estive_C3</t>
  </si>
  <si>
    <t>Résultats techniques -prod de viande</t>
  </si>
  <si>
    <t>agneaux</t>
  </si>
  <si>
    <t>Utilisation estive_ELEV</t>
  </si>
  <si>
    <t>brebis de réforme</t>
  </si>
  <si>
    <t>Utilisation ZI_C1</t>
  </si>
  <si>
    <t>veaux de 8 jours</t>
  </si>
  <si>
    <t>Utilisation ZI_C2</t>
  </si>
  <si>
    <t>réformes VL maigres</t>
  </si>
  <si>
    <t>Utilisation ZI_C3</t>
  </si>
  <si>
    <t>réformes VL grasses</t>
  </si>
  <si>
    <t>Utilisation ZI_ELEV</t>
  </si>
  <si>
    <t xml:space="preserve">broutards </t>
  </si>
  <si>
    <t>réformes BV maigres</t>
  </si>
  <si>
    <t>réforme BV grasses</t>
  </si>
  <si>
    <t>jeunes bovins engraissés</t>
  </si>
  <si>
    <t>poulains sevrés</t>
  </si>
  <si>
    <t>Calcul de la production de viande pour les BV</t>
  </si>
  <si>
    <t>réforme juments</t>
  </si>
  <si>
    <t>broutard mâle_C1</t>
  </si>
  <si>
    <t>Résultats techniques -prod de lait</t>
  </si>
  <si>
    <t>lait brebis livré (litres)</t>
  </si>
  <si>
    <t>broutard femelle_C1</t>
  </si>
  <si>
    <t>lait brebis transformé (litres)</t>
  </si>
  <si>
    <t>broutard mâle_C2</t>
  </si>
  <si>
    <t>lait vache livré (litres)</t>
  </si>
  <si>
    <t>broutard femelle_C2</t>
  </si>
  <si>
    <t xml:space="preserve">Résultats techniques -produits végétaux </t>
  </si>
  <si>
    <t>maïs grain vendu (tonnes)</t>
  </si>
  <si>
    <t>réforme maigre_C1</t>
  </si>
  <si>
    <t>céréales à paille vendu (tonnes)</t>
  </si>
  <si>
    <t>réforme grasse_C1</t>
  </si>
  <si>
    <t>soja vendu  (tonnes)</t>
  </si>
  <si>
    <t>réforme maigre_C2</t>
  </si>
  <si>
    <t>maïs grain intraconsommé (tonnes)</t>
  </si>
  <si>
    <t>réforme grasse_C2</t>
  </si>
  <si>
    <t>céréales à paille intraconsommé (tonnes)</t>
  </si>
  <si>
    <t>jeunes bovins engraissés_C1</t>
  </si>
  <si>
    <t>soja intraconsommé  (tonnes)</t>
  </si>
  <si>
    <t>jeunes bovins engraissés_C2</t>
  </si>
  <si>
    <t>maïs grain produit (tonnes)</t>
  </si>
  <si>
    <t>céréales à paille produit (tonnes)</t>
  </si>
  <si>
    <t>soja produit  (tonnes)</t>
  </si>
  <si>
    <t>excédent de foin vendu</t>
  </si>
  <si>
    <t>Bilan alimentaire</t>
  </si>
  <si>
    <t>demande MS pâture  OL</t>
  </si>
  <si>
    <t>pâture / stock = en tMS</t>
  </si>
  <si>
    <t>demande MS stock  OL</t>
  </si>
  <si>
    <t>demande MS pâture  BL</t>
  </si>
  <si>
    <t>demande MS stock  BL</t>
  </si>
  <si>
    <t>demande MS pâture  BV</t>
  </si>
  <si>
    <t>demande MS stock  BV</t>
  </si>
  <si>
    <t>demande MS pâture  EQ</t>
  </si>
  <si>
    <t>demande MS stock  EQ</t>
  </si>
  <si>
    <t>offre en herbe à pâturer</t>
  </si>
  <si>
    <t>consommation herbe pâturée</t>
  </si>
  <si>
    <t>stock herbe</t>
  </si>
  <si>
    <t>demande stock herbe</t>
  </si>
  <si>
    <t>solde herbe pâturée</t>
  </si>
  <si>
    <t>taux d'utilisaiton de l'herbe pâturée (%)</t>
  </si>
  <si>
    <t>solde stock herbe</t>
  </si>
  <si>
    <t>herbe stockée achetée</t>
  </si>
  <si>
    <t>excédent stock herbe vendu</t>
  </si>
  <si>
    <t>autonomie fourragère (%)</t>
  </si>
  <si>
    <t>demande en concentrés</t>
  </si>
  <si>
    <t>cession concentrés</t>
  </si>
  <si>
    <t>autonomie en concentré</t>
  </si>
  <si>
    <t>Moyens de protection déployés</t>
  </si>
  <si>
    <t>jeux de filets (n)</t>
  </si>
  <si>
    <t>clôture fixe renforcées (m)</t>
  </si>
  <si>
    <t>selon ratio mètre par ha clôturé</t>
  </si>
  <si>
    <t>superficie à clôturer (ha)</t>
  </si>
  <si>
    <t>mètre de clôture par ha à clôturer</t>
  </si>
  <si>
    <t>clôture mobile fixe sobre (m)</t>
  </si>
  <si>
    <t>parcs de nuit (n)</t>
  </si>
  <si>
    <t>cabanes d'appoint (n)</t>
  </si>
  <si>
    <t>chiens (n)</t>
  </si>
  <si>
    <t>jours ETP salarié pour surveillance UP</t>
  </si>
  <si>
    <t>jour ETP pour TA manipulation clôture</t>
  </si>
  <si>
    <t>TA inchangé, dépend du nombre de lot</t>
  </si>
  <si>
    <t xml:space="preserve">Aide couplée Bovin allaitant </t>
  </si>
  <si>
    <t>Aide couplée Bovin Lait</t>
  </si>
  <si>
    <t xml:space="preserve">jour  ETP pour TS entretien clôture </t>
  </si>
  <si>
    <t>TS dépend du linéaire de clôture</t>
  </si>
  <si>
    <t>jour ETP pour chiens (soins, éducation)</t>
  </si>
  <si>
    <t>nbre de VA</t>
  </si>
  <si>
    <t>nbre de VL</t>
  </si>
  <si>
    <t>nbre de brebis</t>
  </si>
  <si>
    <t>Chiffre d'affaire</t>
  </si>
  <si>
    <t>total CA (lait, viande, végétaux)</t>
  </si>
  <si>
    <t>nbre de VA par associé</t>
  </si>
  <si>
    <t>nbre de VL par associé</t>
  </si>
  <si>
    <t>nbre de brebis par associé</t>
  </si>
  <si>
    <t>CA lait brebis</t>
  </si>
  <si>
    <t>CA lait de vache</t>
  </si>
  <si>
    <t>CA viande ovine</t>
  </si>
  <si>
    <t>CA  viande bovine - troupeau laitier</t>
  </si>
  <si>
    <t>CA viande bovine - troupeau allaitant</t>
  </si>
  <si>
    <t>CA viande équine</t>
  </si>
  <si>
    <t>plafond selon nbre de têtes</t>
  </si>
  <si>
    <t>SAU sans landes privées</t>
  </si>
  <si>
    <t>plafond à 52 ha par associé</t>
  </si>
  <si>
    <t>Seuil  selon ha par associé</t>
  </si>
  <si>
    <t>Subvention annuelle plan loup</t>
  </si>
  <si>
    <t>Seuil selon taille du troupeau</t>
  </si>
  <si>
    <t>Total Aides</t>
  </si>
  <si>
    <t>Seuil, plafond sur ha et cheptel</t>
  </si>
  <si>
    <t>Charges opérationnelles</t>
  </si>
  <si>
    <t>CO cheptel OL</t>
  </si>
  <si>
    <t>Surface DPB par associé</t>
  </si>
  <si>
    <t>CO cheptel BL</t>
  </si>
  <si>
    <t>CO cheptel BV</t>
  </si>
  <si>
    <t>CO cheptel EQ</t>
  </si>
  <si>
    <t>CM</t>
  </si>
  <si>
    <t>CM_corrigé</t>
  </si>
  <si>
    <t>total CO cheptel</t>
  </si>
  <si>
    <t>CO cultures</t>
  </si>
  <si>
    <t>CO foin et paille</t>
  </si>
  <si>
    <t>CO entretien chien</t>
  </si>
  <si>
    <t>CO entretien autres moyens protection</t>
  </si>
  <si>
    <t>linéaire de clôture différent</t>
  </si>
  <si>
    <t>Total CO</t>
  </si>
  <si>
    <t>Foncier  (par ha ST)</t>
  </si>
  <si>
    <t>CM corrigé</t>
  </si>
  <si>
    <t>ovins lait transhumant Estive (n)</t>
  </si>
  <si>
    <t>bovins viande transhumant Estive (n)</t>
  </si>
  <si>
    <t>équins transhumant Estive (n)</t>
  </si>
  <si>
    <t>Salarié pour surveillance</t>
  </si>
  <si>
    <t>Salarié manipulation - entreten  clôtures</t>
  </si>
  <si>
    <t>Total CS</t>
  </si>
  <si>
    <t>forfait ferme non proportionnel + linéaire clôture</t>
  </si>
  <si>
    <t>Synthèse résultats économiques</t>
  </si>
  <si>
    <t xml:space="preserve">Alimentation et soins au pâturage </t>
  </si>
  <si>
    <t>proportionnel au nbre de MB</t>
  </si>
  <si>
    <t>part fixe + part variable selon nbre de brebis</t>
  </si>
  <si>
    <t>proportionnel au volume de lait</t>
  </si>
  <si>
    <t>Travaux de saison cultures</t>
  </si>
  <si>
    <t>seuil pour réf travaux selon surfaces à travailler</t>
  </si>
  <si>
    <t>TS Elevages</t>
  </si>
  <si>
    <t>Travail de  saison troupeau tout cheptel</t>
  </si>
  <si>
    <t>Travail  protection</t>
  </si>
  <si>
    <t>Astreinte clôture</t>
  </si>
  <si>
    <t>Saison clôture</t>
  </si>
  <si>
    <t>Synthèse travail (en heures)</t>
  </si>
  <si>
    <t>TA cheptel 1</t>
  </si>
  <si>
    <t>TA cheptel 2</t>
  </si>
  <si>
    <t>TA cheptel 3</t>
  </si>
  <si>
    <t>TA C1 / femelle présente MB</t>
  </si>
  <si>
    <t>TA C2 / femelle présente MB</t>
  </si>
  <si>
    <t>TA C3 / femelle présente MB</t>
  </si>
  <si>
    <t>Travail d'Astreinte Troupeau</t>
  </si>
  <si>
    <t>Travail de Saison Troupeau</t>
  </si>
  <si>
    <t>Travail de Saison Culture</t>
  </si>
  <si>
    <t>Mixte (parc + garde)</t>
  </si>
  <si>
    <t>choix moyen de protection sur ZI pour OL</t>
  </si>
  <si>
    <t>Montant de  l'investissement pour la protection</t>
  </si>
  <si>
    <t>Reste à financer par l'éleveur</t>
  </si>
  <si>
    <t>Calcul nombre de chiens - cheptel 1</t>
  </si>
  <si>
    <r>
      <rPr>
        <b/>
        <sz val="11"/>
        <color theme="1"/>
        <rFont val="Calibri"/>
        <family val="2"/>
        <scheme val="minor"/>
      </rPr>
      <t xml:space="preserve">Filets </t>
    </r>
    <r>
      <rPr>
        <sz val="11"/>
        <color theme="1"/>
        <rFont val="Calibri"/>
        <family val="2"/>
        <scheme val="minor"/>
      </rPr>
      <t>(qq soit le scénario)</t>
    </r>
  </si>
  <si>
    <t>nbre de chiens sur ferme + ZI</t>
  </si>
  <si>
    <t>Traite en estive</t>
  </si>
  <si>
    <t>Traite en estive (OL)</t>
  </si>
  <si>
    <t>ALLER  +VOIR LIGNE 183 DANS SYNTHESE</t>
  </si>
  <si>
    <t>ALLER LIGNES 214 à 216</t>
  </si>
  <si>
    <t>travail surveiilance sur Estive</t>
  </si>
  <si>
    <t>travail surveiilance sur ZI</t>
  </si>
  <si>
    <t xml:space="preserve">Surveillance renforcée en ZI avec salarié à la charge de l'élevage </t>
  </si>
  <si>
    <t>Estive - cheptel 1</t>
  </si>
  <si>
    <t>Estive - cheptel 3</t>
  </si>
  <si>
    <t>ZI - cheptel 1</t>
  </si>
  <si>
    <t>ZI - cheptel 2</t>
  </si>
  <si>
    <t>ZI - cheptel 3</t>
  </si>
  <si>
    <t>UMO familiale + salarié unitial</t>
  </si>
  <si>
    <t>Surface totale</t>
  </si>
  <si>
    <t>utilisation Estive par C1</t>
  </si>
  <si>
    <t>utilisation Estive par C2</t>
  </si>
  <si>
    <t>utilisation Estive par C3</t>
  </si>
  <si>
    <t>utilisation ZI par C1</t>
  </si>
  <si>
    <t>utilisation ZI par C2</t>
  </si>
  <si>
    <t>utilisation ZI par C3</t>
  </si>
  <si>
    <t>effectif de lots situation initiale</t>
  </si>
  <si>
    <t>nbre de mères initial  (Troupeau$B$17)</t>
  </si>
  <si>
    <t>nbre de mères initial  (Troupeau$C$17)</t>
  </si>
  <si>
    <t>nbre de mères initial  (Troupeau$D$17)</t>
  </si>
  <si>
    <t>nbre de groupe de chiens à nourrir sur la ferme- si C1 = OL</t>
  </si>
  <si>
    <t>nbre de groupe de chiens à nourrir sur UP (ZI,Estive) - si C1 = OL</t>
  </si>
  <si>
    <t>nbre de groupe de chiens à nourrir sur ferme si C1 =BV ou BL</t>
  </si>
  <si>
    <t>nbre de groupe de chiens à nourrir sur UP si C1 =BV ou BL</t>
  </si>
  <si>
    <t>nbre de groupe de chiens à nourrir sur ferme si C2 =BV ou EQ</t>
  </si>
  <si>
    <t>nbre de groupe de chiens à nourrir sur UP si C2 = BV ou EQ</t>
  </si>
  <si>
    <t>nbre de groupe de chiens à nourrir sur ferme  C3 (EQ)</t>
  </si>
  <si>
    <t>nbre de groupe de chiens à nourrir sur UP si C3 (EQ)</t>
  </si>
  <si>
    <t>CUMUL nbre de groupes de chiens à nourrir sur la ferme</t>
  </si>
  <si>
    <t>CUMUL nbre de groupes de chiens à nourrir sur UP</t>
  </si>
  <si>
    <t>nbre de chiens sur la ferme- si C1 = OL</t>
  </si>
  <si>
    <t>nbre de chiens sur UP (ZI,Estive) - si C1 = OL</t>
  </si>
  <si>
    <t>nbre de chiens  sur ferme si C1 =BV ou BL</t>
  </si>
  <si>
    <t>nbre de  chiens sur UP si C1 =BV ou BL</t>
  </si>
  <si>
    <t>nbre de chiens  sur ferme si C2 =BV ou BL</t>
  </si>
  <si>
    <t>nbre de  chiens sur UP si C2 =BV ou BL</t>
  </si>
  <si>
    <t>nbre de chiens  sur ferme  C3 (EQ)</t>
  </si>
  <si>
    <t>nbre de  chiens  sur UP si C3 (EQ)</t>
  </si>
  <si>
    <t>Nbre de chiens total sur la ferme</t>
  </si>
  <si>
    <t>Nbre de chiens total sur UP</t>
  </si>
  <si>
    <t>Nbre de chiens total</t>
  </si>
  <si>
    <t>Entretien des chiens sur la ferme</t>
  </si>
  <si>
    <t>Entretien des chiens sur UP</t>
  </si>
  <si>
    <t>chiens (soins + éducation) sur la ferme</t>
  </si>
  <si>
    <t>chiens (soins) sur les UP</t>
  </si>
  <si>
    <t>Travail protection sur la ferme</t>
  </si>
  <si>
    <t>Travail Protection sur les UP</t>
  </si>
  <si>
    <t>travail protection sur les UP (surveillance + chiens)</t>
  </si>
  <si>
    <t>travail protection ferme (clôture + chiens)</t>
  </si>
  <si>
    <t>total subventionnable (chiens + surveillance)</t>
  </si>
  <si>
    <t>nbre de chiens total OL</t>
  </si>
  <si>
    <t>nbre de chiens pour OL</t>
  </si>
  <si>
    <t>Étiquettes de lignes</t>
  </si>
  <si>
    <t>(vide)</t>
  </si>
  <si>
    <t>Total général</t>
  </si>
  <si>
    <t>Somme de surface</t>
  </si>
  <si>
    <t>OBJECTIF</t>
  </si>
  <si>
    <t>cult 6</t>
  </si>
  <si>
    <t>Nombre de Numéro
Parcelle</t>
  </si>
  <si>
    <t>objectif</t>
  </si>
  <si>
    <t>diff</t>
  </si>
  <si>
    <t>Calcul UGB PAC</t>
  </si>
  <si>
    <t>Chargement</t>
  </si>
  <si>
    <t>adultes</t>
  </si>
  <si>
    <t>jeunes</t>
  </si>
  <si>
    <t>UGB / ha</t>
  </si>
  <si>
    <t>Modulation selon le chargement</t>
  </si>
  <si>
    <t xml:space="preserve">Seuil chargement </t>
  </si>
  <si>
    <t>seuil1</t>
  </si>
  <si>
    <t>seuil2</t>
  </si>
  <si>
    <t>Modulation (%)</t>
  </si>
  <si>
    <t>SURFACES NON UTILISEES (PF)</t>
  </si>
  <si>
    <t>SURFACES NON UTILISEES (PE)</t>
  </si>
  <si>
    <t>SURFACES NON UTILISEES (Landes et Bois)</t>
  </si>
  <si>
    <t>stock maïs ensilage</t>
  </si>
  <si>
    <t>demande herbe pâturée OL ferme</t>
  </si>
  <si>
    <t>demande herbe pâturée BV ferme</t>
  </si>
  <si>
    <t>demande herbe pâturée BL ferme</t>
  </si>
  <si>
    <t xml:space="preserve">demande herbe pâturée OL UP </t>
  </si>
  <si>
    <t>demande herbe pâturée BV UP</t>
  </si>
  <si>
    <t>surfaces clôtures renforcées Prairies (ha)</t>
  </si>
  <si>
    <t>surfaces clôtures renforcées Landes privées (ha)</t>
  </si>
  <si>
    <t>investissement en filets</t>
  </si>
  <si>
    <t>investissement en clôture renforcées</t>
  </si>
  <si>
    <t>investissement en parcs de nuit</t>
  </si>
  <si>
    <t>investissement en cabanes d'appoint</t>
  </si>
  <si>
    <t>investissement en clôture sobres</t>
  </si>
  <si>
    <t>surface2</t>
  </si>
  <si>
    <t>génisses moins d'un an</t>
  </si>
  <si>
    <t>génisses &lt; 1 an</t>
  </si>
  <si>
    <t>Z1_BV_A2_s4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</si>
</sst>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.0"/>
    <numFmt numFmtId="166" formatCode="0.000"/>
    <numFmt numFmtId="167" formatCode="#,##0\ &quot;€&quot;"/>
    <numFmt numFmtId="168" formatCode="#,##0.00\ &quot;€&quot;"/>
    <numFmt numFmtId="169" formatCode="#,##0.00_ ;[Red]\-#,##0.00\ "/>
    <numFmt numFmtId="170" formatCode="#,##0_ ;[Red]\-#,##0\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307">
    <xf numFmtId="0" fontId="0" fillId="0" borderId="0" xfId="0"/>
    <xf numFmtId="0" fontId="0" fillId="2" borderId="0" xfId="0" applyFill="1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0" fontId="0" fillId="0" borderId="0" xfId="0" applyFill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1" fontId="0" fillId="0" borderId="0" xfId="0" applyNumberFormat="1" applyFill="1"/>
    <xf numFmtId="0" fontId="0" fillId="0" borderId="0" xfId="0" applyFont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0" xfId="0" applyFont="1"/>
    <xf numFmtId="0" fontId="1" fillId="0" borderId="0" xfId="0" applyFont="1" applyFill="1"/>
    <xf numFmtId="1" fontId="0" fillId="2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5" borderId="0" xfId="0" applyFill="1"/>
    <xf numFmtId="0" fontId="0" fillId="6" borderId="0" xfId="0" applyFill="1"/>
    <xf numFmtId="0" fontId="0" fillId="0" borderId="0" xfId="0" applyFill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0" fillId="0" borderId="2" xfId="0" applyBorder="1"/>
    <xf numFmtId="0" fontId="0" fillId="2" borderId="2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7" borderId="0" xfId="0" applyFill="1"/>
    <xf numFmtId="0" fontId="1" fillId="0" borderId="0" xfId="0" applyFont="1" applyAlignment="1">
      <alignment horizontal="left"/>
    </xf>
    <xf numFmtId="0" fontId="9" fillId="0" borderId="0" xfId="0" applyFont="1"/>
    <xf numFmtId="0" fontId="0" fillId="2" borderId="1" xfId="0" applyFill="1" applyBorder="1"/>
    <xf numFmtId="0" fontId="1" fillId="5" borderId="0" xfId="0" applyFont="1" applyFill="1"/>
    <xf numFmtId="0" fontId="0" fillId="8" borderId="0" xfId="0" applyFill="1"/>
    <xf numFmtId="0" fontId="0" fillId="5" borderId="0" xfId="0" applyFont="1" applyFill="1"/>
    <xf numFmtId="0" fontId="0" fillId="0" borderId="0" xfId="0" applyAlignment="1">
      <alignment horizontal="center"/>
    </xf>
    <xf numFmtId="0" fontId="0" fillId="2" borderId="2" xfId="0" applyFill="1" applyBorder="1"/>
    <xf numFmtId="0" fontId="0" fillId="0" borderId="2" xfId="0" applyFont="1" applyBorder="1"/>
    <xf numFmtId="0" fontId="0" fillId="0" borderId="0" xfId="0" applyFill="1" applyBorder="1"/>
    <xf numFmtId="1" fontId="0" fillId="0" borderId="0" xfId="0" applyNumberFormat="1" applyFill="1" applyAlignment="1">
      <alignment horizontal="right"/>
    </xf>
    <xf numFmtId="0" fontId="0" fillId="5" borderId="2" xfId="0" applyFill="1" applyBorder="1"/>
    <xf numFmtId="0" fontId="1" fillId="0" borderId="0" xfId="0" applyFont="1" applyFill="1" applyBorder="1"/>
    <xf numFmtId="0" fontId="1" fillId="5" borderId="0" xfId="0" applyFont="1" applyFill="1" applyBorder="1"/>
    <xf numFmtId="165" fontId="0" fillId="5" borderId="0" xfId="0" applyNumberFormat="1" applyFill="1" applyBorder="1"/>
    <xf numFmtId="0" fontId="0" fillId="0" borderId="0" xfId="0" applyAlignment="1">
      <alignment horizontal="center"/>
    </xf>
    <xf numFmtId="0" fontId="9" fillId="0" borderId="0" xfId="0" applyFont="1" applyFill="1"/>
    <xf numFmtId="0" fontId="0" fillId="2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9" fillId="0" borderId="0" xfId="0" applyFont="1" applyAlignment="1">
      <alignment horizontal="left"/>
    </xf>
    <xf numFmtId="14" fontId="0" fillId="0" borderId="0" xfId="0" applyNumberFormat="1"/>
    <xf numFmtId="14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Protection="1">
      <protection locked="0"/>
    </xf>
    <xf numFmtId="0" fontId="0" fillId="0" borderId="0" xfId="0" quotePrefix="1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>
      <alignment horizontal="center"/>
    </xf>
    <xf numFmtId="0" fontId="1" fillId="0" borderId="0" xfId="0" applyFont="1" applyFill="1" applyAlignment="1" applyProtection="1">
      <alignment horizontal="right"/>
      <protection locked="0"/>
    </xf>
    <xf numFmtId="0" fontId="0" fillId="0" borderId="0" xfId="0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5" borderId="2" xfId="0" applyFont="1" applyFill="1" applyBorder="1"/>
    <xf numFmtId="0" fontId="12" fillId="0" borderId="0" xfId="0" applyFont="1"/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/>
    <xf numFmtId="2" fontId="0" fillId="5" borderId="2" xfId="0" applyNumberFormat="1" applyFill="1" applyBorder="1" applyAlignment="1">
      <alignment horizontal="center"/>
    </xf>
    <xf numFmtId="0" fontId="11" fillId="0" borderId="0" xfId="0" applyFont="1" applyFill="1" applyBorder="1"/>
    <xf numFmtId="0" fontId="0" fillId="4" borderId="2" xfId="0" applyFill="1" applyBorder="1" applyAlignment="1">
      <alignment horizontal="right"/>
    </xf>
    <xf numFmtId="0" fontId="11" fillId="6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0" fillId="0" borderId="6" xfId="0" applyBorder="1"/>
    <xf numFmtId="0" fontId="1" fillId="0" borderId="0" xfId="0" applyFont="1" applyFill="1" applyBorder="1" applyAlignment="1">
      <alignment horizontal="center"/>
    </xf>
    <xf numFmtId="0" fontId="10" fillId="0" borderId="0" xfId="0" applyFont="1" applyBorder="1"/>
    <xf numFmtId="0" fontId="0" fillId="0" borderId="0" xfId="0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8" fillId="0" borderId="3" xfId="0" applyFont="1" applyFill="1" applyBorder="1"/>
    <xf numFmtId="0" fontId="0" fillId="0" borderId="4" xfId="0" applyBorder="1" applyAlignment="1">
      <alignment horizontal="center"/>
    </xf>
    <xf numFmtId="166" fontId="0" fillId="4" borderId="2" xfId="0" applyNumberFormat="1" applyFill="1" applyBorder="1"/>
    <xf numFmtId="166" fontId="0" fillId="4" borderId="2" xfId="0" applyNumberFormat="1" applyFill="1" applyBorder="1" applyAlignment="1">
      <alignment horizontal="center"/>
    </xf>
    <xf numFmtId="166" fontId="0" fillId="4" borderId="2" xfId="0" applyNumberFormat="1" applyFill="1" applyBorder="1" applyAlignment="1">
      <alignment horizontal="left"/>
    </xf>
    <xf numFmtId="2" fontId="0" fillId="4" borderId="2" xfId="0" applyNumberFormat="1" applyFill="1" applyBorder="1" applyAlignment="1">
      <alignment horizontal="left"/>
    </xf>
    <xf numFmtId="1" fontId="0" fillId="4" borderId="2" xfId="0" applyNumberForma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2" fillId="0" borderId="0" xfId="0" applyFont="1" applyFill="1"/>
    <xf numFmtId="0" fontId="0" fillId="0" borderId="1" xfId="0" applyBorder="1"/>
    <xf numFmtId="0" fontId="0" fillId="9" borderId="0" xfId="0" applyFill="1"/>
    <xf numFmtId="0" fontId="0" fillId="5" borderId="1" xfId="0" applyFill="1" applyBorder="1" applyAlignment="1">
      <alignment horizontal="center"/>
    </xf>
    <xf numFmtId="165" fontId="0" fillId="5" borderId="2" xfId="0" applyNumberFormat="1" applyFill="1" applyBorder="1"/>
    <xf numFmtId="0" fontId="0" fillId="0" borderId="0" xfId="0" applyFont="1" applyFill="1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4" fontId="0" fillId="4" borderId="2" xfId="0" applyNumberForma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9" fillId="0" borderId="8" xfId="0" applyFont="1" applyFill="1" applyBorder="1"/>
    <xf numFmtId="0" fontId="1" fillId="0" borderId="0" xfId="0" applyFont="1" applyAlignment="1">
      <alignment horizontal="center" wrapText="1"/>
    </xf>
    <xf numFmtId="1" fontId="0" fillId="0" borderId="0" xfId="0" applyNumberFormat="1" applyAlignment="1">
      <alignment horizontal="center"/>
    </xf>
    <xf numFmtId="165" fontId="0" fillId="0" borderId="0" xfId="0" applyNumberFormat="1" applyFill="1"/>
    <xf numFmtId="165" fontId="0" fillId="0" borderId="0" xfId="0" applyNumberFormat="1"/>
    <xf numFmtId="1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10" borderId="0" xfId="0" applyFill="1" applyAlignment="1">
      <alignment horizontal="left"/>
    </xf>
    <xf numFmtId="0" fontId="1" fillId="10" borderId="0" xfId="0" applyFont="1" applyFill="1"/>
    <xf numFmtId="0" fontId="10" fillId="0" borderId="0" xfId="0" applyFont="1" applyAlignment="1">
      <alignment horizontal="right"/>
    </xf>
    <xf numFmtId="0" fontId="0" fillId="10" borderId="0" xfId="0" applyFill="1"/>
    <xf numFmtId="0" fontId="0" fillId="10" borderId="0" xfId="0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Fill="1"/>
    <xf numFmtId="0" fontId="0" fillId="5" borderId="0" xfId="0" applyFont="1" applyFill="1" applyAlignment="1">
      <alignment horizontal="center"/>
    </xf>
    <xf numFmtId="0" fontId="0" fillId="0" borderId="0" xfId="0" applyFont="1" applyAlignment="1">
      <alignment horizontal="right" inden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right" indent="1"/>
    </xf>
    <xf numFmtId="167" fontId="0" fillId="0" borderId="0" xfId="0" applyNumberFormat="1"/>
    <xf numFmtId="0" fontId="0" fillId="5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0" fillId="11" borderId="0" xfId="0" applyFill="1" applyAlignment="1">
      <alignment horizontal="center"/>
    </xf>
    <xf numFmtId="0" fontId="1" fillId="0" borderId="0" xfId="0" applyFont="1" applyAlignment="1"/>
    <xf numFmtId="0" fontId="0" fillId="5" borderId="0" xfId="0" applyFill="1" applyAlignment="1"/>
    <xf numFmtId="0" fontId="17" fillId="0" borderId="0" xfId="0" applyFont="1"/>
    <xf numFmtId="0" fontId="6" fillId="0" borderId="0" xfId="0" applyFont="1" applyFill="1"/>
    <xf numFmtId="0" fontId="6" fillId="0" borderId="0" xfId="0" applyFont="1"/>
    <xf numFmtId="0" fontId="0" fillId="0" borderId="0" xfId="0" quotePrefix="1"/>
    <xf numFmtId="164" fontId="0" fillId="0" borderId="0" xfId="0" applyNumberFormat="1" applyFill="1"/>
    <xf numFmtId="164" fontId="0" fillId="5" borderId="0" xfId="0" applyNumberFormat="1" applyFill="1" applyAlignment="1">
      <alignment horizontal="center"/>
    </xf>
    <xf numFmtId="0" fontId="0" fillId="0" borderId="0" xfId="0" quotePrefix="1" applyFill="1"/>
    <xf numFmtId="0" fontId="0" fillId="3" borderId="0" xfId="0" applyFill="1"/>
    <xf numFmtId="1" fontId="0" fillId="5" borderId="0" xfId="0" applyNumberFormat="1" applyFill="1"/>
    <xf numFmtId="164" fontId="0" fillId="5" borderId="0" xfId="0" applyNumberFormat="1" applyFill="1"/>
    <xf numFmtId="1" fontId="1" fillId="5" borderId="0" xfId="0" applyNumberFormat="1" applyFont="1" applyFill="1"/>
    <xf numFmtId="0" fontId="1" fillId="5" borderId="0" xfId="0" applyFont="1" applyFill="1" applyAlignment="1">
      <alignment horizontal="right"/>
    </xf>
    <xf numFmtId="0" fontId="8" fillId="3" borderId="0" xfId="0" applyFont="1" applyFill="1"/>
    <xf numFmtId="0" fontId="1" fillId="12" borderId="0" xfId="0" applyFont="1" applyFill="1" applyAlignment="1">
      <alignment horizontal="right"/>
    </xf>
    <xf numFmtId="0" fontId="18" fillId="0" borderId="0" xfId="0" applyFont="1" applyFill="1"/>
    <xf numFmtId="0" fontId="0" fillId="12" borderId="0" xfId="0" applyFill="1"/>
    <xf numFmtId="0" fontId="1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0" fillId="0" borderId="0" xfId="0" applyFont="1" applyFill="1" applyAlignment="1">
      <alignment horizontal="right"/>
    </xf>
    <xf numFmtId="0" fontId="5" fillId="12" borderId="0" xfId="0" applyFont="1" applyFill="1" applyAlignment="1">
      <alignment horizontal="center"/>
    </xf>
    <xf numFmtId="17" fontId="0" fillId="0" borderId="0" xfId="0" applyNumberFormat="1" applyAlignment="1">
      <alignment horizontal="right"/>
    </xf>
    <xf numFmtId="0" fontId="15" fillId="5" borderId="0" xfId="0" applyFont="1" applyFill="1" applyAlignment="1">
      <alignment horizontal="center"/>
    </xf>
    <xf numFmtId="0" fontId="0" fillId="11" borderId="0" xfId="0" applyFill="1"/>
    <xf numFmtId="0" fontId="0" fillId="0" borderId="0" xfId="0" applyFill="1" applyAlignment="1">
      <alignment horizontal="left"/>
    </xf>
    <xf numFmtId="0" fontId="5" fillId="13" borderId="0" xfId="0" applyFont="1" applyFill="1"/>
    <xf numFmtId="0" fontId="5" fillId="13" borderId="0" xfId="0" applyFont="1" applyFill="1" applyAlignment="1">
      <alignment horizontal="right"/>
    </xf>
    <xf numFmtId="0" fontId="7" fillId="13" borderId="0" xfId="0" applyFont="1" applyFill="1"/>
    <xf numFmtId="0" fontId="16" fillId="12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7" fillId="13" borderId="0" xfId="0" applyFont="1" applyFill="1" applyAlignment="1">
      <alignment horizontal="center"/>
    </xf>
    <xf numFmtId="0" fontId="0" fillId="0" borderId="0" xfId="0" applyFont="1"/>
    <xf numFmtId="0" fontId="7" fillId="13" borderId="0" xfId="0" applyFont="1" applyFill="1" applyAlignment="1">
      <alignment horizontal="right"/>
    </xf>
    <xf numFmtId="0" fontId="1" fillId="3" borderId="0" xfId="0" applyFont="1" applyFill="1"/>
    <xf numFmtId="3" fontId="1" fillId="5" borderId="0" xfId="0" applyNumberFormat="1" applyFont="1" applyFill="1" applyAlignment="1">
      <alignment horizontal="center"/>
    </xf>
    <xf numFmtId="3" fontId="1" fillId="12" borderId="0" xfId="0" applyNumberFormat="1" applyFont="1" applyFill="1" applyAlignment="1">
      <alignment horizontal="center"/>
    </xf>
    <xf numFmtId="8" fontId="5" fillId="13" borderId="0" xfId="0" applyNumberFormat="1" applyFont="1" applyFill="1" applyAlignment="1">
      <alignment horizontal="center"/>
    </xf>
    <xf numFmtId="0" fontId="0" fillId="3" borderId="0" xfId="0" applyFont="1" applyFill="1"/>
    <xf numFmtId="0" fontId="0" fillId="12" borderId="0" xfId="0" applyFont="1" applyFill="1"/>
    <xf numFmtId="0" fontId="5" fillId="3" borderId="0" xfId="0" applyFont="1" applyFill="1"/>
    <xf numFmtId="0" fontId="0" fillId="5" borderId="0" xfId="0" applyFill="1" applyBorder="1"/>
    <xf numFmtId="0" fontId="0" fillId="0" borderId="0" xfId="0" applyFont="1" applyFill="1" applyAlignment="1">
      <alignment horizontal="center"/>
    </xf>
    <xf numFmtId="0" fontId="5" fillId="12" borderId="0" xfId="0" applyFont="1" applyFill="1"/>
    <xf numFmtId="0" fontId="7" fillId="12" borderId="0" xfId="0" applyFont="1" applyFill="1" applyAlignment="1">
      <alignment horizontal="center"/>
    </xf>
    <xf numFmtId="0" fontId="19" fillId="0" borderId="0" xfId="0" applyFont="1" applyFill="1"/>
    <xf numFmtId="0" fontId="0" fillId="11" borderId="0" xfId="0" applyFont="1" applyFill="1" applyAlignment="1">
      <alignment horizontal="center"/>
    </xf>
    <xf numFmtId="1" fontId="1" fillId="3" borderId="0" xfId="0" applyNumberFormat="1" applyFont="1" applyFill="1"/>
    <xf numFmtId="0" fontId="5" fillId="5" borderId="0" xfId="0" applyFont="1" applyFill="1" applyAlignment="1">
      <alignment horizontal="center"/>
    </xf>
    <xf numFmtId="0" fontId="4" fillId="0" borderId="0" xfId="0" applyFont="1" applyFill="1"/>
    <xf numFmtId="8" fontId="0" fillId="5" borderId="0" xfId="0" applyNumberFormat="1" applyFill="1"/>
    <xf numFmtId="0" fontId="8" fillId="12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0" fontId="0" fillId="11" borderId="0" xfId="0" applyNumberFormat="1" applyFill="1"/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7" fontId="0" fillId="0" borderId="0" xfId="0" applyNumberFormat="1" applyFill="1" applyAlignment="1"/>
    <xf numFmtId="8" fontId="0" fillId="0" borderId="0" xfId="0" applyNumberFormat="1" applyFill="1" applyAlignment="1"/>
    <xf numFmtId="16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3" fontId="0" fillId="0" borderId="0" xfId="0" applyNumberFormat="1" applyFill="1" applyAlignment="1"/>
    <xf numFmtId="0" fontId="0" fillId="0" borderId="0" xfId="0" quotePrefix="1" applyFill="1" applyAlignment="1">
      <alignment horizontal="center" vertical="center"/>
    </xf>
    <xf numFmtId="0" fontId="0" fillId="0" borderId="0" xfId="0" quotePrefix="1" applyFill="1" applyAlignment="1"/>
    <xf numFmtId="2" fontId="0" fillId="5" borderId="0" xfId="0" applyNumberFormat="1" applyFill="1"/>
    <xf numFmtId="2" fontId="0" fillId="5" borderId="0" xfId="0" applyNumberFormat="1" applyFill="1" applyAlignment="1">
      <alignment horizontal="right"/>
    </xf>
    <xf numFmtId="2" fontId="5" fillId="13" borderId="0" xfId="0" applyNumberFormat="1" applyFont="1" applyFill="1"/>
    <xf numFmtId="2" fontId="0" fillId="5" borderId="0" xfId="0" applyNumberFormat="1" applyFill="1" applyAlignment="1">
      <alignment horizontal="left"/>
    </xf>
    <xf numFmtId="0" fontId="0" fillId="14" borderId="0" xfId="0" applyFill="1" applyAlignment="1">
      <alignment horizontal="center"/>
    </xf>
    <xf numFmtId="0" fontId="0" fillId="14" borderId="0" xfId="0" applyFill="1" applyAlignment="1">
      <alignment horizontal="right"/>
    </xf>
    <xf numFmtId="0" fontId="0" fillId="15" borderId="0" xfId="0" applyFill="1" applyAlignment="1">
      <alignment horizontal="right"/>
    </xf>
    <xf numFmtId="0" fontId="0" fillId="16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16" borderId="0" xfId="0" applyNumberFormat="1" applyFill="1" applyAlignment="1">
      <alignment horizontal="center"/>
    </xf>
    <xf numFmtId="0" fontId="0" fillId="15" borderId="0" xfId="0" applyFill="1" applyAlignment="1">
      <alignment horizontal="center"/>
    </xf>
    <xf numFmtId="166" fontId="0" fillId="16" borderId="0" xfId="0" applyNumberFormat="1" applyFill="1" applyAlignment="1">
      <alignment horizontal="center"/>
    </xf>
    <xf numFmtId="166" fontId="0" fillId="15" borderId="0" xfId="0" applyNumberFormat="1" applyFill="1" applyAlignment="1">
      <alignment horizontal="center"/>
    </xf>
    <xf numFmtId="169" fontId="0" fillId="5" borderId="0" xfId="0" applyNumberFormat="1" applyFill="1" applyAlignment="1">
      <alignment horizontal="center"/>
    </xf>
    <xf numFmtId="164" fontId="0" fillId="15" borderId="0" xfId="0" applyNumberFormat="1" applyFill="1" applyAlignment="1">
      <alignment horizontal="center"/>
    </xf>
    <xf numFmtId="170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1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" fontId="0" fillId="15" borderId="0" xfId="0" applyNumberFormat="1" applyFill="1" applyAlignment="1">
      <alignment horizontal="center"/>
    </xf>
    <xf numFmtId="0" fontId="0" fillId="2" borderId="2" xfId="0" quotePrefix="1" applyFill="1" applyBorder="1" applyAlignment="1">
      <alignment horizontal="center"/>
    </xf>
    <xf numFmtId="164" fontId="21" fillId="0" borderId="1" xfId="0" applyNumberFormat="1" applyFont="1" applyBorder="1" applyAlignment="1">
      <alignment horizontal="center" vertical="center"/>
    </xf>
    <xf numFmtId="164" fontId="9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5" borderId="2" xfId="0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0" fillId="22" borderId="0" xfId="0" applyFill="1"/>
    <xf numFmtId="0" fontId="1" fillId="22" borderId="0" xfId="0" applyFont="1" applyFill="1"/>
    <xf numFmtId="0" fontId="0" fillId="22" borderId="0" xfId="0" applyFill="1" applyAlignment="1">
      <alignment horizontal="center"/>
    </xf>
    <xf numFmtId="0" fontId="0" fillId="22" borderId="0" xfId="0" applyFill="1" applyAlignment="1">
      <alignment horizontal="left"/>
    </xf>
    <xf numFmtId="0" fontId="0" fillId="22" borderId="0" xfId="0" applyFill="1" applyAlignment="1">
      <alignment horizontal="right"/>
    </xf>
    <xf numFmtId="0" fontId="1" fillId="2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6">
    <cellStyle name="Milliers 2" xfId="2"/>
    <cellStyle name="Monétaire 2" xfId="3"/>
    <cellStyle name="Normal" xfId="0" builtinId="0"/>
    <cellStyle name="Normal 2" xfId="5"/>
    <cellStyle name="Normal 3" xfId="1"/>
    <cellStyle name="Pourcentage 2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133350</xdr:colOff>
      <xdr:row>43</xdr:row>
      <xdr:rowOff>38100</xdr:rowOff>
    </xdr:from>
    <xdr:to>
      <xdr:col>28</xdr:col>
      <xdr:colOff>95250</xdr:colOff>
      <xdr:row>47</xdr:row>
      <xdr:rowOff>123825</xdr:rowOff>
    </xdr:to>
    <xdr:sp macro="" textlink="">
      <xdr:nvSpPr>
        <xdr:cNvPr id="2" name="ZoneTexte 1"/>
        <xdr:cNvSpPr txBox="1"/>
      </xdr:nvSpPr>
      <xdr:spPr>
        <a:xfrm>
          <a:off x="10067925" y="8229600"/>
          <a:ext cx="2638425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comentaire pas à jour (toujours 42)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f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eur"/>
      <sheetName val="Anx"/>
      <sheetName val="MEP"/>
      <sheetName val="MEP (2)"/>
      <sheetName val="Cult"/>
      <sheetName val="Conc"/>
      <sheetName val="Trav"/>
      <sheetName val="Eco"/>
      <sheetName val="Protect"/>
      <sheetName val="reserv MEP PP avant 7%"/>
      <sheetName val="mep zone 1 &amp; 2"/>
      <sheetName val="mep zone 3&amp;4&amp;5"/>
      <sheetName val="conso MS"/>
      <sheetName val="reserv mep avant ajust 1 et2"/>
      <sheetName val="reserv mep fromule ajust 1 et 2"/>
    </sheetNames>
    <sheetDataSet>
      <sheetData sheetId="0"/>
      <sheetData sheetId="1">
        <row r="8">
          <cell r="C8">
            <v>0</v>
          </cell>
          <cell r="D8">
            <v>1</v>
          </cell>
          <cell r="E8">
            <v>2</v>
          </cell>
          <cell r="F8">
            <v>3</v>
          </cell>
          <cell r="G8">
            <v>4</v>
          </cell>
          <cell r="H8">
            <v>5</v>
          </cell>
          <cell r="I8">
            <v>6</v>
          </cell>
          <cell r="J8">
            <v>7</v>
          </cell>
          <cell r="K8">
            <v>8</v>
          </cell>
          <cell r="L8">
            <v>9</v>
          </cell>
          <cell r="M8">
            <v>10</v>
          </cell>
          <cell r="N8">
            <v>11</v>
          </cell>
          <cell r="O8">
            <v>12</v>
          </cell>
          <cell r="P8">
            <v>13</v>
          </cell>
          <cell r="Q8">
            <v>14</v>
          </cell>
          <cell r="R8">
            <v>15</v>
          </cell>
          <cell r="S8">
            <v>16</v>
          </cell>
          <cell r="T8">
            <v>17</v>
          </cell>
          <cell r="U8">
            <v>18</v>
          </cell>
          <cell r="V8">
            <v>19</v>
          </cell>
          <cell r="W8">
            <v>20</v>
          </cell>
          <cell r="X8">
            <v>21</v>
          </cell>
          <cell r="Y8">
            <v>22</v>
          </cell>
          <cell r="Z8">
            <v>23</v>
          </cell>
          <cell r="AA8">
            <v>24</v>
          </cell>
          <cell r="AB8">
            <v>25</v>
          </cell>
          <cell r="AC8">
            <v>26</v>
          </cell>
          <cell r="AD8">
            <v>27</v>
          </cell>
          <cell r="AE8">
            <v>28</v>
          </cell>
          <cell r="AF8">
            <v>29</v>
          </cell>
          <cell r="AG8">
            <v>30</v>
          </cell>
          <cell r="AH8">
            <v>31</v>
          </cell>
          <cell r="AI8">
            <v>32</v>
          </cell>
          <cell r="AJ8">
            <v>33</v>
          </cell>
          <cell r="AK8">
            <v>34</v>
          </cell>
          <cell r="AL8">
            <v>35</v>
          </cell>
          <cell r="AM8">
            <v>36</v>
          </cell>
          <cell r="AN8">
            <v>37</v>
          </cell>
          <cell r="AO8">
            <v>38</v>
          </cell>
          <cell r="AP8">
            <v>39</v>
          </cell>
          <cell r="AQ8">
            <v>40</v>
          </cell>
          <cell r="AR8">
            <v>41</v>
          </cell>
          <cell r="AS8">
            <v>42</v>
          </cell>
          <cell r="AT8">
            <v>43</v>
          </cell>
          <cell r="AU8">
            <v>44</v>
          </cell>
          <cell r="AV8">
            <v>45</v>
          </cell>
          <cell r="AW8">
            <v>46</v>
          </cell>
          <cell r="AX8">
            <v>47</v>
          </cell>
          <cell r="AY8">
            <v>48</v>
          </cell>
          <cell r="AZ8">
            <v>49</v>
          </cell>
          <cell r="BA8">
            <v>50</v>
          </cell>
          <cell r="BB8">
            <v>51</v>
          </cell>
          <cell r="BC8">
            <v>52</v>
          </cell>
          <cell r="BD8">
            <v>53</v>
          </cell>
          <cell r="BE8">
            <v>54</v>
          </cell>
          <cell r="BF8">
            <v>55</v>
          </cell>
          <cell r="BG8">
            <v>56</v>
          </cell>
          <cell r="BH8">
            <v>57</v>
          </cell>
          <cell r="BI8">
            <v>58</v>
          </cell>
          <cell r="BJ8">
            <v>59</v>
          </cell>
          <cell r="BK8">
            <v>60</v>
          </cell>
          <cell r="BL8">
            <v>61</v>
          </cell>
          <cell r="BM8">
            <v>62</v>
          </cell>
          <cell r="BN8">
            <v>63</v>
          </cell>
          <cell r="BO8">
            <v>6</v>
          </cell>
          <cell r="BP8">
            <v>4</v>
          </cell>
          <cell r="BQ8">
            <v>5</v>
          </cell>
          <cell r="BR8">
            <v>67</v>
          </cell>
          <cell r="BS8">
            <v>68</v>
          </cell>
          <cell r="BT8">
            <v>69</v>
          </cell>
          <cell r="BU8">
            <v>70</v>
          </cell>
          <cell r="BV8">
            <v>71</v>
          </cell>
          <cell r="BW8">
            <v>72</v>
          </cell>
          <cell r="BX8">
            <v>73</v>
          </cell>
          <cell r="BY8">
            <v>74</v>
          </cell>
          <cell r="BZ8">
            <v>75</v>
          </cell>
          <cell r="CA8">
            <v>76</v>
          </cell>
          <cell r="CB8">
            <v>77</v>
          </cell>
          <cell r="CC8">
            <v>78</v>
          </cell>
          <cell r="CD8">
            <v>79</v>
          </cell>
          <cell r="CE8">
            <v>80</v>
          </cell>
          <cell r="CF8">
            <v>81</v>
          </cell>
          <cell r="CG8">
            <v>82</v>
          </cell>
          <cell r="CH8">
            <v>83</v>
          </cell>
          <cell r="CI8">
            <v>84</v>
          </cell>
          <cell r="CJ8">
            <v>85</v>
          </cell>
          <cell r="CK8">
            <v>86</v>
          </cell>
          <cell r="CL8">
            <v>87</v>
          </cell>
          <cell r="CM8">
            <v>88</v>
          </cell>
          <cell r="CN8">
            <v>89</v>
          </cell>
          <cell r="CO8">
            <v>90</v>
          </cell>
        </row>
        <row r="9">
          <cell r="C9">
            <v>0</v>
          </cell>
          <cell r="D9">
            <v>75.599999999999994</v>
          </cell>
          <cell r="E9">
            <v>75</v>
          </cell>
          <cell r="F9">
            <v>95</v>
          </cell>
          <cell r="G9">
            <v>92</v>
          </cell>
          <cell r="H9">
            <v>84</v>
          </cell>
          <cell r="I9">
            <v>95</v>
          </cell>
          <cell r="J9">
            <v>92</v>
          </cell>
          <cell r="K9">
            <v>95</v>
          </cell>
          <cell r="L9">
            <v>77</v>
          </cell>
          <cell r="M9">
            <v>90</v>
          </cell>
          <cell r="N9">
            <v>90</v>
          </cell>
          <cell r="O9">
            <v>91</v>
          </cell>
          <cell r="P9">
            <v>89</v>
          </cell>
          <cell r="Q9">
            <v>0</v>
          </cell>
          <cell r="R9">
            <v>95</v>
          </cell>
          <cell r="S9">
            <v>92</v>
          </cell>
          <cell r="T9">
            <v>95</v>
          </cell>
          <cell r="U9">
            <v>92</v>
          </cell>
          <cell r="V9">
            <v>92</v>
          </cell>
          <cell r="W9">
            <v>84</v>
          </cell>
          <cell r="X9">
            <v>92</v>
          </cell>
          <cell r="Y9">
            <v>84</v>
          </cell>
          <cell r="Z9">
            <v>89</v>
          </cell>
          <cell r="AA9">
            <v>95</v>
          </cell>
          <cell r="AB9">
            <v>92</v>
          </cell>
          <cell r="AC9">
            <v>95</v>
          </cell>
          <cell r="AD9">
            <v>88.4</v>
          </cell>
          <cell r="AE9">
            <v>91</v>
          </cell>
          <cell r="AF9">
            <v>89</v>
          </cell>
          <cell r="AG9">
            <v>75.599999999999994</v>
          </cell>
          <cell r="AH9">
            <v>95</v>
          </cell>
          <cell r="AI9">
            <v>77</v>
          </cell>
          <cell r="AJ9">
            <v>92</v>
          </cell>
          <cell r="AK9">
            <v>84</v>
          </cell>
          <cell r="AL9">
            <v>80</v>
          </cell>
          <cell r="AM9">
            <v>92</v>
          </cell>
          <cell r="AN9">
            <v>84</v>
          </cell>
          <cell r="AO9">
            <v>80</v>
          </cell>
          <cell r="AP9">
            <v>95</v>
          </cell>
          <cell r="AQ9">
            <v>89</v>
          </cell>
          <cell r="AR9">
            <v>92</v>
          </cell>
          <cell r="AS9">
            <v>84</v>
          </cell>
          <cell r="AT9">
            <v>88.4</v>
          </cell>
          <cell r="AU9">
            <v>88.4</v>
          </cell>
          <cell r="AV9">
            <v>95</v>
          </cell>
          <cell r="AW9">
            <v>75.599999999999994</v>
          </cell>
          <cell r="AX9">
            <v>95</v>
          </cell>
          <cell r="AY9">
            <v>88.4</v>
          </cell>
          <cell r="AZ9">
            <v>95</v>
          </cell>
          <cell r="BA9">
            <v>95</v>
          </cell>
          <cell r="BB9">
            <v>95</v>
          </cell>
          <cell r="BC9">
            <v>90</v>
          </cell>
          <cell r="BD9">
            <v>90</v>
          </cell>
          <cell r="BE9">
            <v>95</v>
          </cell>
          <cell r="BF9">
            <v>95</v>
          </cell>
          <cell r="BG9">
            <v>92</v>
          </cell>
          <cell r="BH9"/>
          <cell r="BI9"/>
          <cell r="BJ9"/>
          <cell r="BK9"/>
          <cell r="BL9"/>
          <cell r="BM9"/>
          <cell r="BN9"/>
          <cell r="BO9">
            <v>95</v>
          </cell>
          <cell r="BP9">
            <v>92</v>
          </cell>
          <cell r="BQ9">
            <v>84</v>
          </cell>
          <cell r="BR9"/>
          <cell r="BS9"/>
          <cell r="BT9"/>
          <cell r="BU9"/>
          <cell r="BV9"/>
          <cell r="BW9"/>
          <cell r="BX9"/>
          <cell r="BY9"/>
          <cell r="BZ9"/>
          <cell r="CA9"/>
          <cell r="CB9"/>
          <cell r="CC9"/>
          <cell r="CD9"/>
          <cell r="CE9"/>
          <cell r="CF9"/>
          <cell r="CG9"/>
          <cell r="CH9"/>
          <cell r="CI9"/>
          <cell r="CJ9"/>
          <cell r="CK9"/>
          <cell r="CL9"/>
          <cell r="CM9"/>
          <cell r="CN9"/>
          <cell r="CO9"/>
        </row>
        <row r="10">
          <cell r="C10">
            <v>0</v>
          </cell>
          <cell r="D10">
            <v>95</v>
          </cell>
          <cell r="E10">
            <v>0</v>
          </cell>
          <cell r="F10">
            <v>100</v>
          </cell>
          <cell r="G10">
            <v>95</v>
          </cell>
          <cell r="H10">
            <v>0</v>
          </cell>
          <cell r="I10">
            <v>95</v>
          </cell>
          <cell r="J10">
            <v>0</v>
          </cell>
          <cell r="K10">
            <v>95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95</v>
          </cell>
          <cell r="S10">
            <v>0</v>
          </cell>
          <cell r="T10">
            <v>95</v>
          </cell>
          <cell r="U10">
            <v>0</v>
          </cell>
          <cell r="V10">
            <v>95</v>
          </cell>
          <cell r="W10">
            <v>0</v>
          </cell>
          <cell r="X10">
            <v>95</v>
          </cell>
          <cell r="Y10">
            <v>0</v>
          </cell>
          <cell r="Z10">
            <v>0</v>
          </cell>
          <cell r="AA10">
            <v>95</v>
          </cell>
          <cell r="AB10">
            <v>0</v>
          </cell>
          <cell r="AC10">
            <v>95</v>
          </cell>
          <cell r="AD10">
            <v>0</v>
          </cell>
          <cell r="AE10">
            <v>0</v>
          </cell>
          <cell r="AF10">
            <v>0</v>
          </cell>
          <cell r="AG10">
            <v>95</v>
          </cell>
          <cell r="AH10">
            <v>95</v>
          </cell>
          <cell r="AI10">
            <v>0</v>
          </cell>
          <cell r="AJ10">
            <v>95</v>
          </cell>
          <cell r="AK10">
            <v>0</v>
          </cell>
          <cell r="AL10">
            <v>0</v>
          </cell>
          <cell r="AM10">
            <v>95</v>
          </cell>
          <cell r="AN10">
            <v>0</v>
          </cell>
          <cell r="AO10">
            <v>0</v>
          </cell>
          <cell r="AP10">
            <v>95</v>
          </cell>
          <cell r="AQ10">
            <v>0</v>
          </cell>
          <cell r="AR10">
            <v>95</v>
          </cell>
          <cell r="AS10">
            <v>0</v>
          </cell>
          <cell r="AT10">
            <v>0</v>
          </cell>
          <cell r="AU10">
            <v>0</v>
          </cell>
          <cell r="AV10">
            <v>95</v>
          </cell>
          <cell r="AW10">
            <v>95</v>
          </cell>
          <cell r="AX10">
            <v>95</v>
          </cell>
          <cell r="AY10">
            <v>0</v>
          </cell>
          <cell r="AZ10">
            <v>100</v>
          </cell>
          <cell r="BA10">
            <v>100</v>
          </cell>
          <cell r="BB10">
            <v>100</v>
          </cell>
          <cell r="BC10">
            <v>0</v>
          </cell>
          <cell r="BD10">
            <v>0</v>
          </cell>
          <cell r="BE10">
            <v>95</v>
          </cell>
          <cell r="BF10">
            <v>95</v>
          </cell>
          <cell r="BG10">
            <v>95</v>
          </cell>
          <cell r="BH10"/>
          <cell r="BI10"/>
          <cell r="BJ10"/>
          <cell r="BK10"/>
          <cell r="BL10"/>
          <cell r="BM10"/>
          <cell r="BN10"/>
          <cell r="BO10">
            <v>95</v>
          </cell>
          <cell r="BP10">
            <v>95</v>
          </cell>
          <cell r="BQ10">
            <v>0</v>
          </cell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/>
          <cell r="CG10"/>
          <cell r="CH10"/>
          <cell r="CI10"/>
          <cell r="CJ10"/>
          <cell r="CK10"/>
          <cell r="CL10"/>
          <cell r="CM10"/>
          <cell r="CN10"/>
          <cell r="CO10"/>
        </row>
        <row r="11">
          <cell r="C11">
            <v>0</v>
          </cell>
          <cell r="D11">
            <v>130</v>
          </cell>
          <cell r="E11">
            <v>100</v>
          </cell>
          <cell r="F11">
            <v>100</v>
          </cell>
          <cell r="G11">
            <v>125</v>
          </cell>
          <cell r="H11">
            <v>100</v>
          </cell>
          <cell r="I11">
            <v>148</v>
          </cell>
          <cell r="J11">
            <v>100</v>
          </cell>
          <cell r="K11">
            <v>138</v>
          </cell>
          <cell r="L11">
            <v>100</v>
          </cell>
          <cell r="M11">
            <v>100</v>
          </cell>
          <cell r="N11">
            <v>100</v>
          </cell>
          <cell r="O11">
            <v>100</v>
          </cell>
          <cell r="P11">
            <v>100</v>
          </cell>
          <cell r="Q11">
            <v>0</v>
          </cell>
          <cell r="R11">
            <v>138</v>
          </cell>
          <cell r="S11">
            <v>100</v>
          </cell>
          <cell r="T11">
            <v>138</v>
          </cell>
          <cell r="U11">
            <v>100</v>
          </cell>
          <cell r="V11">
            <v>132</v>
          </cell>
          <cell r="W11">
            <v>100</v>
          </cell>
          <cell r="X11">
            <v>132</v>
          </cell>
          <cell r="Y11">
            <v>100</v>
          </cell>
          <cell r="Z11">
            <v>100</v>
          </cell>
          <cell r="AA11">
            <v>138</v>
          </cell>
          <cell r="AB11">
            <v>100</v>
          </cell>
          <cell r="AC11">
            <v>148</v>
          </cell>
          <cell r="AD11">
            <v>100</v>
          </cell>
          <cell r="AE11">
            <v>100</v>
          </cell>
          <cell r="AF11">
            <v>100</v>
          </cell>
          <cell r="AG11">
            <v>130</v>
          </cell>
          <cell r="AH11">
            <v>138</v>
          </cell>
          <cell r="AI11">
            <v>100</v>
          </cell>
          <cell r="AJ11">
            <v>132</v>
          </cell>
          <cell r="AK11">
            <v>100</v>
          </cell>
          <cell r="AL11">
            <v>100</v>
          </cell>
          <cell r="AM11">
            <v>132</v>
          </cell>
          <cell r="AN11">
            <v>100</v>
          </cell>
          <cell r="AO11">
            <v>100</v>
          </cell>
          <cell r="AP11">
            <v>138</v>
          </cell>
          <cell r="AQ11">
            <v>100</v>
          </cell>
          <cell r="AR11">
            <v>132</v>
          </cell>
          <cell r="AS11">
            <v>100</v>
          </cell>
          <cell r="AT11">
            <v>100</v>
          </cell>
          <cell r="AU11">
            <v>100</v>
          </cell>
          <cell r="AV11">
            <v>148</v>
          </cell>
          <cell r="AW11">
            <v>130</v>
          </cell>
          <cell r="AX11">
            <v>138</v>
          </cell>
          <cell r="AY11">
            <v>100</v>
          </cell>
          <cell r="AZ11">
            <v>100</v>
          </cell>
          <cell r="BA11">
            <v>100</v>
          </cell>
          <cell r="BB11">
            <v>100</v>
          </cell>
          <cell r="BC11">
            <v>100</v>
          </cell>
          <cell r="BD11">
            <v>100</v>
          </cell>
          <cell r="BE11">
            <v>148</v>
          </cell>
          <cell r="BF11">
            <v>148</v>
          </cell>
          <cell r="BG11">
            <v>125</v>
          </cell>
          <cell r="BH11"/>
          <cell r="BI11"/>
          <cell r="BJ11"/>
          <cell r="BK11"/>
          <cell r="BL11"/>
          <cell r="BM11"/>
          <cell r="BN11"/>
          <cell r="BO11">
            <v>148</v>
          </cell>
          <cell r="BP11">
            <v>125</v>
          </cell>
          <cell r="BQ11">
            <v>100</v>
          </cell>
          <cell r="BR11"/>
          <cell r="BS11"/>
          <cell r="BT11"/>
          <cell r="BU11"/>
          <cell r="BV11"/>
          <cell r="BW11"/>
          <cell r="BX11"/>
          <cell r="BY11"/>
          <cell r="BZ11"/>
          <cell r="CA11"/>
          <cell r="CB11"/>
          <cell r="CC11"/>
          <cell r="CD11"/>
          <cell r="CE11"/>
          <cell r="CF11"/>
          <cell r="CG11"/>
          <cell r="CH11"/>
          <cell r="CI11"/>
          <cell r="CJ11"/>
          <cell r="CK11"/>
          <cell r="CL11"/>
          <cell r="CM11"/>
          <cell r="CN11"/>
          <cell r="CO11"/>
        </row>
        <row r="12">
          <cell r="C12">
            <v>0</v>
          </cell>
          <cell r="D12">
            <v>9.8412698412698418</v>
          </cell>
          <cell r="E12">
            <v>11</v>
          </cell>
          <cell r="F12">
            <v>8</v>
          </cell>
          <cell r="G12">
            <v>20</v>
          </cell>
          <cell r="H12">
            <v>10</v>
          </cell>
          <cell r="I12">
            <v>10.404624277456648</v>
          </cell>
          <cell r="J12">
            <v>4.3478260869565215</v>
          </cell>
          <cell r="K12">
            <v>10.4</v>
          </cell>
          <cell r="L12">
            <v>5.9</v>
          </cell>
          <cell r="M12">
            <v>5</v>
          </cell>
          <cell r="N12">
            <v>6</v>
          </cell>
          <cell r="O12">
            <v>7.3</v>
          </cell>
          <cell r="P12">
            <v>5</v>
          </cell>
          <cell r="Q12">
            <v>0</v>
          </cell>
          <cell r="R12">
            <v>9.6999999999999993</v>
          </cell>
          <cell r="S12">
            <v>4.3</v>
          </cell>
          <cell r="T12">
            <v>9.6999999999999993</v>
          </cell>
          <cell r="U12">
            <v>4.3</v>
          </cell>
          <cell r="V12">
            <v>10</v>
          </cell>
          <cell r="W12">
            <v>5</v>
          </cell>
          <cell r="X12">
            <v>10</v>
          </cell>
          <cell r="Y12">
            <v>5</v>
          </cell>
          <cell r="Z12">
            <v>5</v>
          </cell>
          <cell r="AA12">
            <v>9.6999999999999993</v>
          </cell>
          <cell r="AB12">
            <v>4.3</v>
          </cell>
          <cell r="AC12">
            <v>10.404624277456648</v>
          </cell>
          <cell r="AD12">
            <v>6</v>
          </cell>
          <cell r="AE12">
            <v>7.3</v>
          </cell>
          <cell r="AF12">
            <v>5</v>
          </cell>
          <cell r="AG12">
            <v>9.8412698412698418</v>
          </cell>
          <cell r="AH12">
            <v>10.4</v>
          </cell>
          <cell r="AI12">
            <v>5.9</v>
          </cell>
          <cell r="AJ12">
            <v>10</v>
          </cell>
          <cell r="AK12">
            <v>5</v>
          </cell>
          <cell r="AL12">
            <v>12</v>
          </cell>
          <cell r="AM12">
            <v>10</v>
          </cell>
          <cell r="AN12">
            <v>5</v>
          </cell>
          <cell r="AO12">
            <v>12</v>
          </cell>
          <cell r="AP12">
            <v>10.4</v>
          </cell>
          <cell r="AQ12">
            <v>5</v>
          </cell>
          <cell r="AR12">
            <v>10</v>
          </cell>
          <cell r="AS12">
            <v>5</v>
          </cell>
          <cell r="AT12">
            <v>6</v>
          </cell>
          <cell r="AU12">
            <v>6</v>
          </cell>
          <cell r="AV12">
            <v>10.4</v>
          </cell>
          <cell r="AW12">
            <v>9.8412698412698418</v>
          </cell>
          <cell r="AX12">
            <v>9.6999999999999993</v>
          </cell>
          <cell r="AY12">
            <v>6</v>
          </cell>
          <cell r="AZ12">
            <v>8</v>
          </cell>
          <cell r="BA12">
            <v>8</v>
          </cell>
          <cell r="BB12">
            <v>8</v>
          </cell>
          <cell r="BC12">
            <v>6</v>
          </cell>
          <cell r="BD12">
            <v>6</v>
          </cell>
          <cell r="BE12">
            <v>10.404624277456648</v>
          </cell>
          <cell r="BF12">
            <v>10.404624277456648</v>
          </cell>
          <cell r="BG12">
            <v>20</v>
          </cell>
          <cell r="BH12"/>
          <cell r="BI12"/>
          <cell r="BJ12"/>
          <cell r="BK12"/>
          <cell r="BL12"/>
          <cell r="BM12"/>
          <cell r="BN12"/>
          <cell r="BO12">
            <v>10.404624277456648</v>
          </cell>
          <cell r="BP12">
            <v>20</v>
          </cell>
          <cell r="BQ12">
            <v>10</v>
          </cell>
          <cell r="BR12"/>
          <cell r="BS12"/>
          <cell r="BT12"/>
          <cell r="BU12"/>
          <cell r="BV12"/>
          <cell r="BW12"/>
          <cell r="BX12"/>
          <cell r="BY12"/>
          <cell r="BZ12"/>
          <cell r="CA12"/>
          <cell r="CB12"/>
          <cell r="CC12"/>
          <cell r="CD12"/>
          <cell r="CE12"/>
          <cell r="CF12"/>
          <cell r="CG12"/>
          <cell r="CH12"/>
          <cell r="CI12"/>
          <cell r="CJ12"/>
          <cell r="CK12"/>
          <cell r="CL12"/>
          <cell r="CM12"/>
          <cell r="CN12"/>
          <cell r="CO12"/>
        </row>
        <row r="13">
          <cell r="C13">
            <v>0</v>
          </cell>
          <cell r="D13">
            <v>20</v>
          </cell>
          <cell r="E13">
            <v>17</v>
          </cell>
          <cell r="F13">
            <v>30</v>
          </cell>
          <cell r="G13">
            <v>23</v>
          </cell>
          <cell r="H13">
            <v>24</v>
          </cell>
          <cell r="I13">
            <v>24.054054054054056</v>
          </cell>
          <cell r="J13">
            <v>24</v>
          </cell>
          <cell r="K13">
            <v>20</v>
          </cell>
          <cell r="L13">
            <v>18</v>
          </cell>
          <cell r="M13">
            <v>24</v>
          </cell>
          <cell r="N13">
            <v>15</v>
          </cell>
          <cell r="O13">
            <v>27</v>
          </cell>
          <cell r="P13">
            <v>24</v>
          </cell>
          <cell r="Q13">
            <v>0</v>
          </cell>
          <cell r="R13">
            <v>24.3</v>
          </cell>
          <cell r="S13">
            <v>24</v>
          </cell>
          <cell r="T13">
            <v>24.3</v>
          </cell>
          <cell r="U13">
            <v>24</v>
          </cell>
          <cell r="V13">
            <v>23</v>
          </cell>
          <cell r="W13">
            <v>24</v>
          </cell>
          <cell r="X13">
            <v>23</v>
          </cell>
          <cell r="Y13">
            <v>24</v>
          </cell>
          <cell r="Z13">
            <v>24</v>
          </cell>
          <cell r="AA13">
            <v>24.3</v>
          </cell>
          <cell r="AB13">
            <v>24</v>
          </cell>
          <cell r="AC13">
            <v>24.054054054054056</v>
          </cell>
          <cell r="AD13">
            <v>24</v>
          </cell>
          <cell r="AE13">
            <v>27</v>
          </cell>
          <cell r="AF13">
            <v>24</v>
          </cell>
          <cell r="AG13">
            <v>20</v>
          </cell>
          <cell r="AH13">
            <v>20</v>
          </cell>
          <cell r="AI13">
            <v>18</v>
          </cell>
          <cell r="AJ13">
            <v>23</v>
          </cell>
          <cell r="AK13">
            <v>24</v>
          </cell>
          <cell r="AL13">
            <v>10</v>
          </cell>
          <cell r="AM13">
            <v>23</v>
          </cell>
          <cell r="AN13">
            <v>24</v>
          </cell>
          <cell r="AO13">
            <v>10</v>
          </cell>
          <cell r="AP13">
            <v>20</v>
          </cell>
          <cell r="AQ13">
            <v>24</v>
          </cell>
          <cell r="AR13">
            <v>23</v>
          </cell>
          <cell r="AS13">
            <v>24</v>
          </cell>
          <cell r="AT13">
            <v>24</v>
          </cell>
          <cell r="AU13">
            <v>24</v>
          </cell>
          <cell r="AV13">
            <v>24</v>
          </cell>
          <cell r="AW13">
            <v>20</v>
          </cell>
          <cell r="AX13">
            <v>24.3</v>
          </cell>
          <cell r="AY13">
            <v>15</v>
          </cell>
          <cell r="AZ13">
            <v>30</v>
          </cell>
          <cell r="BA13">
            <v>30</v>
          </cell>
          <cell r="BB13">
            <v>30</v>
          </cell>
          <cell r="BC13">
            <v>15</v>
          </cell>
          <cell r="BD13">
            <v>15</v>
          </cell>
          <cell r="BE13">
            <v>24.054054054054056</v>
          </cell>
          <cell r="BF13">
            <v>24.054054054054056</v>
          </cell>
          <cell r="BG13">
            <v>23</v>
          </cell>
          <cell r="BH13"/>
          <cell r="BI13"/>
          <cell r="BJ13"/>
          <cell r="BK13"/>
          <cell r="BL13"/>
          <cell r="BM13"/>
          <cell r="BN13"/>
          <cell r="BO13">
            <v>24.054054054054056</v>
          </cell>
          <cell r="BP13">
            <v>23</v>
          </cell>
          <cell r="BQ13">
            <v>24</v>
          </cell>
          <cell r="BR13"/>
          <cell r="BS13"/>
          <cell r="BT13"/>
          <cell r="BU13"/>
          <cell r="BV13"/>
          <cell r="BW13"/>
          <cell r="BX13"/>
          <cell r="BY13"/>
          <cell r="BZ13"/>
          <cell r="CA13"/>
          <cell r="CB13"/>
          <cell r="CC13"/>
          <cell r="CD13"/>
          <cell r="CE13"/>
          <cell r="CF13"/>
          <cell r="CG13"/>
          <cell r="CH13"/>
          <cell r="CI13"/>
          <cell r="CJ13"/>
          <cell r="CK13"/>
          <cell r="CL13"/>
          <cell r="CM13"/>
          <cell r="CN13"/>
          <cell r="CO13"/>
        </row>
        <row r="14">
          <cell r="C14">
            <v>0</v>
          </cell>
          <cell r="D14">
            <v>2</v>
          </cell>
          <cell r="E14">
            <v>3</v>
          </cell>
          <cell r="F14">
            <v>2</v>
          </cell>
          <cell r="G14">
            <v>1.2</v>
          </cell>
          <cell r="H14">
            <v>3</v>
          </cell>
          <cell r="I14">
            <v>1.05</v>
          </cell>
          <cell r="J14">
            <v>3</v>
          </cell>
          <cell r="K14">
            <v>1.05</v>
          </cell>
          <cell r="L14">
            <v>3</v>
          </cell>
          <cell r="M14">
            <v>3</v>
          </cell>
          <cell r="N14">
            <v>3</v>
          </cell>
          <cell r="O14">
            <v>3</v>
          </cell>
          <cell r="P14">
            <v>3</v>
          </cell>
          <cell r="Q14">
            <v>0</v>
          </cell>
          <cell r="R14">
            <v>1.05</v>
          </cell>
          <cell r="S14">
            <v>3</v>
          </cell>
          <cell r="T14">
            <v>1.05</v>
          </cell>
          <cell r="U14">
            <v>3</v>
          </cell>
          <cell r="V14">
            <v>1.2</v>
          </cell>
          <cell r="W14">
            <v>3</v>
          </cell>
          <cell r="X14">
            <v>1.2</v>
          </cell>
          <cell r="Y14">
            <v>3</v>
          </cell>
          <cell r="Z14">
            <v>3</v>
          </cell>
          <cell r="AA14">
            <v>1</v>
          </cell>
          <cell r="AB14">
            <v>3</v>
          </cell>
          <cell r="AC14">
            <v>1</v>
          </cell>
          <cell r="AD14">
            <v>3</v>
          </cell>
          <cell r="AE14">
            <v>3</v>
          </cell>
          <cell r="AF14">
            <v>3</v>
          </cell>
          <cell r="AG14">
            <v>2</v>
          </cell>
          <cell r="AH14">
            <v>1.05</v>
          </cell>
          <cell r="AI14">
            <v>3</v>
          </cell>
          <cell r="AJ14">
            <v>2</v>
          </cell>
          <cell r="AK14">
            <v>3</v>
          </cell>
          <cell r="AL14">
            <v>4</v>
          </cell>
          <cell r="AM14">
            <v>1.2</v>
          </cell>
          <cell r="AN14">
            <v>4</v>
          </cell>
          <cell r="AO14">
            <v>4</v>
          </cell>
          <cell r="AP14">
            <v>1.05</v>
          </cell>
          <cell r="AQ14">
            <v>3</v>
          </cell>
          <cell r="AR14">
            <v>1.2</v>
          </cell>
          <cell r="AS14">
            <v>3</v>
          </cell>
          <cell r="AT14">
            <v>3</v>
          </cell>
          <cell r="AU14">
            <v>3</v>
          </cell>
          <cell r="AV14">
            <v>1.05</v>
          </cell>
          <cell r="AW14">
            <v>2</v>
          </cell>
          <cell r="AX14">
            <v>1.05</v>
          </cell>
          <cell r="AY14">
            <v>3</v>
          </cell>
          <cell r="AZ14">
            <v>2</v>
          </cell>
          <cell r="BA14">
            <v>2</v>
          </cell>
          <cell r="BB14">
            <v>2</v>
          </cell>
          <cell r="BC14">
            <v>3</v>
          </cell>
          <cell r="BD14">
            <v>3</v>
          </cell>
          <cell r="BE14">
            <v>1.05</v>
          </cell>
          <cell r="BF14">
            <v>1.05</v>
          </cell>
          <cell r="BG14">
            <v>1.2</v>
          </cell>
          <cell r="BH14"/>
          <cell r="BI14"/>
          <cell r="BJ14"/>
          <cell r="BK14"/>
          <cell r="BL14"/>
          <cell r="BM14"/>
          <cell r="BN14"/>
          <cell r="BO14">
            <v>1.05</v>
          </cell>
          <cell r="BP14">
            <v>1.2</v>
          </cell>
          <cell r="BQ14">
            <v>3</v>
          </cell>
          <cell r="BR14"/>
          <cell r="BS14"/>
          <cell r="BT14"/>
          <cell r="BU14"/>
          <cell r="BV14"/>
          <cell r="BW14"/>
          <cell r="BX14"/>
          <cell r="BY14"/>
          <cell r="BZ14"/>
          <cell r="CA14"/>
          <cell r="CB14"/>
          <cell r="CC14"/>
          <cell r="CD14"/>
          <cell r="CE14"/>
          <cell r="CF14"/>
          <cell r="CG14"/>
          <cell r="CH14"/>
          <cell r="CI14"/>
          <cell r="CJ14"/>
          <cell r="CK14"/>
          <cell r="CL14"/>
          <cell r="CM14"/>
          <cell r="CN14"/>
          <cell r="CO14"/>
        </row>
        <row r="15">
          <cell r="C15">
            <v>0</v>
          </cell>
          <cell r="D15">
            <v>1.875</v>
          </cell>
          <cell r="E15">
            <v>0</v>
          </cell>
          <cell r="F15">
            <v>0</v>
          </cell>
          <cell r="G15">
            <v>2.2999999999999998</v>
          </cell>
          <cell r="H15">
            <v>0</v>
          </cell>
          <cell r="I15">
            <v>1.9</v>
          </cell>
          <cell r="J15">
            <v>0</v>
          </cell>
          <cell r="K15">
            <v>2.1</v>
          </cell>
          <cell r="L15">
            <v>0</v>
          </cell>
          <cell r="M15">
            <v>0</v>
          </cell>
          <cell r="N15">
            <v>3.3</v>
          </cell>
          <cell r="O15">
            <v>2.2000000000000002</v>
          </cell>
          <cell r="P15">
            <v>2.2000000000000002</v>
          </cell>
          <cell r="Q15">
            <v>0</v>
          </cell>
          <cell r="R15">
            <v>1.9</v>
          </cell>
          <cell r="S15">
            <v>0</v>
          </cell>
          <cell r="T15">
            <v>1.9</v>
          </cell>
          <cell r="U15">
            <v>0</v>
          </cell>
          <cell r="V15">
            <v>2.2999999999999998</v>
          </cell>
          <cell r="W15">
            <v>0</v>
          </cell>
          <cell r="X15">
            <v>2.2999999999999998</v>
          </cell>
          <cell r="Y15">
            <v>0</v>
          </cell>
          <cell r="Z15">
            <v>0</v>
          </cell>
          <cell r="AA15">
            <v>1.9</v>
          </cell>
          <cell r="AB15">
            <v>0</v>
          </cell>
          <cell r="AC15">
            <v>1.9</v>
          </cell>
          <cell r="AD15">
            <v>3.3</v>
          </cell>
          <cell r="AE15">
            <v>2.2000000000000002</v>
          </cell>
          <cell r="AF15">
            <v>0</v>
          </cell>
          <cell r="AG15">
            <v>1.875</v>
          </cell>
          <cell r="AH15">
            <v>2.1</v>
          </cell>
          <cell r="AI15">
            <v>0</v>
          </cell>
          <cell r="AJ15">
            <v>2.2999999999999998</v>
          </cell>
          <cell r="AK15">
            <v>0</v>
          </cell>
          <cell r="AL15">
            <v>0</v>
          </cell>
          <cell r="AM15">
            <v>2.2999999999999998</v>
          </cell>
          <cell r="AN15">
            <v>0</v>
          </cell>
          <cell r="AO15">
            <v>5</v>
          </cell>
          <cell r="AP15">
            <v>2.1</v>
          </cell>
          <cell r="AQ15">
            <v>0</v>
          </cell>
          <cell r="AR15">
            <v>2.2999999999999998</v>
          </cell>
          <cell r="AS15">
            <v>0</v>
          </cell>
          <cell r="AT15">
            <v>3.3</v>
          </cell>
          <cell r="AU15">
            <v>3.3</v>
          </cell>
          <cell r="AV15">
            <v>1.9</v>
          </cell>
          <cell r="AW15">
            <v>1.875</v>
          </cell>
          <cell r="AX15">
            <v>1.9</v>
          </cell>
          <cell r="AY15">
            <v>3.3</v>
          </cell>
          <cell r="AZ15">
            <v>0</v>
          </cell>
          <cell r="BA15">
            <v>0</v>
          </cell>
          <cell r="BB15">
            <v>0</v>
          </cell>
          <cell r="BC15">
            <v>3.3</v>
          </cell>
          <cell r="BD15">
            <v>3.3</v>
          </cell>
          <cell r="BE15">
            <v>1.9</v>
          </cell>
          <cell r="BF15">
            <v>1.9</v>
          </cell>
          <cell r="BG15">
            <v>2.2999999999999998</v>
          </cell>
          <cell r="BH15"/>
          <cell r="BI15"/>
          <cell r="BJ15"/>
          <cell r="BK15"/>
          <cell r="BL15"/>
          <cell r="BM15"/>
          <cell r="BN15"/>
          <cell r="BO15">
            <v>1.9</v>
          </cell>
          <cell r="BP15">
            <v>2.2999999999999998</v>
          </cell>
          <cell r="BQ15">
            <v>0</v>
          </cell>
          <cell r="BR15"/>
          <cell r="BS15"/>
          <cell r="BT15"/>
          <cell r="BU15"/>
          <cell r="BV15"/>
          <cell r="BW15"/>
          <cell r="BX15"/>
          <cell r="BY15"/>
          <cell r="BZ15"/>
          <cell r="CA15"/>
          <cell r="CB15"/>
          <cell r="CC15"/>
          <cell r="CD15"/>
          <cell r="CE15"/>
          <cell r="CF15"/>
          <cell r="CG15"/>
          <cell r="CH15"/>
          <cell r="CI15"/>
          <cell r="CJ15"/>
          <cell r="CK15"/>
          <cell r="CL15"/>
          <cell r="CM15"/>
          <cell r="CN15"/>
          <cell r="CO15"/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94.73684210526315</v>
          </cell>
          <cell r="P16">
            <v>0</v>
          </cell>
          <cell r="Q16">
            <v>100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94.73684210526315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/>
          <cell r="BI16"/>
          <cell r="BJ16"/>
          <cell r="BK16"/>
          <cell r="BL16"/>
          <cell r="BM16"/>
          <cell r="BN16"/>
          <cell r="BO16">
            <v>0</v>
          </cell>
          <cell r="BP16">
            <v>0</v>
          </cell>
          <cell r="BQ16">
            <v>0</v>
          </cell>
          <cell r="BR16"/>
          <cell r="BS16"/>
          <cell r="BT16"/>
          <cell r="BU16"/>
          <cell r="BV16"/>
          <cell r="BW16"/>
          <cell r="BX16"/>
          <cell r="BY16"/>
          <cell r="BZ16"/>
          <cell r="CA16"/>
          <cell r="CB16"/>
          <cell r="CC16"/>
          <cell r="CD16"/>
          <cell r="CE16"/>
          <cell r="CF16"/>
          <cell r="CG16"/>
          <cell r="CH16"/>
          <cell r="CI16"/>
          <cell r="CJ16"/>
          <cell r="CK16"/>
          <cell r="CL16"/>
          <cell r="CM16"/>
          <cell r="CN16"/>
          <cell r="CO16"/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</v>
          </cell>
          <cell r="P17">
            <v>75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40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/>
          <cell r="BI17"/>
          <cell r="BJ17"/>
          <cell r="BK17"/>
          <cell r="BL17"/>
          <cell r="BM17"/>
          <cell r="BN17"/>
          <cell r="BO17">
            <v>0</v>
          </cell>
          <cell r="BP17">
            <v>0</v>
          </cell>
          <cell r="BQ17">
            <v>0</v>
          </cell>
          <cell r="BR17"/>
          <cell r="BS17"/>
          <cell r="BT17"/>
          <cell r="BU17"/>
          <cell r="BV17"/>
          <cell r="BW17"/>
          <cell r="BX17"/>
          <cell r="BY17"/>
          <cell r="BZ17"/>
          <cell r="CA17"/>
          <cell r="CB17"/>
          <cell r="CC17"/>
          <cell r="CD17"/>
          <cell r="CE17"/>
          <cell r="CF17"/>
          <cell r="CG17"/>
          <cell r="CH17"/>
          <cell r="CI17"/>
          <cell r="CJ17"/>
          <cell r="CK17"/>
          <cell r="CL17"/>
          <cell r="CM17"/>
          <cell r="CN17"/>
          <cell r="CO17"/>
        </row>
        <row r="18">
          <cell r="C18">
            <v>0</v>
          </cell>
          <cell r="D18">
            <v>0.08</v>
          </cell>
          <cell r="E18">
            <v>0.5</v>
          </cell>
          <cell r="F18">
            <v>0.04</v>
          </cell>
          <cell r="G18">
            <v>0.08</v>
          </cell>
          <cell r="H18">
            <v>0.55000000000000004</v>
          </cell>
          <cell r="I18">
            <v>0.08</v>
          </cell>
          <cell r="J18">
            <v>0.55000000000000004</v>
          </cell>
          <cell r="K18">
            <v>0.08</v>
          </cell>
          <cell r="L18">
            <v>0.55000000000000004</v>
          </cell>
          <cell r="M18">
            <v>0.42</v>
          </cell>
          <cell r="N18">
            <v>0.5</v>
          </cell>
          <cell r="O18">
            <v>1.25</v>
          </cell>
          <cell r="P18">
            <v>0.46</v>
          </cell>
          <cell r="Q18">
            <v>1.25</v>
          </cell>
          <cell r="R18">
            <v>0.08</v>
          </cell>
          <cell r="S18">
            <v>0.55000000000000004</v>
          </cell>
          <cell r="T18">
            <v>0.08</v>
          </cell>
          <cell r="U18">
            <v>0.5</v>
          </cell>
          <cell r="V18">
            <v>0.08</v>
          </cell>
          <cell r="W18">
            <v>0.55000000000000004</v>
          </cell>
          <cell r="X18">
            <v>0.08</v>
          </cell>
          <cell r="Y18">
            <v>0.55000000000000004</v>
          </cell>
          <cell r="Z18">
            <v>0.42</v>
          </cell>
          <cell r="AA18">
            <v>0.08</v>
          </cell>
          <cell r="AB18">
            <v>0.55000000000000004</v>
          </cell>
          <cell r="AC18">
            <v>0.08</v>
          </cell>
          <cell r="AD18">
            <v>0.5</v>
          </cell>
          <cell r="AE18">
            <v>1.25</v>
          </cell>
          <cell r="AF18">
            <v>0.42</v>
          </cell>
          <cell r="AG18">
            <v>0.08</v>
          </cell>
          <cell r="AH18">
            <v>0.08</v>
          </cell>
          <cell r="AI18">
            <v>0.55000000000000004</v>
          </cell>
          <cell r="AJ18">
            <v>0.08</v>
          </cell>
          <cell r="AK18">
            <v>0.55000000000000004</v>
          </cell>
          <cell r="AL18">
            <v>0.67</v>
          </cell>
          <cell r="AM18">
            <v>0.08</v>
          </cell>
          <cell r="AN18">
            <v>0.55000000000000004</v>
          </cell>
          <cell r="AO18">
            <v>0.67</v>
          </cell>
          <cell r="AP18">
            <v>0.08</v>
          </cell>
          <cell r="AQ18">
            <v>0.42</v>
          </cell>
          <cell r="AR18">
            <v>0.08</v>
          </cell>
          <cell r="AS18">
            <v>0.55000000000000004</v>
          </cell>
          <cell r="AT18">
            <v>0.5</v>
          </cell>
          <cell r="AU18">
            <v>0.5</v>
          </cell>
          <cell r="AV18">
            <v>0.08</v>
          </cell>
          <cell r="AW18">
            <v>0.08</v>
          </cell>
          <cell r="AX18">
            <v>0.08</v>
          </cell>
          <cell r="AY18">
            <v>0.5</v>
          </cell>
          <cell r="AZ18">
            <v>0.04</v>
          </cell>
          <cell r="BA18">
            <v>0.04</v>
          </cell>
          <cell r="BB18">
            <v>0.04</v>
          </cell>
          <cell r="BC18">
            <v>0.5</v>
          </cell>
          <cell r="BD18">
            <v>0.5</v>
          </cell>
          <cell r="BE18">
            <v>0.08</v>
          </cell>
          <cell r="BF18">
            <v>0.08</v>
          </cell>
          <cell r="BG18">
            <v>0.08</v>
          </cell>
          <cell r="BH18"/>
          <cell r="BI18"/>
          <cell r="BJ18"/>
          <cell r="BK18"/>
          <cell r="BL18"/>
          <cell r="BM18"/>
          <cell r="BN18"/>
          <cell r="BO18">
            <v>0.08</v>
          </cell>
          <cell r="BP18">
            <v>0.08</v>
          </cell>
          <cell r="BQ18">
            <v>0.55000000000000004</v>
          </cell>
          <cell r="BR18"/>
          <cell r="BS18"/>
          <cell r="BT18"/>
          <cell r="BU18"/>
          <cell r="BV18"/>
          <cell r="BW18"/>
          <cell r="BX18"/>
          <cell r="BY18"/>
          <cell r="BZ18"/>
          <cell r="CA18"/>
          <cell r="CB18"/>
          <cell r="CC18"/>
          <cell r="CD18"/>
          <cell r="CE18"/>
          <cell r="CF18"/>
          <cell r="CG18"/>
          <cell r="CH18"/>
          <cell r="CI18"/>
          <cell r="CJ18"/>
          <cell r="CK18"/>
          <cell r="CL18"/>
          <cell r="CM18"/>
          <cell r="CN18"/>
          <cell r="CO18"/>
        </row>
        <row r="19">
          <cell r="C19">
            <v>0</v>
          </cell>
          <cell r="D19">
            <v>0.08</v>
          </cell>
          <cell r="E19">
            <v>0.5</v>
          </cell>
          <cell r="F19">
            <v>0.04</v>
          </cell>
          <cell r="G19">
            <v>0.08</v>
          </cell>
          <cell r="H19">
            <v>0.55000000000000004</v>
          </cell>
          <cell r="I19">
            <v>0.08</v>
          </cell>
          <cell r="J19">
            <v>0.55000000000000004</v>
          </cell>
          <cell r="K19">
            <v>0.08</v>
          </cell>
          <cell r="L19">
            <v>0.55000000000000004</v>
          </cell>
          <cell r="M19">
            <v>0.33</v>
          </cell>
          <cell r="N19">
            <v>0.57999999999999996</v>
          </cell>
          <cell r="O19">
            <v>2.7</v>
          </cell>
          <cell r="P19">
            <v>2.7</v>
          </cell>
          <cell r="Q19">
            <v>0</v>
          </cell>
          <cell r="R19">
            <v>0.08</v>
          </cell>
          <cell r="S19">
            <v>0.55000000000000004</v>
          </cell>
          <cell r="T19">
            <v>0.08</v>
          </cell>
          <cell r="U19">
            <v>0.5</v>
          </cell>
          <cell r="V19">
            <v>0.08</v>
          </cell>
          <cell r="W19">
            <v>0.55000000000000004</v>
          </cell>
          <cell r="X19">
            <v>0.08</v>
          </cell>
          <cell r="Y19">
            <v>0.55000000000000004</v>
          </cell>
          <cell r="Z19">
            <v>0.33</v>
          </cell>
          <cell r="AA19">
            <v>0.08</v>
          </cell>
          <cell r="AB19">
            <v>0.55000000000000004</v>
          </cell>
          <cell r="AC19">
            <v>0.08</v>
          </cell>
          <cell r="AD19">
            <v>0.57999999999999996</v>
          </cell>
          <cell r="AE19">
            <v>2.7</v>
          </cell>
          <cell r="AF19">
            <v>0.33</v>
          </cell>
          <cell r="AG19">
            <v>0.08</v>
          </cell>
          <cell r="AH19">
            <v>0.08</v>
          </cell>
          <cell r="AI19">
            <v>0.55000000000000004</v>
          </cell>
          <cell r="AJ19">
            <v>0.08</v>
          </cell>
          <cell r="AK19">
            <v>0.55000000000000004</v>
          </cell>
          <cell r="AL19">
            <v>0.67</v>
          </cell>
          <cell r="AM19">
            <v>0.08</v>
          </cell>
          <cell r="AN19">
            <v>0.55000000000000004</v>
          </cell>
          <cell r="AO19">
            <v>0.67</v>
          </cell>
          <cell r="AP19">
            <v>0.08</v>
          </cell>
          <cell r="AQ19">
            <v>0.33</v>
          </cell>
          <cell r="AR19">
            <v>0.08</v>
          </cell>
          <cell r="AS19">
            <v>0.55000000000000004</v>
          </cell>
          <cell r="AT19">
            <v>0.57999999999999996</v>
          </cell>
          <cell r="AU19">
            <v>0.57999999999999996</v>
          </cell>
          <cell r="AV19">
            <v>0.08</v>
          </cell>
          <cell r="AW19">
            <v>0.08</v>
          </cell>
          <cell r="AX19">
            <v>0.08</v>
          </cell>
          <cell r="AY19">
            <v>0.57999999999999996</v>
          </cell>
          <cell r="AZ19">
            <v>0.04</v>
          </cell>
          <cell r="BA19">
            <v>0.04</v>
          </cell>
          <cell r="BB19">
            <v>0.04</v>
          </cell>
          <cell r="BC19">
            <v>0.57999999999999996</v>
          </cell>
          <cell r="BD19">
            <v>0.57999999999999996</v>
          </cell>
          <cell r="BE19">
            <v>0.08</v>
          </cell>
          <cell r="BF19">
            <v>0.08</v>
          </cell>
          <cell r="BG19">
            <v>0.08</v>
          </cell>
          <cell r="BH19"/>
          <cell r="BI19"/>
          <cell r="BJ19"/>
          <cell r="BK19"/>
          <cell r="BL19"/>
          <cell r="BM19"/>
          <cell r="BN19"/>
          <cell r="BO19">
            <v>0.08</v>
          </cell>
          <cell r="BP19">
            <v>0.08</v>
          </cell>
          <cell r="BQ19">
            <v>0.55000000000000004</v>
          </cell>
          <cell r="BR19"/>
          <cell r="BS19"/>
          <cell r="BT19"/>
          <cell r="BU19"/>
          <cell r="BV19"/>
          <cell r="BW19"/>
          <cell r="BX19"/>
          <cell r="BY19"/>
          <cell r="BZ19"/>
          <cell r="CA19"/>
          <cell r="CB19"/>
          <cell r="CC19"/>
          <cell r="CD19"/>
          <cell r="CE19"/>
          <cell r="CF19"/>
          <cell r="CG19"/>
          <cell r="CH19"/>
          <cell r="CI19"/>
          <cell r="CJ19"/>
          <cell r="CK19"/>
          <cell r="CL19"/>
          <cell r="CM19"/>
          <cell r="CN19"/>
          <cell r="CO19"/>
        </row>
        <row r="20">
          <cell r="C20">
            <v>0</v>
          </cell>
          <cell r="D20">
            <v>171</v>
          </cell>
          <cell r="E20">
            <v>0</v>
          </cell>
          <cell r="F20">
            <v>9526</v>
          </cell>
          <cell r="G20">
            <v>152</v>
          </cell>
          <cell r="H20">
            <v>0</v>
          </cell>
          <cell r="I20">
            <v>208</v>
          </cell>
          <cell r="J20">
            <v>0</v>
          </cell>
          <cell r="K20">
            <v>139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240</v>
          </cell>
          <cell r="S20">
            <v>0</v>
          </cell>
          <cell r="T20">
            <v>240</v>
          </cell>
          <cell r="U20">
            <v>0</v>
          </cell>
          <cell r="V20">
            <v>210</v>
          </cell>
          <cell r="W20">
            <v>0</v>
          </cell>
          <cell r="X20">
            <v>210</v>
          </cell>
          <cell r="Y20">
            <v>0</v>
          </cell>
          <cell r="Z20">
            <v>0</v>
          </cell>
          <cell r="AA20">
            <v>240</v>
          </cell>
          <cell r="AB20">
            <v>0</v>
          </cell>
          <cell r="AC20">
            <v>240</v>
          </cell>
          <cell r="AD20">
            <v>0</v>
          </cell>
          <cell r="AE20">
            <v>0</v>
          </cell>
          <cell r="AF20">
            <v>0</v>
          </cell>
          <cell r="AG20">
            <v>180</v>
          </cell>
          <cell r="AH20">
            <v>139</v>
          </cell>
          <cell r="AI20">
            <v>0</v>
          </cell>
          <cell r="AJ20">
            <v>210</v>
          </cell>
          <cell r="AK20">
            <v>0</v>
          </cell>
          <cell r="AL20">
            <v>0</v>
          </cell>
          <cell r="AM20">
            <v>210</v>
          </cell>
          <cell r="AN20">
            <v>0</v>
          </cell>
          <cell r="AO20">
            <v>0</v>
          </cell>
          <cell r="AP20">
            <v>139</v>
          </cell>
          <cell r="AQ20">
            <v>0</v>
          </cell>
          <cell r="AR20">
            <v>210</v>
          </cell>
          <cell r="AS20">
            <v>0</v>
          </cell>
          <cell r="AT20">
            <v>0</v>
          </cell>
          <cell r="AU20">
            <v>0</v>
          </cell>
          <cell r="AV20">
            <v>208</v>
          </cell>
          <cell r="AW20">
            <v>171</v>
          </cell>
          <cell r="AX20">
            <v>240</v>
          </cell>
          <cell r="AY20">
            <v>0</v>
          </cell>
          <cell r="AZ20">
            <v>9526</v>
          </cell>
          <cell r="BA20">
            <v>9526</v>
          </cell>
          <cell r="BB20">
            <v>9526</v>
          </cell>
          <cell r="BC20">
            <v>0</v>
          </cell>
          <cell r="BD20">
            <v>0</v>
          </cell>
          <cell r="BE20">
            <v>208</v>
          </cell>
          <cell r="BF20">
            <v>208</v>
          </cell>
          <cell r="BG20">
            <v>152</v>
          </cell>
          <cell r="BH20"/>
          <cell r="BI20"/>
          <cell r="BJ20"/>
          <cell r="BK20"/>
          <cell r="BL20"/>
          <cell r="BM20"/>
          <cell r="BN20"/>
          <cell r="BO20">
            <v>208</v>
          </cell>
          <cell r="BP20">
            <v>152</v>
          </cell>
          <cell r="BQ20">
            <v>0</v>
          </cell>
          <cell r="BR20"/>
          <cell r="BS20"/>
          <cell r="BT20"/>
          <cell r="BU20"/>
          <cell r="BV20"/>
          <cell r="BW20"/>
          <cell r="BX20"/>
          <cell r="BY20"/>
          <cell r="BZ20"/>
          <cell r="CA20"/>
          <cell r="CB20"/>
          <cell r="CC20"/>
          <cell r="CD20"/>
          <cell r="CE20"/>
          <cell r="CF20"/>
          <cell r="CG20"/>
          <cell r="CH20"/>
          <cell r="CI20"/>
          <cell r="CJ20"/>
          <cell r="CK20"/>
          <cell r="CL20"/>
          <cell r="CM20"/>
          <cell r="CN20"/>
          <cell r="CO20"/>
        </row>
        <row r="21">
          <cell r="C21">
            <v>0</v>
          </cell>
          <cell r="D21">
            <v>4.5999999999999996</v>
          </cell>
          <cell r="E21">
            <v>0</v>
          </cell>
          <cell r="F21">
            <v>0</v>
          </cell>
          <cell r="G21">
            <v>10</v>
          </cell>
          <cell r="H21">
            <v>0</v>
          </cell>
          <cell r="I21">
            <v>4.8648648648648649</v>
          </cell>
          <cell r="J21">
            <v>0</v>
          </cell>
          <cell r="K21">
            <v>5</v>
          </cell>
          <cell r="L21">
            <v>0</v>
          </cell>
          <cell r="M21">
            <v>2.2222222222222223</v>
          </cell>
          <cell r="N21">
            <v>1.6666666666666667</v>
          </cell>
          <cell r="O21">
            <v>0</v>
          </cell>
          <cell r="P21">
            <v>2.2000000000000002</v>
          </cell>
          <cell r="Q21">
            <v>0</v>
          </cell>
          <cell r="R21">
            <v>4.8648648648648649</v>
          </cell>
          <cell r="S21">
            <v>0</v>
          </cell>
          <cell r="T21">
            <v>4.8648648648648649</v>
          </cell>
          <cell r="U21">
            <v>0</v>
          </cell>
          <cell r="V21">
            <v>5</v>
          </cell>
          <cell r="W21">
            <v>0</v>
          </cell>
          <cell r="X21">
            <v>5</v>
          </cell>
          <cell r="Y21">
            <v>0</v>
          </cell>
          <cell r="Z21">
            <v>2.2222222222222223</v>
          </cell>
          <cell r="AA21">
            <v>4.8648648648648649</v>
          </cell>
          <cell r="AB21">
            <v>0</v>
          </cell>
          <cell r="AC21">
            <v>4.8648648648648649</v>
          </cell>
          <cell r="AD21">
            <v>1.6666666666666667</v>
          </cell>
          <cell r="AE21">
            <v>0</v>
          </cell>
          <cell r="AF21">
            <v>2.2222222222222223</v>
          </cell>
          <cell r="AG21">
            <v>4.5999999999999996</v>
          </cell>
          <cell r="AH21">
            <v>5</v>
          </cell>
          <cell r="AI21">
            <v>0</v>
          </cell>
          <cell r="AJ21">
            <v>5</v>
          </cell>
          <cell r="AK21">
            <v>0</v>
          </cell>
          <cell r="AL21">
            <v>0</v>
          </cell>
          <cell r="AM21">
            <v>5</v>
          </cell>
          <cell r="AN21">
            <v>0</v>
          </cell>
          <cell r="AO21">
            <v>0</v>
          </cell>
          <cell r="AP21">
            <v>5</v>
          </cell>
          <cell r="AQ21">
            <v>2.2222222222222223</v>
          </cell>
          <cell r="AR21">
            <v>5</v>
          </cell>
          <cell r="AS21">
            <v>0</v>
          </cell>
          <cell r="AT21">
            <v>1.6666666666666667</v>
          </cell>
          <cell r="AU21">
            <v>1.6666666666666667</v>
          </cell>
          <cell r="AV21">
            <v>4.8648648648648649</v>
          </cell>
          <cell r="AW21">
            <v>4.5999999999999996</v>
          </cell>
          <cell r="AX21">
            <v>4.8648648648648649</v>
          </cell>
          <cell r="AY21">
            <v>1.6666666666666667</v>
          </cell>
          <cell r="AZ21">
            <v>0</v>
          </cell>
          <cell r="BA21">
            <v>0</v>
          </cell>
          <cell r="BB21">
            <v>0</v>
          </cell>
          <cell r="BC21">
            <v>1.6666666666666667</v>
          </cell>
          <cell r="BD21">
            <v>1.6666666666666667</v>
          </cell>
          <cell r="BE21">
            <v>4.8648648648648649</v>
          </cell>
          <cell r="BF21">
            <v>4.8648648648648649</v>
          </cell>
          <cell r="BG21">
            <v>10</v>
          </cell>
          <cell r="BH21"/>
          <cell r="BI21"/>
          <cell r="BJ21"/>
          <cell r="BK21"/>
          <cell r="BL21"/>
          <cell r="BM21"/>
          <cell r="BN21"/>
          <cell r="BO21">
            <v>4.8648648648648649</v>
          </cell>
          <cell r="BP21">
            <v>10</v>
          </cell>
          <cell r="BQ21">
            <v>0</v>
          </cell>
          <cell r="BR21"/>
          <cell r="BS21"/>
          <cell r="BT21"/>
          <cell r="BU21"/>
          <cell r="BV21"/>
          <cell r="BW21"/>
          <cell r="BX21"/>
          <cell r="BY21"/>
          <cell r="BZ21"/>
          <cell r="CA21"/>
          <cell r="CB21"/>
          <cell r="CC21"/>
          <cell r="CD21"/>
          <cell r="CE21"/>
          <cell r="CF21"/>
          <cell r="CG21"/>
          <cell r="CH21"/>
          <cell r="CI21"/>
          <cell r="CJ21"/>
          <cell r="CK21"/>
          <cell r="CL21"/>
          <cell r="CM21"/>
          <cell r="CN21"/>
          <cell r="CO21"/>
        </row>
        <row r="22">
          <cell r="C22">
            <v>0</v>
          </cell>
          <cell r="D22">
            <v>50</v>
          </cell>
          <cell r="E22">
            <v>0</v>
          </cell>
          <cell r="F22">
            <v>0</v>
          </cell>
          <cell r="G22">
            <v>50</v>
          </cell>
          <cell r="H22">
            <v>0</v>
          </cell>
          <cell r="I22">
            <v>50</v>
          </cell>
          <cell r="J22">
            <v>0</v>
          </cell>
          <cell r="K22">
            <v>50</v>
          </cell>
          <cell r="L22">
            <v>0</v>
          </cell>
          <cell r="M22">
            <v>0</v>
          </cell>
          <cell r="N22">
            <v>33.333333333333329</v>
          </cell>
          <cell r="O22">
            <v>33.333333333333329</v>
          </cell>
          <cell r="P22">
            <v>33.333333333333329</v>
          </cell>
          <cell r="Q22">
            <v>0</v>
          </cell>
          <cell r="R22">
            <v>50</v>
          </cell>
          <cell r="S22">
            <v>0</v>
          </cell>
          <cell r="T22">
            <v>50</v>
          </cell>
          <cell r="U22">
            <v>0</v>
          </cell>
          <cell r="V22">
            <v>50</v>
          </cell>
          <cell r="W22">
            <v>0</v>
          </cell>
          <cell r="X22">
            <v>50</v>
          </cell>
          <cell r="Y22">
            <v>0</v>
          </cell>
          <cell r="Z22">
            <v>0</v>
          </cell>
          <cell r="AA22">
            <v>50</v>
          </cell>
          <cell r="AB22">
            <v>0</v>
          </cell>
          <cell r="AC22">
            <v>50</v>
          </cell>
          <cell r="AD22">
            <v>33.333333333333329</v>
          </cell>
          <cell r="AE22">
            <v>33.333333333333329</v>
          </cell>
          <cell r="AF22">
            <v>0</v>
          </cell>
          <cell r="AG22">
            <v>50</v>
          </cell>
          <cell r="AH22">
            <v>50</v>
          </cell>
          <cell r="AI22">
            <v>0</v>
          </cell>
          <cell r="AJ22">
            <v>50</v>
          </cell>
          <cell r="AK22">
            <v>0</v>
          </cell>
          <cell r="AL22">
            <v>25</v>
          </cell>
          <cell r="AM22">
            <v>50</v>
          </cell>
          <cell r="AN22">
            <v>0</v>
          </cell>
          <cell r="AO22">
            <v>25</v>
          </cell>
          <cell r="AP22">
            <v>50</v>
          </cell>
          <cell r="AQ22">
            <v>0</v>
          </cell>
          <cell r="AR22">
            <v>50</v>
          </cell>
          <cell r="AS22">
            <v>0</v>
          </cell>
          <cell r="AT22">
            <v>33.333333333333329</v>
          </cell>
          <cell r="AU22">
            <v>33.333333333333329</v>
          </cell>
          <cell r="AV22">
            <v>50</v>
          </cell>
          <cell r="AW22">
            <v>50</v>
          </cell>
          <cell r="AX22">
            <v>50</v>
          </cell>
          <cell r="AY22">
            <v>33.333333333333329</v>
          </cell>
          <cell r="AZ22">
            <v>0</v>
          </cell>
          <cell r="BA22">
            <v>0</v>
          </cell>
          <cell r="BB22">
            <v>0</v>
          </cell>
          <cell r="BC22">
            <v>33.333333333333329</v>
          </cell>
          <cell r="BD22">
            <v>33.333333333333329</v>
          </cell>
          <cell r="BE22">
            <v>50</v>
          </cell>
          <cell r="BF22">
            <v>50</v>
          </cell>
          <cell r="BG22">
            <v>50</v>
          </cell>
          <cell r="BH22"/>
          <cell r="BI22"/>
          <cell r="BJ22"/>
          <cell r="BK22"/>
          <cell r="BL22"/>
          <cell r="BM22"/>
          <cell r="BN22"/>
          <cell r="BO22">
            <v>50</v>
          </cell>
          <cell r="BP22">
            <v>50</v>
          </cell>
          <cell r="BQ22">
            <v>0</v>
          </cell>
          <cell r="BR22"/>
          <cell r="BS22"/>
          <cell r="BT22"/>
          <cell r="BU22"/>
          <cell r="BV22"/>
          <cell r="BW22"/>
          <cell r="BX22"/>
          <cell r="BY22"/>
          <cell r="BZ22"/>
          <cell r="CA22"/>
          <cell r="CB22"/>
          <cell r="CC22"/>
          <cell r="CD22"/>
          <cell r="CE22"/>
          <cell r="CF22"/>
          <cell r="CG22"/>
          <cell r="CH22"/>
          <cell r="CI22"/>
          <cell r="CJ22"/>
          <cell r="CK22"/>
          <cell r="CL22"/>
          <cell r="CM22"/>
          <cell r="CN22"/>
          <cell r="CO22"/>
        </row>
        <row r="23">
          <cell r="C23">
            <v>0</v>
          </cell>
          <cell r="D23">
            <v>0.13300000000000001</v>
          </cell>
          <cell r="E23">
            <v>0.85</v>
          </cell>
          <cell r="F23">
            <v>1</v>
          </cell>
          <cell r="G23">
            <v>0.14000000000000001</v>
          </cell>
          <cell r="H23">
            <v>0.85</v>
          </cell>
          <cell r="I23">
            <v>0.14000000000000001</v>
          </cell>
          <cell r="J23">
            <v>0.85</v>
          </cell>
          <cell r="K23">
            <v>0.15</v>
          </cell>
          <cell r="L23">
            <v>0.85</v>
          </cell>
          <cell r="M23">
            <v>0.85</v>
          </cell>
          <cell r="N23">
            <v>0.85</v>
          </cell>
          <cell r="O23">
            <v>0.85</v>
          </cell>
          <cell r="P23">
            <v>0.85</v>
          </cell>
          <cell r="Q23">
            <v>0.85</v>
          </cell>
          <cell r="R23">
            <v>0.14000000000000001</v>
          </cell>
          <cell r="S23">
            <v>0.85</v>
          </cell>
          <cell r="T23">
            <v>0.14000000000000001</v>
          </cell>
          <cell r="U23">
            <v>0.85</v>
          </cell>
          <cell r="V23">
            <v>0.14000000000000001</v>
          </cell>
          <cell r="W23">
            <v>0.85</v>
          </cell>
          <cell r="X23">
            <v>0.14000000000000001</v>
          </cell>
          <cell r="Y23">
            <v>0.85</v>
          </cell>
          <cell r="Z23">
            <v>0.85</v>
          </cell>
          <cell r="AA23">
            <v>0.14000000000000001</v>
          </cell>
          <cell r="AB23">
            <v>0.85</v>
          </cell>
          <cell r="AC23">
            <v>0.14000000000000001</v>
          </cell>
          <cell r="AD23">
            <v>0.85</v>
          </cell>
          <cell r="AE23">
            <v>0.85</v>
          </cell>
          <cell r="AF23">
            <v>0.85</v>
          </cell>
          <cell r="AG23">
            <v>0.13300000000000001</v>
          </cell>
          <cell r="AH23">
            <v>0.15</v>
          </cell>
          <cell r="AI23">
            <v>0.85</v>
          </cell>
          <cell r="AJ23">
            <v>0.14000000000000001</v>
          </cell>
          <cell r="AK23">
            <v>0.85</v>
          </cell>
          <cell r="AL23"/>
          <cell r="AM23">
            <v>0.14000000000000001</v>
          </cell>
          <cell r="AN23">
            <v>0.85</v>
          </cell>
          <cell r="AO23"/>
          <cell r="AP23">
            <v>0.15</v>
          </cell>
          <cell r="AQ23">
            <v>0.85</v>
          </cell>
          <cell r="AR23">
            <v>0.14000000000000001</v>
          </cell>
          <cell r="AS23">
            <v>0.85</v>
          </cell>
          <cell r="AT23">
            <v>0.85</v>
          </cell>
          <cell r="AU23">
            <v>0.85</v>
          </cell>
          <cell r="AV23">
            <v>0.14000000000000001</v>
          </cell>
          <cell r="AW23">
            <v>0.13300000000000001</v>
          </cell>
          <cell r="AX23">
            <v>0.14000000000000001</v>
          </cell>
          <cell r="AY23">
            <v>0.85</v>
          </cell>
          <cell r="AZ23">
            <v>1</v>
          </cell>
          <cell r="BA23">
            <v>1</v>
          </cell>
          <cell r="BB23">
            <v>1</v>
          </cell>
          <cell r="BC23">
            <v>0.85</v>
          </cell>
          <cell r="BD23">
            <v>0.85</v>
          </cell>
          <cell r="BE23">
            <v>0.14000000000000001</v>
          </cell>
          <cell r="BF23">
            <v>0.14000000000000001</v>
          </cell>
          <cell r="BG23">
            <v>0.14000000000000001</v>
          </cell>
          <cell r="BH23"/>
          <cell r="BI23"/>
          <cell r="BJ23"/>
          <cell r="BK23"/>
          <cell r="BL23"/>
          <cell r="BM23"/>
          <cell r="BN23"/>
          <cell r="BO23">
            <v>0.14000000000000001</v>
          </cell>
          <cell r="BP23">
            <v>0.14000000000000001</v>
          </cell>
          <cell r="BQ23">
            <v>0.85</v>
          </cell>
          <cell r="BR23"/>
          <cell r="BS23"/>
          <cell r="BT23"/>
          <cell r="BU23"/>
          <cell r="BV23"/>
          <cell r="BW23"/>
          <cell r="BX23"/>
          <cell r="BY23"/>
          <cell r="BZ23"/>
          <cell r="CA23"/>
          <cell r="CB23"/>
          <cell r="CC23"/>
          <cell r="CD23"/>
          <cell r="CE23"/>
          <cell r="CF23"/>
          <cell r="CG23"/>
          <cell r="CH23"/>
          <cell r="CI23"/>
          <cell r="CJ23"/>
          <cell r="CK23"/>
          <cell r="CL23"/>
          <cell r="CM23"/>
          <cell r="CN23"/>
          <cell r="CO23"/>
        </row>
        <row r="24">
          <cell r="C24">
            <v>0</v>
          </cell>
          <cell r="D24">
            <v>2.6600000000000002E-2</v>
          </cell>
          <cell r="E24">
            <v>0.35</v>
          </cell>
          <cell r="F24">
            <v>0.35</v>
          </cell>
          <cell r="G24">
            <v>2.8000000000000004E-2</v>
          </cell>
          <cell r="H24">
            <v>0.35</v>
          </cell>
          <cell r="I24">
            <v>2.8000000000000004E-2</v>
          </cell>
          <cell r="J24">
            <v>0.35</v>
          </cell>
          <cell r="K24">
            <v>0.03</v>
          </cell>
          <cell r="L24">
            <v>0.35</v>
          </cell>
          <cell r="M24">
            <v>0.35</v>
          </cell>
          <cell r="N24">
            <v>0.35</v>
          </cell>
          <cell r="O24">
            <v>0.35</v>
          </cell>
          <cell r="P24">
            <v>0.35</v>
          </cell>
          <cell r="Q24">
            <v>0.35</v>
          </cell>
          <cell r="R24">
            <v>2.8000000000000004E-2</v>
          </cell>
          <cell r="S24">
            <v>0.35</v>
          </cell>
          <cell r="T24">
            <v>2.8000000000000004E-2</v>
          </cell>
          <cell r="U24">
            <v>0.35</v>
          </cell>
          <cell r="V24">
            <v>2.8000000000000004E-2</v>
          </cell>
          <cell r="W24">
            <v>0.35</v>
          </cell>
          <cell r="X24">
            <v>2.8000000000000004E-2</v>
          </cell>
          <cell r="Y24">
            <v>0.35</v>
          </cell>
          <cell r="Z24">
            <v>0.35</v>
          </cell>
          <cell r="AA24">
            <v>2.8000000000000004E-2</v>
          </cell>
          <cell r="AB24">
            <v>0.35</v>
          </cell>
          <cell r="AC24">
            <v>2.8000000000000004E-2</v>
          </cell>
          <cell r="AD24">
            <v>0.35</v>
          </cell>
          <cell r="AE24">
            <v>0.35</v>
          </cell>
          <cell r="AF24">
            <v>0.35</v>
          </cell>
          <cell r="AG24">
            <v>2.6600000000000002E-2</v>
          </cell>
          <cell r="AH24">
            <v>0.03</v>
          </cell>
          <cell r="AI24">
            <v>0.35</v>
          </cell>
          <cell r="AJ24">
            <v>2.8000000000000004E-2</v>
          </cell>
          <cell r="AK24">
            <v>0.35</v>
          </cell>
          <cell r="AL24"/>
          <cell r="AM24">
            <v>2.8000000000000004E-2</v>
          </cell>
          <cell r="AN24">
            <v>0.35</v>
          </cell>
          <cell r="AO24"/>
          <cell r="AP24">
            <v>0.03</v>
          </cell>
          <cell r="AQ24">
            <v>0.35</v>
          </cell>
          <cell r="AR24">
            <v>2.8000000000000004E-2</v>
          </cell>
          <cell r="AS24">
            <v>0.35</v>
          </cell>
          <cell r="AT24">
            <v>0.35</v>
          </cell>
          <cell r="AU24">
            <v>0.35</v>
          </cell>
          <cell r="AV24">
            <v>2.8000000000000004E-2</v>
          </cell>
          <cell r="AW24">
            <v>2.6600000000000002E-2</v>
          </cell>
          <cell r="AX24">
            <v>2.8000000000000004E-2</v>
          </cell>
          <cell r="AY24">
            <v>0.35</v>
          </cell>
          <cell r="AZ24">
            <v>0.35</v>
          </cell>
          <cell r="BA24">
            <v>0.35</v>
          </cell>
          <cell r="BB24">
            <v>0.35</v>
          </cell>
          <cell r="BC24">
            <v>0.35</v>
          </cell>
          <cell r="BD24">
            <v>0.35</v>
          </cell>
          <cell r="BE24">
            <v>2.8000000000000004E-2</v>
          </cell>
          <cell r="BF24">
            <v>2.8000000000000004E-2</v>
          </cell>
          <cell r="BG24">
            <v>2.8000000000000004E-2</v>
          </cell>
          <cell r="BH24"/>
          <cell r="BI24"/>
          <cell r="BJ24"/>
          <cell r="BK24"/>
          <cell r="BL24"/>
          <cell r="BM24"/>
          <cell r="BN24"/>
          <cell r="BO24">
            <v>2.8000000000000004E-2</v>
          </cell>
          <cell r="BP24">
            <v>2.8000000000000004E-2</v>
          </cell>
          <cell r="BQ24">
            <v>0.35</v>
          </cell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</row>
        <row r="25">
          <cell r="C25">
            <v>0</v>
          </cell>
          <cell r="D25">
            <v>0.13300000000000001</v>
          </cell>
          <cell r="E25">
            <v>0.6</v>
          </cell>
          <cell r="F25">
            <v>0.75</v>
          </cell>
          <cell r="G25">
            <v>0.14000000000000001</v>
          </cell>
          <cell r="H25">
            <v>0.6</v>
          </cell>
          <cell r="I25">
            <v>0.14000000000000001</v>
          </cell>
          <cell r="J25">
            <v>0.6</v>
          </cell>
          <cell r="K25">
            <v>0.15</v>
          </cell>
          <cell r="L25">
            <v>0.6</v>
          </cell>
          <cell r="M25">
            <v>0.6</v>
          </cell>
          <cell r="N25">
            <v>0.6</v>
          </cell>
          <cell r="O25">
            <v>0.6</v>
          </cell>
          <cell r="P25">
            <v>0.6</v>
          </cell>
          <cell r="Q25">
            <v>0.6</v>
          </cell>
          <cell r="R25">
            <v>0.14000000000000001</v>
          </cell>
          <cell r="S25">
            <v>0.6</v>
          </cell>
          <cell r="T25">
            <v>0.14000000000000001</v>
          </cell>
          <cell r="U25">
            <v>0.6</v>
          </cell>
          <cell r="V25">
            <v>0.14000000000000001</v>
          </cell>
          <cell r="W25">
            <v>0.6</v>
          </cell>
          <cell r="X25">
            <v>0.14000000000000001</v>
          </cell>
          <cell r="Y25">
            <v>0.6</v>
          </cell>
          <cell r="Z25">
            <v>0.6</v>
          </cell>
          <cell r="AA25">
            <v>0.14000000000000001</v>
          </cell>
          <cell r="AB25">
            <v>0.6</v>
          </cell>
          <cell r="AC25">
            <v>0.14000000000000001</v>
          </cell>
          <cell r="AD25">
            <v>0.6</v>
          </cell>
          <cell r="AE25">
            <v>0.6</v>
          </cell>
          <cell r="AF25">
            <v>0.6</v>
          </cell>
          <cell r="AG25">
            <v>0.13300000000000001</v>
          </cell>
          <cell r="AH25">
            <v>0.15</v>
          </cell>
          <cell r="AI25">
            <v>0.6</v>
          </cell>
          <cell r="AJ25">
            <v>0.14000000000000001</v>
          </cell>
          <cell r="AK25">
            <v>0.6</v>
          </cell>
          <cell r="AL25"/>
          <cell r="AM25">
            <v>0.14000000000000001</v>
          </cell>
          <cell r="AN25">
            <v>0.6</v>
          </cell>
          <cell r="AO25"/>
          <cell r="AP25">
            <v>0.15</v>
          </cell>
          <cell r="AQ25">
            <v>0.6</v>
          </cell>
          <cell r="AR25">
            <v>0.14000000000000001</v>
          </cell>
          <cell r="AS25">
            <v>0.6</v>
          </cell>
          <cell r="AT25">
            <v>0.6</v>
          </cell>
          <cell r="AU25">
            <v>0.6</v>
          </cell>
          <cell r="AV25">
            <v>0.14000000000000001</v>
          </cell>
          <cell r="AW25">
            <v>0.13300000000000001</v>
          </cell>
          <cell r="AX25">
            <v>0.14000000000000001</v>
          </cell>
          <cell r="AY25">
            <v>0.6</v>
          </cell>
          <cell r="AZ25">
            <v>0.75</v>
          </cell>
          <cell r="BA25">
            <v>0.75</v>
          </cell>
          <cell r="BB25">
            <v>0.75</v>
          </cell>
          <cell r="BC25">
            <v>0.6</v>
          </cell>
          <cell r="BD25">
            <v>0.6</v>
          </cell>
          <cell r="BE25">
            <v>0.14000000000000001</v>
          </cell>
          <cell r="BF25">
            <v>0.14000000000000001</v>
          </cell>
          <cell r="BG25">
            <v>0.14000000000000001</v>
          </cell>
          <cell r="BH25"/>
          <cell r="BI25"/>
          <cell r="BJ25"/>
          <cell r="BK25"/>
          <cell r="BL25"/>
          <cell r="BM25"/>
          <cell r="BN25"/>
          <cell r="BO25">
            <v>0.14000000000000001</v>
          </cell>
          <cell r="BP25">
            <v>0.14000000000000001</v>
          </cell>
          <cell r="BQ25">
            <v>0.6</v>
          </cell>
          <cell r="BR25"/>
          <cell r="BS25"/>
          <cell r="BT25"/>
          <cell r="BU25"/>
          <cell r="BV25"/>
          <cell r="BW25"/>
          <cell r="BX25"/>
          <cell r="BY25"/>
          <cell r="BZ25"/>
          <cell r="CA25"/>
          <cell r="CB25"/>
          <cell r="CC25"/>
          <cell r="CD25"/>
          <cell r="CE25"/>
          <cell r="CF25"/>
          <cell r="CG25"/>
          <cell r="CH25"/>
          <cell r="CI25"/>
          <cell r="CJ25"/>
          <cell r="CK25"/>
          <cell r="CL25"/>
          <cell r="CM25"/>
          <cell r="CN25"/>
          <cell r="CO25"/>
        </row>
        <row r="26">
          <cell r="C26">
            <v>0</v>
          </cell>
          <cell r="D26"/>
          <cell r="E26">
            <v>0.8</v>
          </cell>
          <cell r="F26">
            <v>0</v>
          </cell>
          <cell r="G26"/>
          <cell r="H26">
            <v>0.8</v>
          </cell>
          <cell r="I26"/>
          <cell r="J26">
            <v>0.8</v>
          </cell>
          <cell r="K26"/>
          <cell r="L26">
            <v>0.8</v>
          </cell>
          <cell r="M26">
            <v>0.8</v>
          </cell>
          <cell r="N26">
            <v>0.8</v>
          </cell>
          <cell r="O26">
            <v>0.8</v>
          </cell>
          <cell r="P26">
            <v>0.8</v>
          </cell>
          <cell r="Q26">
            <v>0.8</v>
          </cell>
          <cell r="R26"/>
          <cell r="S26">
            <v>0.8</v>
          </cell>
          <cell r="T26"/>
          <cell r="U26">
            <v>0.8</v>
          </cell>
          <cell r="V26"/>
          <cell r="W26">
            <v>0.8</v>
          </cell>
          <cell r="X26"/>
          <cell r="Y26">
            <v>0.8</v>
          </cell>
          <cell r="Z26">
            <v>0.8</v>
          </cell>
          <cell r="AA26"/>
          <cell r="AB26">
            <v>0.8</v>
          </cell>
          <cell r="AC26"/>
          <cell r="AD26">
            <v>0.8</v>
          </cell>
          <cell r="AE26">
            <v>0.8</v>
          </cell>
          <cell r="AF26">
            <v>0.8</v>
          </cell>
          <cell r="AG26"/>
          <cell r="AH26"/>
          <cell r="AI26">
            <v>0.8</v>
          </cell>
          <cell r="AJ26"/>
          <cell r="AK26">
            <v>0.8</v>
          </cell>
          <cell r="AL26"/>
          <cell r="AM26"/>
          <cell r="AN26">
            <v>0.8</v>
          </cell>
          <cell r="AO26"/>
          <cell r="AP26"/>
          <cell r="AQ26">
            <v>0.8</v>
          </cell>
          <cell r="AR26"/>
          <cell r="AS26">
            <v>0.8</v>
          </cell>
          <cell r="AT26">
            <v>0.8</v>
          </cell>
          <cell r="AU26">
            <v>0.8</v>
          </cell>
          <cell r="AV26"/>
          <cell r="AW26"/>
          <cell r="AX26"/>
          <cell r="AY26">
            <v>0.8</v>
          </cell>
          <cell r="AZ26">
            <v>0</v>
          </cell>
          <cell r="BA26">
            <v>0</v>
          </cell>
          <cell r="BB26">
            <v>0</v>
          </cell>
          <cell r="BC26">
            <v>0.8</v>
          </cell>
          <cell r="BD26">
            <v>0.8</v>
          </cell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  <cell r="BO26"/>
          <cell r="BP26"/>
          <cell r="BQ26">
            <v>0.8</v>
          </cell>
          <cell r="BR26"/>
          <cell r="BS26"/>
          <cell r="BT26"/>
          <cell r="BU26"/>
          <cell r="BV26"/>
          <cell r="BW26"/>
          <cell r="BX26"/>
          <cell r="BY26"/>
          <cell r="BZ26"/>
          <cell r="CA26"/>
          <cell r="CB26"/>
          <cell r="CC26"/>
          <cell r="CD26"/>
          <cell r="CE26"/>
          <cell r="CF26"/>
          <cell r="CG26"/>
          <cell r="CH26"/>
          <cell r="CI26"/>
          <cell r="CJ26"/>
          <cell r="CK26"/>
          <cell r="CL26"/>
          <cell r="CM26"/>
          <cell r="CN26"/>
          <cell r="CO26"/>
        </row>
        <row r="27">
          <cell r="C27">
            <v>0</v>
          </cell>
          <cell r="D27"/>
          <cell r="E27">
            <v>0.85</v>
          </cell>
          <cell r="F27">
            <v>0</v>
          </cell>
          <cell r="G27"/>
          <cell r="H27">
            <v>0.85</v>
          </cell>
          <cell r="I27"/>
          <cell r="J27">
            <v>0.85</v>
          </cell>
          <cell r="K27"/>
          <cell r="L27">
            <v>0.85</v>
          </cell>
          <cell r="M27">
            <v>0.85</v>
          </cell>
          <cell r="N27">
            <v>0.85</v>
          </cell>
          <cell r="O27">
            <v>0.85</v>
          </cell>
          <cell r="P27">
            <v>0.85</v>
          </cell>
          <cell r="Q27">
            <v>0.85</v>
          </cell>
          <cell r="R27"/>
          <cell r="S27">
            <v>0.85</v>
          </cell>
          <cell r="T27"/>
          <cell r="U27">
            <v>0.85</v>
          </cell>
          <cell r="V27"/>
          <cell r="W27">
            <v>0.85</v>
          </cell>
          <cell r="X27"/>
          <cell r="Y27">
            <v>0.85</v>
          </cell>
          <cell r="Z27">
            <v>0.85</v>
          </cell>
          <cell r="AA27"/>
          <cell r="AB27">
            <v>0.85</v>
          </cell>
          <cell r="AC27"/>
          <cell r="AD27">
            <v>0.85</v>
          </cell>
          <cell r="AE27">
            <v>0.85</v>
          </cell>
          <cell r="AF27">
            <v>0.85</v>
          </cell>
          <cell r="AG27"/>
          <cell r="AH27"/>
          <cell r="AI27">
            <v>0.85</v>
          </cell>
          <cell r="AJ27"/>
          <cell r="AK27">
            <v>0.85</v>
          </cell>
          <cell r="AL27"/>
          <cell r="AM27"/>
          <cell r="AN27">
            <v>0.85</v>
          </cell>
          <cell r="AO27"/>
          <cell r="AP27"/>
          <cell r="AQ27">
            <v>0.85</v>
          </cell>
          <cell r="AR27"/>
          <cell r="AS27">
            <v>0.85</v>
          </cell>
          <cell r="AT27">
            <v>0.85</v>
          </cell>
          <cell r="AU27">
            <v>0.85</v>
          </cell>
          <cell r="AV27"/>
          <cell r="AW27"/>
          <cell r="AX27"/>
          <cell r="AY27">
            <v>0.85</v>
          </cell>
          <cell r="AZ27">
            <v>0</v>
          </cell>
          <cell r="BA27">
            <v>0</v>
          </cell>
          <cell r="BB27">
            <v>0</v>
          </cell>
          <cell r="BC27">
            <v>0.85</v>
          </cell>
          <cell r="BD27">
            <v>0.85</v>
          </cell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  <cell r="BO27"/>
          <cell r="BP27"/>
          <cell r="BQ27">
            <v>0.85</v>
          </cell>
          <cell r="BR27"/>
          <cell r="BS27"/>
          <cell r="BT27"/>
          <cell r="BU27"/>
          <cell r="BV27"/>
          <cell r="BW27"/>
          <cell r="BX27"/>
          <cell r="BY27"/>
          <cell r="BZ27"/>
          <cell r="CA27"/>
          <cell r="CB27"/>
          <cell r="CC27"/>
          <cell r="CD27"/>
          <cell r="CE27"/>
          <cell r="CF27"/>
          <cell r="CG27"/>
          <cell r="CH27"/>
          <cell r="CI27"/>
          <cell r="CJ27"/>
          <cell r="CK27"/>
          <cell r="CL27"/>
          <cell r="CM27"/>
          <cell r="CN27"/>
          <cell r="CO27"/>
        </row>
        <row r="28">
          <cell r="C28">
            <v>0</v>
          </cell>
          <cell r="D28">
            <v>0.14000000000000001</v>
          </cell>
          <cell r="E28">
            <v>1</v>
          </cell>
          <cell r="F28">
            <v>0</v>
          </cell>
          <cell r="G28">
            <v>0.14000000000000001</v>
          </cell>
          <cell r="H28">
            <v>1</v>
          </cell>
          <cell r="I28">
            <v>0.14000000000000001</v>
          </cell>
          <cell r="J28">
            <v>1</v>
          </cell>
          <cell r="K28">
            <v>0.15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0.14000000000000001</v>
          </cell>
          <cell r="S28">
            <v>1</v>
          </cell>
          <cell r="T28">
            <v>0.14000000000000001</v>
          </cell>
          <cell r="U28">
            <v>1</v>
          </cell>
          <cell r="V28">
            <v>0.14000000000000001</v>
          </cell>
          <cell r="W28">
            <v>1</v>
          </cell>
          <cell r="X28">
            <v>0.14000000000000001</v>
          </cell>
          <cell r="Y28">
            <v>1</v>
          </cell>
          <cell r="Z28">
            <v>1</v>
          </cell>
          <cell r="AA28">
            <v>0.14000000000000001</v>
          </cell>
          <cell r="AB28">
            <v>1</v>
          </cell>
          <cell r="AC28">
            <v>0.14000000000000001</v>
          </cell>
          <cell r="AD28">
            <v>1</v>
          </cell>
          <cell r="AE28">
            <v>1</v>
          </cell>
          <cell r="AF28">
            <v>1</v>
          </cell>
          <cell r="AG28">
            <v>0.14000000000000001</v>
          </cell>
          <cell r="AH28">
            <v>0.15</v>
          </cell>
          <cell r="AI28">
            <v>1</v>
          </cell>
          <cell r="AJ28">
            <v>0.14000000000000001</v>
          </cell>
          <cell r="AK28">
            <v>1</v>
          </cell>
          <cell r="AL28"/>
          <cell r="AM28">
            <v>0.14000000000000001</v>
          </cell>
          <cell r="AN28">
            <v>1</v>
          </cell>
          <cell r="AO28"/>
          <cell r="AP28">
            <v>0.15</v>
          </cell>
          <cell r="AQ28">
            <v>1</v>
          </cell>
          <cell r="AR28">
            <v>0.14000000000000001</v>
          </cell>
          <cell r="AS28">
            <v>1</v>
          </cell>
          <cell r="AT28">
            <v>1</v>
          </cell>
          <cell r="AU28">
            <v>1</v>
          </cell>
          <cell r="AV28">
            <v>0.14000000000000001</v>
          </cell>
          <cell r="AW28">
            <v>0.14000000000000001</v>
          </cell>
          <cell r="AX28">
            <v>0.14000000000000001</v>
          </cell>
          <cell r="AY28">
            <v>1</v>
          </cell>
          <cell r="AZ28">
            <v>0</v>
          </cell>
          <cell r="BA28">
            <v>0</v>
          </cell>
          <cell r="BB28">
            <v>0</v>
          </cell>
          <cell r="BC28">
            <v>1</v>
          </cell>
          <cell r="BD28">
            <v>1</v>
          </cell>
          <cell r="BE28">
            <v>0.14000000000000001</v>
          </cell>
          <cell r="BF28">
            <v>0.14000000000000001</v>
          </cell>
          <cell r="BG28">
            <v>0.14000000000000001</v>
          </cell>
          <cell r="BH28"/>
          <cell r="BI28"/>
          <cell r="BJ28"/>
          <cell r="BK28"/>
          <cell r="BL28"/>
          <cell r="BM28"/>
          <cell r="BN28"/>
          <cell r="BO28">
            <v>0.14000000000000001</v>
          </cell>
          <cell r="BP28">
            <v>0.14000000000000001</v>
          </cell>
          <cell r="BQ28">
            <v>1</v>
          </cell>
          <cell r="BR28"/>
          <cell r="BS28"/>
          <cell r="BT28"/>
          <cell r="BU28"/>
          <cell r="BV28"/>
          <cell r="BW28"/>
          <cell r="BX28"/>
          <cell r="BY28"/>
          <cell r="BZ28"/>
          <cell r="CA28"/>
          <cell r="CB28"/>
          <cell r="CC28"/>
          <cell r="CD28"/>
          <cell r="CE28"/>
          <cell r="CF28"/>
          <cell r="CG28"/>
          <cell r="CH28"/>
          <cell r="CI28"/>
          <cell r="CJ28"/>
          <cell r="CK28"/>
          <cell r="CL28"/>
          <cell r="CM28"/>
          <cell r="CN28"/>
          <cell r="CO28"/>
        </row>
        <row r="29">
          <cell r="C29">
            <v>0</v>
          </cell>
          <cell r="D29"/>
          <cell r="E29"/>
          <cell r="F29">
            <v>0</v>
          </cell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>
            <v>0.65</v>
          </cell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>
            <v>0</v>
          </cell>
          <cell r="BA29">
            <v>0</v>
          </cell>
          <cell r="BB29">
            <v>0</v>
          </cell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  <cell r="BO29"/>
          <cell r="BP29"/>
          <cell r="BQ29"/>
          <cell r="BR29"/>
          <cell r="BS29"/>
          <cell r="BT29"/>
          <cell r="BU29"/>
          <cell r="BV29"/>
          <cell r="BW29"/>
          <cell r="BX29"/>
          <cell r="BY29"/>
          <cell r="BZ29"/>
          <cell r="CA29"/>
          <cell r="CB29"/>
          <cell r="CC29"/>
          <cell r="CD29"/>
          <cell r="CE29"/>
          <cell r="CF29"/>
          <cell r="CG29"/>
          <cell r="CH29"/>
          <cell r="CI29"/>
          <cell r="CJ29"/>
          <cell r="CK29"/>
          <cell r="CL29"/>
          <cell r="CM29"/>
          <cell r="CN29"/>
          <cell r="CO29"/>
        </row>
        <row r="30">
          <cell r="C30">
            <v>0</v>
          </cell>
          <cell r="D30"/>
          <cell r="E30"/>
          <cell r="F30">
            <v>0</v>
          </cell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>
            <v>0</v>
          </cell>
          <cell r="BA30">
            <v>0</v>
          </cell>
          <cell r="BB30">
            <v>0</v>
          </cell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</row>
        <row r="31">
          <cell r="C31">
            <v>0</v>
          </cell>
          <cell r="D31"/>
          <cell r="E31"/>
          <cell r="F31">
            <v>0</v>
          </cell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>
            <v>0</v>
          </cell>
          <cell r="BA31">
            <v>0</v>
          </cell>
          <cell r="BB31">
            <v>0</v>
          </cell>
          <cell r="BC31"/>
          <cell r="BD31"/>
          <cell r="BE31"/>
          <cell r="BF31"/>
          <cell r="BG31"/>
          <cell r="BH31"/>
          <cell r="BI31"/>
          <cell r="BJ31"/>
          <cell r="BK31"/>
          <cell r="BL31"/>
          <cell r="BM31"/>
          <cell r="BN31"/>
          <cell r="BO31"/>
          <cell r="BP31"/>
          <cell r="BQ31"/>
          <cell r="BR31"/>
          <cell r="BS31"/>
          <cell r="BT31"/>
          <cell r="BU31"/>
          <cell r="BV31"/>
          <cell r="BW31"/>
          <cell r="BX31"/>
          <cell r="BY31"/>
          <cell r="BZ31"/>
          <cell r="CA31"/>
          <cell r="CB31"/>
          <cell r="CC31"/>
          <cell r="CD31"/>
          <cell r="CE31"/>
          <cell r="CF31"/>
          <cell r="CG31"/>
          <cell r="CH31"/>
          <cell r="CI31"/>
          <cell r="CJ31"/>
          <cell r="CK31"/>
          <cell r="CL31"/>
          <cell r="CM31"/>
          <cell r="CN31"/>
          <cell r="CO31"/>
        </row>
        <row r="32">
          <cell r="C32">
            <v>0</v>
          </cell>
          <cell r="D32"/>
          <cell r="E32"/>
          <cell r="F32">
            <v>0</v>
          </cell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>
            <v>0</v>
          </cell>
          <cell r="BA32">
            <v>0</v>
          </cell>
          <cell r="BB32">
            <v>0</v>
          </cell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  <cell r="BO32"/>
          <cell r="BP32"/>
          <cell r="BQ32"/>
          <cell r="BR32"/>
          <cell r="BS32"/>
          <cell r="BT32"/>
          <cell r="BU32"/>
          <cell r="BV32"/>
          <cell r="BW32"/>
          <cell r="BX32"/>
          <cell r="BY32"/>
          <cell r="BZ32"/>
          <cell r="CA32"/>
          <cell r="CB32"/>
          <cell r="CC32"/>
          <cell r="CD32"/>
          <cell r="CE32"/>
          <cell r="CF32"/>
          <cell r="CG32"/>
          <cell r="CH32"/>
          <cell r="CI32"/>
          <cell r="CJ32"/>
          <cell r="CK32"/>
          <cell r="CL32"/>
          <cell r="CM32"/>
          <cell r="CN32"/>
          <cell r="CO32"/>
        </row>
        <row r="33">
          <cell r="C33">
            <v>0</v>
          </cell>
          <cell r="D33"/>
          <cell r="E33"/>
          <cell r="F33">
            <v>0</v>
          </cell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>
            <v>0</v>
          </cell>
          <cell r="BA33">
            <v>0</v>
          </cell>
          <cell r="BB33">
            <v>0</v>
          </cell>
          <cell r="BC33"/>
          <cell r="BD33"/>
          <cell r="BE33"/>
          <cell r="BF33"/>
          <cell r="BG33"/>
          <cell r="BH33"/>
          <cell r="BI33"/>
          <cell r="BJ33"/>
          <cell r="BK33"/>
          <cell r="BL33"/>
          <cell r="BM33"/>
          <cell r="BN33"/>
          <cell r="BO33"/>
          <cell r="BP33"/>
          <cell r="BQ33"/>
          <cell r="BR33"/>
          <cell r="BS33"/>
          <cell r="BT33"/>
          <cell r="BU33"/>
          <cell r="BV33"/>
          <cell r="BW33"/>
          <cell r="BX33"/>
          <cell r="BY33"/>
          <cell r="BZ33"/>
          <cell r="CA33"/>
          <cell r="CB33"/>
          <cell r="CC33"/>
          <cell r="CD33"/>
          <cell r="CE33"/>
          <cell r="CF33"/>
          <cell r="CG33"/>
          <cell r="CH33"/>
          <cell r="CI33"/>
          <cell r="CJ33"/>
          <cell r="CK33"/>
          <cell r="CL33"/>
          <cell r="CM33"/>
          <cell r="CN33"/>
          <cell r="CO33"/>
        </row>
        <row r="34">
          <cell r="C34">
            <v>0</v>
          </cell>
          <cell r="D34"/>
          <cell r="E34"/>
          <cell r="F34">
            <v>0</v>
          </cell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>
            <v>0</v>
          </cell>
          <cell r="BA34">
            <v>0</v>
          </cell>
          <cell r="BB34">
            <v>0</v>
          </cell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  <cell r="BO34"/>
          <cell r="BP34"/>
          <cell r="BQ34"/>
          <cell r="BR34"/>
          <cell r="BS34"/>
          <cell r="BT34"/>
          <cell r="BU34"/>
          <cell r="BV34"/>
          <cell r="BW34"/>
          <cell r="BX34"/>
          <cell r="BY34"/>
          <cell r="BZ34"/>
          <cell r="CA34"/>
          <cell r="CB34"/>
          <cell r="CC34"/>
          <cell r="CD34"/>
          <cell r="CE34"/>
          <cell r="CF34"/>
          <cell r="CG34"/>
          <cell r="CH34"/>
          <cell r="CI34"/>
          <cell r="CJ34"/>
          <cell r="CK34"/>
          <cell r="CL34"/>
          <cell r="CM34"/>
          <cell r="CN34"/>
          <cell r="CO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  <cell r="CA35"/>
          <cell r="CB35"/>
          <cell r="CC35"/>
          <cell r="CD35"/>
          <cell r="CE35"/>
          <cell r="CF35"/>
          <cell r="CG35"/>
          <cell r="CH35"/>
          <cell r="CI35"/>
          <cell r="CJ35"/>
          <cell r="CK35"/>
          <cell r="CL35"/>
          <cell r="CM35"/>
          <cell r="CN35"/>
          <cell r="CO35"/>
        </row>
        <row r="36">
          <cell r="C36">
            <v>0</v>
          </cell>
          <cell r="D36">
            <v>1</v>
          </cell>
          <cell r="E36">
            <v>2</v>
          </cell>
          <cell r="F36">
            <v>3</v>
          </cell>
          <cell r="G36">
            <v>4</v>
          </cell>
          <cell r="H36">
            <v>5</v>
          </cell>
          <cell r="I36">
            <v>6</v>
          </cell>
          <cell r="J36">
            <v>7</v>
          </cell>
          <cell r="K36">
            <v>8</v>
          </cell>
          <cell r="L36">
            <v>9</v>
          </cell>
          <cell r="M36">
            <v>10</v>
          </cell>
          <cell r="N36">
            <v>11</v>
          </cell>
          <cell r="O36">
            <v>12</v>
          </cell>
          <cell r="P36">
            <v>13</v>
          </cell>
          <cell r="Q36">
            <v>14</v>
          </cell>
          <cell r="R36">
            <v>15</v>
          </cell>
          <cell r="S36">
            <v>16</v>
          </cell>
          <cell r="T36">
            <v>17</v>
          </cell>
          <cell r="U36">
            <v>18</v>
          </cell>
          <cell r="V36">
            <v>19</v>
          </cell>
          <cell r="W36">
            <v>20</v>
          </cell>
          <cell r="X36">
            <v>21</v>
          </cell>
          <cell r="Y36">
            <v>22</v>
          </cell>
          <cell r="Z36">
            <v>23</v>
          </cell>
          <cell r="AA36">
            <v>24</v>
          </cell>
          <cell r="AB36">
            <v>25</v>
          </cell>
          <cell r="AC36">
            <v>26</v>
          </cell>
          <cell r="AD36">
            <v>27</v>
          </cell>
          <cell r="AE36">
            <v>28</v>
          </cell>
          <cell r="AF36">
            <v>29</v>
          </cell>
          <cell r="AG36">
            <v>30</v>
          </cell>
          <cell r="AH36">
            <v>31</v>
          </cell>
          <cell r="AI36">
            <v>32</v>
          </cell>
          <cell r="AJ36">
            <v>33</v>
          </cell>
          <cell r="AK36">
            <v>34</v>
          </cell>
          <cell r="AL36">
            <v>35</v>
          </cell>
          <cell r="AM36">
            <v>36</v>
          </cell>
          <cell r="AN36">
            <v>37</v>
          </cell>
          <cell r="AO36">
            <v>38</v>
          </cell>
          <cell r="AP36">
            <v>39</v>
          </cell>
          <cell r="AQ36">
            <v>40</v>
          </cell>
          <cell r="AR36">
            <v>41</v>
          </cell>
          <cell r="AS36">
            <v>42</v>
          </cell>
          <cell r="AT36">
            <v>43</v>
          </cell>
          <cell r="AU36">
            <v>44</v>
          </cell>
          <cell r="AV36">
            <v>45</v>
          </cell>
          <cell r="AW36">
            <v>46</v>
          </cell>
          <cell r="AX36">
            <v>47</v>
          </cell>
          <cell r="AY36">
            <v>48</v>
          </cell>
          <cell r="AZ36">
            <v>49</v>
          </cell>
          <cell r="BA36">
            <v>50</v>
          </cell>
          <cell r="BB36">
            <v>51</v>
          </cell>
          <cell r="BC36">
            <v>52</v>
          </cell>
          <cell r="BD36">
            <v>53</v>
          </cell>
          <cell r="BE36">
            <v>54</v>
          </cell>
          <cell r="BF36">
            <v>55</v>
          </cell>
          <cell r="BG36">
            <v>56</v>
          </cell>
          <cell r="BH36">
            <v>57</v>
          </cell>
          <cell r="BI36">
            <v>58</v>
          </cell>
          <cell r="BJ36">
            <v>59</v>
          </cell>
          <cell r="BK36">
            <v>60</v>
          </cell>
          <cell r="BL36">
            <v>61</v>
          </cell>
          <cell r="BM36">
            <v>62</v>
          </cell>
          <cell r="BN36">
            <v>63</v>
          </cell>
          <cell r="BO36">
            <v>6</v>
          </cell>
          <cell r="BP36">
            <v>4</v>
          </cell>
          <cell r="BQ36">
            <v>5</v>
          </cell>
          <cell r="BR36">
            <v>67</v>
          </cell>
          <cell r="BS36">
            <v>68</v>
          </cell>
          <cell r="BT36">
            <v>69</v>
          </cell>
          <cell r="BU36">
            <v>70</v>
          </cell>
          <cell r="BV36">
            <v>71</v>
          </cell>
          <cell r="BW36">
            <v>72</v>
          </cell>
          <cell r="BX36">
            <v>73</v>
          </cell>
          <cell r="BY36">
            <v>74</v>
          </cell>
          <cell r="BZ36">
            <v>75</v>
          </cell>
          <cell r="CA36">
            <v>76</v>
          </cell>
          <cell r="CB36">
            <v>77</v>
          </cell>
          <cell r="CC36">
            <v>78</v>
          </cell>
          <cell r="CD36">
            <v>79</v>
          </cell>
          <cell r="CE36">
            <v>80</v>
          </cell>
          <cell r="CF36">
            <v>81</v>
          </cell>
          <cell r="CG36">
            <v>82</v>
          </cell>
          <cell r="CH36">
            <v>83</v>
          </cell>
          <cell r="CI36">
            <v>84</v>
          </cell>
          <cell r="CJ36">
            <v>85</v>
          </cell>
          <cell r="CK36">
            <v>86</v>
          </cell>
          <cell r="CL36">
            <v>87</v>
          </cell>
          <cell r="CM36">
            <v>88</v>
          </cell>
          <cell r="CN36">
            <v>89</v>
          </cell>
          <cell r="CO36">
            <v>90</v>
          </cell>
        </row>
        <row r="37">
          <cell r="C37">
            <v>0</v>
          </cell>
          <cell r="D37"/>
          <cell r="E37">
            <v>5</v>
          </cell>
          <cell r="F37">
            <v>5</v>
          </cell>
          <cell r="G37">
            <v>4.5</v>
          </cell>
          <cell r="H37">
            <v>5</v>
          </cell>
          <cell r="I37">
            <v>4.5999999999999996</v>
          </cell>
          <cell r="J37">
            <v>5</v>
          </cell>
          <cell r="K37">
            <v>4.5999999999999996</v>
          </cell>
          <cell r="L37">
            <v>5</v>
          </cell>
          <cell r="M37">
            <v>5</v>
          </cell>
          <cell r="N37">
            <v>8.2352941176470598</v>
          </cell>
          <cell r="O37">
            <v>4.7058823529411766</v>
          </cell>
          <cell r="P37">
            <v>8.2352941176470598</v>
          </cell>
          <cell r="Q37">
            <v>3</v>
          </cell>
          <cell r="R37">
            <v>4.5889570552147241</v>
          </cell>
          <cell r="S37">
            <v>5</v>
          </cell>
          <cell r="T37">
            <v>3.4406623735050599</v>
          </cell>
          <cell r="U37">
            <v>5</v>
          </cell>
          <cell r="V37">
            <v>3.1</v>
          </cell>
          <cell r="W37">
            <v>5</v>
          </cell>
          <cell r="X37">
            <v>3.5</v>
          </cell>
          <cell r="Y37">
            <v>5</v>
          </cell>
          <cell r="Z37">
            <v>5</v>
          </cell>
          <cell r="AA37">
            <v>4.8</v>
          </cell>
          <cell r="AB37">
            <v>5</v>
          </cell>
          <cell r="AC37">
            <v>4.8</v>
          </cell>
          <cell r="AD37">
            <v>8.2352941176470598</v>
          </cell>
          <cell r="AE37">
            <v>4.7058823529411766</v>
          </cell>
          <cell r="AF37">
            <v>5</v>
          </cell>
          <cell r="AG37">
            <v>2.2000000000000002</v>
          </cell>
          <cell r="AH37">
            <v>4.5</v>
          </cell>
          <cell r="AI37">
            <v>5</v>
          </cell>
          <cell r="AJ37"/>
          <cell r="AK37">
            <v>5</v>
          </cell>
          <cell r="AL37">
            <v>0</v>
          </cell>
          <cell r="AM37"/>
          <cell r="AN37">
            <v>5</v>
          </cell>
          <cell r="AO37">
            <v>0</v>
          </cell>
          <cell r="AP37">
            <v>4.2892924232936753</v>
          </cell>
          <cell r="AQ37">
            <v>5</v>
          </cell>
          <cell r="AR37">
            <v>3.1</v>
          </cell>
          <cell r="AS37">
            <v>5</v>
          </cell>
          <cell r="AT37">
            <v>8.2352941176470598</v>
          </cell>
          <cell r="AU37">
            <v>8.2352941176470598</v>
          </cell>
          <cell r="AV37">
            <v>4.5</v>
          </cell>
          <cell r="AW37">
            <v>4.5</v>
          </cell>
          <cell r="AX37">
            <v>4.5889570552147241</v>
          </cell>
          <cell r="AY37">
            <v>5</v>
          </cell>
          <cell r="AZ37">
            <v>2.5</v>
          </cell>
          <cell r="BA37">
            <v>3</v>
          </cell>
          <cell r="BB37">
            <v>2.5</v>
          </cell>
          <cell r="BC37">
            <v>8.2352941176470598</v>
          </cell>
          <cell r="BD37">
            <v>8.2352941176470598</v>
          </cell>
          <cell r="BE37">
            <v>4.5999999999999996</v>
          </cell>
          <cell r="BF37">
            <v>4.5999999999999996</v>
          </cell>
          <cell r="BG37">
            <v>5</v>
          </cell>
          <cell r="BH37"/>
          <cell r="BI37"/>
          <cell r="BJ37"/>
          <cell r="BK37"/>
          <cell r="BL37"/>
          <cell r="BM37"/>
          <cell r="BN37"/>
          <cell r="BO37">
            <v>4.5999999999999996</v>
          </cell>
          <cell r="BP37">
            <v>4.5</v>
          </cell>
          <cell r="BQ37">
            <v>5</v>
          </cell>
          <cell r="BR37"/>
          <cell r="BS37"/>
          <cell r="BT37"/>
          <cell r="BU37"/>
          <cell r="BV37"/>
          <cell r="BW37"/>
          <cell r="BX37"/>
          <cell r="BY37"/>
          <cell r="BZ37"/>
          <cell r="CA37"/>
          <cell r="CB37"/>
          <cell r="CC37"/>
          <cell r="CD37"/>
          <cell r="CE37"/>
          <cell r="CF37"/>
          <cell r="CG37"/>
          <cell r="CH37"/>
          <cell r="CI37"/>
          <cell r="CJ37"/>
          <cell r="CK37"/>
          <cell r="CL37"/>
          <cell r="CM37"/>
          <cell r="CN37"/>
          <cell r="CO37"/>
        </row>
        <row r="38">
          <cell r="C38">
            <v>0</v>
          </cell>
          <cell r="D38">
            <v>10.07</v>
          </cell>
          <cell r="E38">
            <v>12.25</v>
          </cell>
          <cell r="F38">
            <v>16.95</v>
          </cell>
          <cell r="G38">
            <v>10.07</v>
          </cell>
          <cell r="H38">
            <v>12.25</v>
          </cell>
          <cell r="I38">
            <v>10.07</v>
          </cell>
          <cell r="J38">
            <v>12.25</v>
          </cell>
          <cell r="K38">
            <v>10.07</v>
          </cell>
          <cell r="L38">
            <v>12.25</v>
          </cell>
          <cell r="M38">
            <v>12.25</v>
          </cell>
          <cell r="N38">
            <v>12.25</v>
          </cell>
          <cell r="O38">
            <v>12.25</v>
          </cell>
          <cell r="P38">
            <v>12.25</v>
          </cell>
          <cell r="Q38">
            <v>0.46153846153846151</v>
          </cell>
          <cell r="R38">
            <v>10.07</v>
          </cell>
          <cell r="S38">
            <v>12.25</v>
          </cell>
          <cell r="T38">
            <v>10.07</v>
          </cell>
          <cell r="U38">
            <v>12.25</v>
          </cell>
          <cell r="V38">
            <v>10.07</v>
          </cell>
          <cell r="W38">
            <v>12.25</v>
          </cell>
          <cell r="X38">
            <v>10.07</v>
          </cell>
          <cell r="Y38">
            <v>12.25</v>
          </cell>
          <cell r="Z38">
            <v>12.25</v>
          </cell>
          <cell r="AA38">
            <v>10.07</v>
          </cell>
          <cell r="AB38">
            <v>12.25</v>
          </cell>
          <cell r="AC38">
            <v>10.07</v>
          </cell>
          <cell r="AD38">
            <v>12.25</v>
          </cell>
          <cell r="AE38">
            <v>12.25</v>
          </cell>
          <cell r="AF38">
            <v>12.25</v>
          </cell>
          <cell r="AG38">
            <v>10.07</v>
          </cell>
          <cell r="AH38">
            <v>10.07</v>
          </cell>
          <cell r="AI38">
            <v>12.25</v>
          </cell>
          <cell r="AJ38">
            <v>10.07</v>
          </cell>
          <cell r="AK38">
            <v>12.25</v>
          </cell>
          <cell r="AL38">
            <v>13</v>
          </cell>
          <cell r="AM38">
            <v>10.07</v>
          </cell>
          <cell r="AN38">
            <v>12.25</v>
          </cell>
          <cell r="AO38">
            <v>13</v>
          </cell>
          <cell r="AP38">
            <v>10.07</v>
          </cell>
          <cell r="AQ38">
            <v>12.25</v>
          </cell>
          <cell r="AR38">
            <v>10.07</v>
          </cell>
          <cell r="AS38">
            <v>12.25</v>
          </cell>
          <cell r="AT38">
            <v>12.25</v>
          </cell>
          <cell r="AU38">
            <v>12.25</v>
          </cell>
          <cell r="AV38">
            <v>10.07</v>
          </cell>
          <cell r="AW38">
            <v>10.07</v>
          </cell>
          <cell r="AX38">
            <v>10.07</v>
          </cell>
          <cell r="AY38">
            <v>12.25</v>
          </cell>
          <cell r="AZ38">
            <v>16.95</v>
          </cell>
          <cell r="BA38">
            <v>16.95</v>
          </cell>
          <cell r="BB38">
            <v>16.95</v>
          </cell>
          <cell r="BC38">
            <v>12.25</v>
          </cell>
          <cell r="BD38">
            <v>12.25</v>
          </cell>
          <cell r="BE38">
            <v>10.07</v>
          </cell>
          <cell r="BF38">
            <v>10.07</v>
          </cell>
          <cell r="BG38">
            <v>10.07</v>
          </cell>
          <cell r="BH38"/>
          <cell r="BI38"/>
          <cell r="BJ38"/>
          <cell r="BK38"/>
          <cell r="BL38"/>
          <cell r="BM38"/>
          <cell r="BN38"/>
          <cell r="BO38">
            <v>10.07</v>
          </cell>
          <cell r="BP38">
            <v>10.07</v>
          </cell>
          <cell r="BQ38">
            <v>12.25</v>
          </cell>
          <cell r="BR38"/>
          <cell r="BS38"/>
          <cell r="BT38"/>
          <cell r="BU38"/>
          <cell r="BV38"/>
          <cell r="BW38"/>
          <cell r="BX38"/>
          <cell r="BY38"/>
          <cell r="BZ38"/>
          <cell r="CA38"/>
          <cell r="CB38"/>
          <cell r="CC38"/>
          <cell r="CD38"/>
          <cell r="CE38"/>
          <cell r="CF38"/>
          <cell r="CG38"/>
          <cell r="CH38"/>
          <cell r="CI38"/>
          <cell r="CJ38"/>
          <cell r="CK38"/>
          <cell r="CL38"/>
          <cell r="CM38"/>
          <cell r="CN38"/>
          <cell r="CO38"/>
        </row>
        <row r="39">
          <cell r="C39">
            <v>0</v>
          </cell>
          <cell r="D39">
            <v>16.190000000000001</v>
          </cell>
          <cell r="E39">
            <v>14</v>
          </cell>
          <cell r="F39"/>
          <cell r="G39">
            <v>16.190000000000001</v>
          </cell>
          <cell r="H39">
            <v>14</v>
          </cell>
          <cell r="I39">
            <v>16.190000000000001</v>
          </cell>
          <cell r="J39">
            <v>14</v>
          </cell>
          <cell r="K39">
            <v>16.190000000000001</v>
          </cell>
          <cell r="L39">
            <v>14</v>
          </cell>
          <cell r="M39">
            <v>14</v>
          </cell>
          <cell r="N39">
            <v>14</v>
          </cell>
          <cell r="O39">
            <v>14</v>
          </cell>
          <cell r="P39">
            <v>14</v>
          </cell>
          <cell r="Q39">
            <v>0</v>
          </cell>
          <cell r="R39">
            <v>16.190000000000001</v>
          </cell>
          <cell r="S39">
            <v>14</v>
          </cell>
          <cell r="T39">
            <v>16.190000000000001</v>
          </cell>
          <cell r="U39">
            <v>14</v>
          </cell>
          <cell r="V39">
            <v>16.190000000000001</v>
          </cell>
          <cell r="W39">
            <v>14</v>
          </cell>
          <cell r="X39">
            <v>16.190000000000001</v>
          </cell>
          <cell r="Y39">
            <v>14</v>
          </cell>
          <cell r="Z39">
            <v>14</v>
          </cell>
          <cell r="AA39">
            <v>16.190000000000001</v>
          </cell>
          <cell r="AB39">
            <v>14</v>
          </cell>
          <cell r="AC39">
            <v>16.190000000000001</v>
          </cell>
          <cell r="AD39">
            <v>14</v>
          </cell>
          <cell r="AE39">
            <v>14</v>
          </cell>
          <cell r="AF39">
            <v>14</v>
          </cell>
          <cell r="AG39">
            <v>16.190000000000001</v>
          </cell>
          <cell r="AH39">
            <v>16.190000000000001</v>
          </cell>
          <cell r="AI39">
            <v>14</v>
          </cell>
          <cell r="AJ39">
            <v>16.190000000000001</v>
          </cell>
          <cell r="AK39">
            <v>14</v>
          </cell>
          <cell r="AL39">
            <v>0</v>
          </cell>
          <cell r="AM39">
            <v>16.190000000000001</v>
          </cell>
          <cell r="AN39">
            <v>14</v>
          </cell>
          <cell r="AO39">
            <v>0</v>
          </cell>
          <cell r="AP39">
            <v>16.190000000000001</v>
          </cell>
          <cell r="AQ39">
            <v>14</v>
          </cell>
          <cell r="AR39">
            <v>16.190000000000001</v>
          </cell>
          <cell r="AS39">
            <v>14</v>
          </cell>
          <cell r="AT39">
            <v>14</v>
          </cell>
          <cell r="AU39">
            <v>14</v>
          </cell>
          <cell r="AV39">
            <v>16.190000000000001</v>
          </cell>
          <cell r="AW39">
            <v>16.190000000000001</v>
          </cell>
          <cell r="AX39">
            <v>16.190000000000001</v>
          </cell>
          <cell r="AY39">
            <v>14</v>
          </cell>
          <cell r="AZ39"/>
          <cell r="BA39"/>
          <cell r="BB39"/>
          <cell r="BC39">
            <v>14</v>
          </cell>
          <cell r="BD39">
            <v>14</v>
          </cell>
          <cell r="BE39">
            <v>16.190000000000001</v>
          </cell>
          <cell r="BF39">
            <v>16.190000000000001</v>
          </cell>
          <cell r="BG39">
            <v>16.190000000000001</v>
          </cell>
          <cell r="BH39"/>
          <cell r="BI39"/>
          <cell r="BJ39"/>
          <cell r="BK39"/>
          <cell r="BL39"/>
          <cell r="BM39"/>
          <cell r="BN39"/>
          <cell r="BO39">
            <v>16.190000000000001</v>
          </cell>
          <cell r="BP39">
            <v>16.190000000000001</v>
          </cell>
          <cell r="BQ39">
            <v>14</v>
          </cell>
          <cell r="BR39"/>
          <cell r="BS39"/>
          <cell r="BT39"/>
          <cell r="BU39"/>
          <cell r="BV39"/>
          <cell r="BW39"/>
          <cell r="BX39"/>
          <cell r="BY39"/>
          <cell r="BZ39"/>
          <cell r="CA39"/>
          <cell r="CB39"/>
          <cell r="CC39"/>
          <cell r="CD39"/>
          <cell r="CE39"/>
          <cell r="CF39"/>
          <cell r="CG39"/>
          <cell r="CH39"/>
          <cell r="CI39"/>
          <cell r="CJ39"/>
          <cell r="CK39"/>
          <cell r="CL39"/>
          <cell r="CM39"/>
          <cell r="CN39"/>
          <cell r="CO39"/>
        </row>
        <row r="40">
          <cell r="C40">
            <v>0</v>
          </cell>
          <cell r="D40">
            <v>7.91</v>
          </cell>
          <cell r="E40">
            <v>11</v>
          </cell>
          <cell r="F40"/>
          <cell r="G40">
            <v>7.91</v>
          </cell>
          <cell r="H40">
            <v>11</v>
          </cell>
          <cell r="I40">
            <v>7.91</v>
          </cell>
          <cell r="J40">
            <v>11</v>
          </cell>
          <cell r="K40">
            <v>7.91</v>
          </cell>
          <cell r="L40">
            <v>11</v>
          </cell>
          <cell r="M40">
            <v>11</v>
          </cell>
          <cell r="N40">
            <v>11</v>
          </cell>
          <cell r="O40">
            <v>11</v>
          </cell>
          <cell r="P40">
            <v>11</v>
          </cell>
          <cell r="Q40">
            <v>0</v>
          </cell>
          <cell r="R40">
            <v>7.91</v>
          </cell>
          <cell r="S40">
            <v>11</v>
          </cell>
          <cell r="T40">
            <v>7.91</v>
          </cell>
          <cell r="U40">
            <v>11</v>
          </cell>
          <cell r="V40">
            <v>7.91</v>
          </cell>
          <cell r="W40">
            <v>11</v>
          </cell>
          <cell r="X40">
            <v>7.91</v>
          </cell>
          <cell r="Y40">
            <v>11</v>
          </cell>
          <cell r="Z40">
            <v>11</v>
          </cell>
          <cell r="AA40">
            <v>7.91</v>
          </cell>
          <cell r="AB40">
            <v>11</v>
          </cell>
          <cell r="AC40">
            <v>7.91</v>
          </cell>
          <cell r="AD40">
            <v>11</v>
          </cell>
          <cell r="AE40">
            <v>11</v>
          </cell>
          <cell r="AF40">
            <v>11</v>
          </cell>
          <cell r="AG40">
            <v>7.91</v>
          </cell>
          <cell r="AH40">
            <v>7.91</v>
          </cell>
          <cell r="AI40">
            <v>11</v>
          </cell>
          <cell r="AJ40">
            <v>7.91</v>
          </cell>
          <cell r="AK40">
            <v>11</v>
          </cell>
          <cell r="AL40">
            <v>0</v>
          </cell>
          <cell r="AM40">
            <v>7.91</v>
          </cell>
          <cell r="AN40">
            <v>11</v>
          </cell>
          <cell r="AO40">
            <v>0</v>
          </cell>
          <cell r="AP40">
            <v>7.91</v>
          </cell>
          <cell r="AQ40">
            <v>11</v>
          </cell>
          <cell r="AR40">
            <v>7.91</v>
          </cell>
          <cell r="AS40">
            <v>11</v>
          </cell>
          <cell r="AT40">
            <v>11</v>
          </cell>
          <cell r="AU40">
            <v>11</v>
          </cell>
          <cell r="AV40">
            <v>7.91</v>
          </cell>
          <cell r="AW40">
            <v>7.91</v>
          </cell>
          <cell r="AX40">
            <v>7.91</v>
          </cell>
          <cell r="AY40">
            <v>11</v>
          </cell>
          <cell r="AZ40"/>
          <cell r="BA40"/>
          <cell r="BB40"/>
          <cell r="BC40">
            <v>11</v>
          </cell>
          <cell r="BD40">
            <v>11</v>
          </cell>
          <cell r="BE40">
            <v>7.91</v>
          </cell>
          <cell r="BF40">
            <v>7.91</v>
          </cell>
          <cell r="BG40">
            <v>7.91</v>
          </cell>
          <cell r="BH40"/>
          <cell r="BI40"/>
          <cell r="BJ40"/>
          <cell r="BK40"/>
          <cell r="BL40"/>
          <cell r="BM40"/>
          <cell r="BN40"/>
          <cell r="BO40">
            <v>7.91</v>
          </cell>
          <cell r="BP40">
            <v>7.91</v>
          </cell>
          <cell r="BQ40">
            <v>11</v>
          </cell>
          <cell r="BR40"/>
          <cell r="BS40"/>
          <cell r="BT40"/>
          <cell r="BU40"/>
          <cell r="BV40"/>
          <cell r="BW40"/>
          <cell r="BX40"/>
          <cell r="BY40"/>
          <cell r="BZ40"/>
          <cell r="CA40"/>
          <cell r="CB40"/>
          <cell r="CC40"/>
          <cell r="CD40"/>
          <cell r="CE40"/>
          <cell r="CF40"/>
          <cell r="CG40"/>
          <cell r="CH40"/>
          <cell r="CI40"/>
          <cell r="CJ40"/>
          <cell r="CK40"/>
          <cell r="CL40"/>
          <cell r="CM40"/>
          <cell r="CN40"/>
          <cell r="CO40"/>
        </row>
        <row r="41">
          <cell r="C41">
            <v>0</v>
          </cell>
          <cell r="D41">
            <v>14.3</v>
          </cell>
          <cell r="E41">
            <v>12.148148148148149</v>
          </cell>
          <cell r="F41"/>
          <cell r="G41">
            <v>14.3</v>
          </cell>
          <cell r="H41">
            <v>12.453333333333333</v>
          </cell>
          <cell r="I41">
            <v>14.3</v>
          </cell>
          <cell r="J41">
            <v>10.58</v>
          </cell>
          <cell r="K41">
            <v>14.3</v>
          </cell>
          <cell r="L41">
            <v>13</v>
          </cell>
          <cell r="M41">
            <v>10.8</v>
          </cell>
          <cell r="N41">
            <v>10</v>
          </cell>
          <cell r="O41">
            <v>13</v>
          </cell>
          <cell r="P41">
            <v>13</v>
          </cell>
          <cell r="Q41">
            <v>0</v>
          </cell>
          <cell r="R41">
            <v>14.3</v>
          </cell>
          <cell r="S41">
            <v>10.58</v>
          </cell>
          <cell r="T41">
            <v>14.3</v>
          </cell>
          <cell r="U41">
            <v>10.58</v>
          </cell>
          <cell r="V41">
            <v>14.3</v>
          </cell>
          <cell r="W41">
            <v>12.453333333333333</v>
          </cell>
          <cell r="X41">
            <v>14.3</v>
          </cell>
          <cell r="Y41">
            <v>12.453333333333333</v>
          </cell>
          <cell r="Z41">
            <v>10.8</v>
          </cell>
          <cell r="AA41">
            <v>14.3</v>
          </cell>
          <cell r="AB41">
            <v>10.58</v>
          </cell>
          <cell r="AC41">
            <v>14.3</v>
          </cell>
          <cell r="AD41">
            <v>10</v>
          </cell>
          <cell r="AE41">
            <v>13</v>
          </cell>
          <cell r="AF41">
            <v>10.8</v>
          </cell>
          <cell r="AG41">
            <v>14.3</v>
          </cell>
          <cell r="AH41">
            <v>14.3</v>
          </cell>
          <cell r="AI41">
            <v>10.8</v>
          </cell>
          <cell r="AJ41">
            <v>14.3</v>
          </cell>
          <cell r="AK41">
            <v>12.453333333333333</v>
          </cell>
          <cell r="AL41">
            <v>0</v>
          </cell>
          <cell r="AM41">
            <v>14.3</v>
          </cell>
          <cell r="AN41">
            <v>12.453333333333333</v>
          </cell>
          <cell r="AO41">
            <v>0</v>
          </cell>
          <cell r="AP41">
            <v>14.3</v>
          </cell>
          <cell r="AQ41">
            <v>10.8</v>
          </cell>
          <cell r="AR41">
            <v>14.3</v>
          </cell>
          <cell r="AS41">
            <v>12.453333333333333</v>
          </cell>
          <cell r="AT41">
            <v>10</v>
          </cell>
          <cell r="AU41">
            <v>10</v>
          </cell>
          <cell r="AV41">
            <v>14.3</v>
          </cell>
          <cell r="AW41">
            <v>14.3</v>
          </cell>
          <cell r="AX41">
            <v>14.3</v>
          </cell>
          <cell r="AY41">
            <v>10</v>
          </cell>
          <cell r="AZ41"/>
          <cell r="BA41"/>
          <cell r="BB41"/>
          <cell r="BC41">
            <v>10</v>
          </cell>
          <cell r="BD41">
            <v>10</v>
          </cell>
          <cell r="BE41">
            <v>14.3</v>
          </cell>
          <cell r="BF41">
            <v>14.3</v>
          </cell>
          <cell r="BG41">
            <v>14.3</v>
          </cell>
          <cell r="BH41"/>
          <cell r="BI41"/>
          <cell r="BJ41"/>
          <cell r="BK41"/>
          <cell r="BL41"/>
          <cell r="BM41"/>
          <cell r="BN41"/>
          <cell r="BO41">
            <v>14.3</v>
          </cell>
          <cell r="BP41">
            <v>14.3</v>
          </cell>
          <cell r="BQ41">
            <v>12.453333333333333</v>
          </cell>
          <cell r="BR41"/>
          <cell r="BS41"/>
          <cell r="BT41"/>
          <cell r="BU41"/>
          <cell r="BV41"/>
          <cell r="BW41"/>
          <cell r="BX41"/>
          <cell r="BY41"/>
          <cell r="BZ41"/>
          <cell r="CA41"/>
          <cell r="CB41"/>
          <cell r="CC41"/>
          <cell r="CD41"/>
          <cell r="CE41"/>
          <cell r="CF41"/>
          <cell r="CG41"/>
          <cell r="CH41"/>
          <cell r="CI41"/>
          <cell r="CJ41"/>
          <cell r="CK41"/>
          <cell r="CL41"/>
          <cell r="CM41"/>
          <cell r="CN41"/>
          <cell r="CO41"/>
        </row>
        <row r="42">
          <cell r="C42">
            <v>0</v>
          </cell>
          <cell r="D42">
            <v>13</v>
          </cell>
          <cell r="E42">
            <v>13</v>
          </cell>
          <cell r="F42"/>
          <cell r="G42">
            <v>13</v>
          </cell>
          <cell r="H42">
            <v>13</v>
          </cell>
          <cell r="I42">
            <v>13</v>
          </cell>
          <cell r="J42">
            <v>13</v>
          </cell>
          <cell r="K42">
            <v>13</v>
          </cell>
          <cell r="L42">
            <v>13</v>
          </cell>
          <cell r="M42">
            <v>13</v>
          </cell>
          <cell r="N42">
            <v>13</v>
          </cell>
          <cell r="O42">
            <v>13</v>
          </cell>
          <cell r="P42">
            <v>13</v>
          </cell>
          <cell r="Q42">
            <v>0</v>
          </cell>
          <cell r="R42">
            <v>13</v>
          </cell>
          <cell r="S42">
            <v>13</v>
          </cell>
          <cell r="T42">
            <v>13</v>
          </cell>
          <cell r="U42">
            <v>13</v>
          </cell>
          <cell r="V42">
            <v>13</v>
          </cell>
          <cell r="W42">
            <v>13</v>
          </cell>
          <cell r="X42">
            <v>13</v>
          </cell>
          <cell r="Y42">
            <v>13</v>
          </cell>
          <cell r="Z42">
            <v>13</v>
          </cell>
          <cell r="AA42">
            <v>13</v>
          </cell>
          <cell r="AB42">
            <v>13</v>
          </cell>
          <cell r="AC42">
            <v>13</v>
          </cell>
          <cell r="AD42">
            <v>13</v>
          </cell>
          <cell r="AE42">
            <v>13</v>
          </cell>
          <cell r="AF42">
            <v>13</v>
          </cell>
          <cell r="AG42">
            <v>13</v>
          </cell>
          <cell r="AH42">
            <v>13</v>
          </cell>
          <cell r="AI42">
            <v>13</v>
          </cell>
          <cell r="AJ42">
            <v>13</v>
          </cell>
          <cell r="AK42">
            <v>13</v>
          </cell>
          <cell r="AL42">
            <v>0</v>
          </cell>
          <cell r="AM42">
            <v>13</v>
          </cell>
          <cell r="AN42">
            <v>13</v>
          </cell>
          <cell r="AO42">
            <v>0</v>
          </cell>
          <cell r="AP42">
            <v>13</v>
          </cell>
          <cell r="AQ42">
            <v>13</v>
          </cell>
          <cell r="AR42">
            <v>13</v>
          </cell>
          <cell r="AS42">
            <v>13</v>
          </cell>
          <cell r="AT42">
            <v>13</v>
          </cell>
          <cell r="AU42">
            <v>13</v>
          </cell>
          <cell r="AV42">
            <v>13</v>
          </cell>
          <cell r="AW42">
            <v>13</v>
          </cell>
          <cell r="AX42">
            <v>13</v>
          </cell>
          <cell r="AY42">
            <v>13</v>
          </cell>
          <cell r="AZ42"/>
          <cell r="BA42"/>
          <cell r="BB42"/>
          <cell r="BC42">
            <v>13</v>
          </cell>
          <cell r="BD42">
            <v>13</v>
          </cell>
          <cell r="BE42">
            <v>13</v>
          </cell>
          <cell r="BF42">
            <v>13</v>
          </cell>
          <cell r="BG42">
            <v>13</v>
          </cell>
          <cell r="BH42"/>
          <cell r="BI42"/>
          <cell r="BJ42"/>
          <cell r="BK42"/>
          <cell r="BL42"/>
          <cell r="BM42"/>
          <cell r="BN42"/>
          <cell r="BO42">
            <v>13</v>
          </cell>
          <cell r="BP42">
            <v>13</v>
          </cell>
          <cell r="BQ42">
            <v>13</v>
          </cell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G42"/>
          <cell r="CH42"/>
          <cell r="CI42"/>
          <cell r="CJ42"/>
          <cell r="CK42"/>
          <cell r="CL42"/>
          <cell r="CM42"/>
          <cell r="CN42"/>
          <cell r="CO42"/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/>
          <cell r="BI43"/>
          <cell r="BJ43"/>
          <cell r="BK43"/>
          <cell r="BL43"/>
          <cell r="BM43"/>
          <cell r="BN43"/>
          <cell r="BO43">
            <v>0</v>
          </cell>
          <cell r="BP43">
            <v>0</v>
          </cell>
          <cell r="BQ43">
            <v>0</v>
          </cell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/>
          <cell r="CG43"/>
          <cell r="CH43"/>
          <cell r="CI43"/>
          <cell r="CJ43"/>
          <cell r="CK43"/>
          <cell r="CL43"/>
          <cell r="CM43"/>
          <cell r="CN43"/>
          <cell r="CO43"/>
        </row>
        <row r="44">
          <cell r="C44">
            <v>0</v>
          </cell>
          <cell r="D44">
            <v>0</v>
          </cell>
          <cell r="E44">
            <v>0</v>
          </cell>
          <cell r="F44">
            <v>4.1500000000000004</v>
          </cell>
          <cell r="G44">
            <v>0</v>
          </cell>
          <cell r="H44">
            <v>0.6</v>
          </cell>
          <cell r="I44">
            <v>0</v>
          </cell>
          <cell r="J44">
            <v>0.84</v>
          </cell>
          <cell r="K44">
            <v>0</v>
          </cell>
          <cell r="L44">
            <v>0.6</v>
          </cell>
          <cell r="M44">
            <v>0.6366666666666666</v>
          </cell>
          <cell r="N44">
            <v>0.8</v>
          </cell>
          <cell r="O44">
            <v>2.6</v>
          </cell>
          <cell r="P44">
            <v>1.5</v>
          </cell>
          <cell r="Q44">
            <v>0</v>
          </cell>
          <cell r="R44">
            <v>0</v>
          </cell>
          <cell r="S44">
            <v>1.45</v>
          </cell>
          <cell r="T44">
            <v>0</v>
          </cell>
          <cell r="U44">
            <v>0.7</v>
          </cell>
          <cell r="V44">
            <v>0</v>
          </cell>
          <cell r="W44">
            <v>1.2</v>
          </cell>
          <cell r="X44">
            <v>0</v>
          </cell>
          <cell r="Y44">
            <v>0.76</v>
          </cell>
          <cell r="Z44">
            <v>0</v>
          </cell>
          <cell r="AA44">
            <v>0</v>
          </cell>
          <cell r="AB44">
            <v>0.7</v>
          </cell>
          <cell r="AC44">
            <v>0</v>
          </cell>
          <cell r="AD44">
            <v>0.8</v>
          </cell>
          <cell r="AE44">
            <v>1.85</v>
          </cell>
          <cell r="AF44">
            <v>1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1.2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1.8</v>
          </cell>
          <cell r="AT44">
            <v>0.8</v>
          </cell>
          <cell r="AU44">
            <v>0.66</v>
          </cell>
          <cell r="AV44">
            <v>0</v>
          </cell>
          <cell r="AW44">
            <v>0</v>
          </cell>
          <cell r="AX44">
            <v>0</v>
          </cell>
          <cell r="AY44">
            <v>0.7</v>
          </cell>
          <cell r="AZ44">
            <v>4.1500000000000004</v>
          </cell>
          <cell r="BA44">
            <v>4.1500000000000004</v>
          </cell>
          <cell r="BB44">
            <v>4.1500000000000004</v>
          </cell>
          <cell r="BC44">
            <v>0.24399999999999999</v>
          </cell>
          <cell r="BD44">
            <v>0.8</v>
          </cell>
          <cell r="BE44">
            <v>0</v>
          </cell>
          <cell r="BF44">
            <v>0</v>
          </cell>
          <cell r="BG44">
            <v>0</v>
          </cell>
          <cell r="BH44"/>
          <cell r="BI44"/>
          <cell r="BJ44"/>
          <cell r="BK44"/>
          <cell r="BL44"/>
          <cell r="BM44"/>
          <cell r="BN44"/>
          <cell r="BO44">
            <v>0</v>
          </cell>
          <cell r="BP44">
            <v>0</v>
          </cell>
          <cell r="BQ44">
            <v>0.6</v>
          </cell>
          <cell r="BR44"/>
          <cell r="BS44"/>
          <cell r="BT44"/>
          <cell r="BU44"/>
          <cell r="BV44"/>
          <cell r="BW44"/>
          <cell r="BX44"/>
          <cell r="BY44"/>
          <cell r="BZ44"/>
          <cell r="CA44"/>
          <cell r="CB44"/>
          <cell r="CC44"/>
          <cell r="CD44"/>
          <cell r="CE44"/>
          <cell r="CF44"/>
          <cell r="CG44"/>
          <cell r="CH44"/>
          <cell r="CI44"/>
          <cell r="CJ44"/>
          <cell r="CK44"/>
          <cell r="CL44"/>
          <cell r="CM44"/>
          <cell r="CN44"/>
          <cell r="CO44"/>
        </row>
        <row r="45">
          <cell r="C45">
            <v>0</v>
          </cell>
          <cell r="D45">
            <v>10</v>
          </cell>
          <cell r="E45">
            <v>5</v>
          </cell>
          <cell r="F45">
            <v>10</v>
          </cell>
          <cell r="G45">
            <v>10</v>
          </cell>
          <cell r="H45">
            <v>5</v>
          </cell>
          <cell r="I45">
            <v>15</v>
          </cell>
          <cell r="J45">
            <v>5</v>
          </cell>
          <cell r="K45">
            <v>10</v>
          </cell>
          <cell r="L45">
            <v>5</v>
          </cell>
          <cell r="M45">
            <v>10</v>
          </cell>
          <cell r="N45">
            <v>10</v>
          </cell>
          <cell r="O45">
            <v>10</v>
          </cell>
          <cell r="P45">
            <v>10</v>
          </cell>
          <cell r="Q45" t="str">
            <v>?</v>
          </cell>
          <cell r="R45">
            <v>15</v>
          </cell>
          <cell r="S45">
            <v>10</v>
          </cell>
          <cell r="T45">
            <v>10</v>
          </cell>
          <cell r="U45">
            <v>5</v>
          </cell>
          <cell r="V45">
            <v>15</v>
          </cell>
          <cell r="W45">
            <v>10</v>
          </cell>
          <cell r="X45">
            <v>15</v>
          </cell>
          <cell r="Y45">
            <v>10</v>
          </cell>
          <cell r="Z45">
            <v>10</v>
          </cell>
          <cell r="AA45">
            <v>15</v>
          </cell>
          <cell r="AB45">
            <v>5</v>
          </cell>
          <cell r="AC45">
            <v>15</v>
          </cell>
          <cell r="AD45">
            <v>10</v>
          </cell>
          <cell r="AE45">
            <v>10</v>
          </cell>
          <cell r="AF45">
            <v>10</v>
          </cell>
          <cell r="AG45">
            <v>15</v>
          </cell>
          <cell r="AH45">
            <v>15</v>
          </cell>
          <cell r="AI45">
            <v>10</v>
          </cell>
          <cell r="AJ45">
            <v>15</v>
          </cell>
          <cell r="AK45">
            <v>10</v>
          </cell>
          <cell r="AL45">
            <v>15</v>
          </cell>
          <cell r="AM45">
            <v>15</v>
          </cell>
          <cell r="AN45">
            <v>10</v>
          </cell>
          <cell r="AO45">
            <v>15</v>
          </cell>
          <cell r="AP45">
            <v>15</v>
          </cell>
          <cell r="AQ45">
            <v>10</v>
          </cell>
          <cell r="AR45">
            <v>15</v>
          </cell>
          <cell r="AS45">
            <v>10</v>
          </cell>
          <cell r="AT45">
            <v>10</v>
          </cell>
          <cell r="AU45">
            <v>10</v>
          </cell>
          <cell r="AV45">
            <v>15</v>
          </cell>
          <cell r="AW45">
            <v>15</v>
          </cell>
          <cell r="AX45">
            <v>15</v>
          </cell>
          <cell r="AY45">
            <v>10</v>
          </cell>
          <cell r="AZ45">
            <v>10</v>
          </cell>
          <cell r="BA45">
            <v>10</v>
          </cell>
          <cell r="BB45">
            <v>10</v>
          </cell>
          <cell r="BC45">
            <v>10</v>
          </cell>
          <cell r="BD45">
            <v>10</v>
          </cell>
          <cell r="BE45">
            <v>15</v>
          </cell>
          <cell r="BF45">
            <v>15</v>
          </cell>
          <cell r="BG45">
            <v>10</v>
          </cell>
          <cell r="BH45"/>
          <cell r="BI45"/>
          <cell r="BJ45"/>
          <cell r="BK45"/>
          <cell r="BL45"/>
          <cell r="BM45"/>
          <cell r="BN45"/>
          <cell r="BO45">
            <v>15</v>
          </cell>
          <cell r="BP45">
            <v>10</v>
          </cell>
          <cell r="BQ45">
            <v>5</v>
          </cell>
          <cell r="BR45"/>
          <cell r="BS45"/>
          <cell r="BT45"/>
          <cell r="BU45"/>
          <cell r="BV45"/>
          <cell r="BW45"/>
          <cell r="BX45"/>
          <cell r="BY45"/>
          <cell r="BZ45"/>
          <cell r="CA45"/>
          <cell r="CB45"/>
          <cell r="CC45"/>
          <cell r="CD45"/>
          <cell r="CE45"/>
          <cell r="CF45"/>
          <cell r="CG45"/>
          <cell r="CH45"/>
          <cell r="CI45"/>
          <cell r="CJ45"/>
          <cell r="CK45"/>
          <cell r="CL45"/>
          <cell r="CM45"/>
          <cell r="CN45"/>
          <cell r="CO45"/>
        </row>
        <row r="46">
          <cell r="C46">
            <v>0</v>
          </cell>
          <cell r="D46">
            <v>5</v>
          </cell>
          <cell r="E46">
            <v>5</v>
          </cell>
          <cell r="F46">
            <v>5</v>
          </cell>
          <cell r="G46">
            <v>5</v>
          </cell>
          <cell r="H46">
            <v>5</v>
          </cell>
          <cell r="I46">
            <v>5</v>
          </cell>
          <cell r="J46">
            <v>5</v>
          </cell>
          <cell r="K46">
            <v>5</v>
          </cell>
          <cell r="L46">
            <v>5</v>
          </cell>
          <cell r="M46">
            <v>5</v>
          </cell>
          <cell r="N46">
            <v>5</v>
          </cell>
          <cell r="O46">
            <v>5</v>
          </cell>
          <cell r="P46">
            <v>5</v>
          </cell>
          <cell r="Q46">
            <v>0</v>
          </cell>
          <cell r="R46">
            <v>5</v>
          </cell>
          <cell r="S46">
            <v>5</v>
          </cell>
          <cell r="T46">
            <v>5</v>
          </cell>
          <cell r="U46">
            <v>5</v>
          </cell>
          <cell r="V46">
            <v>5</v>
          </cell>
          <cell r="W46">
            <v>5</v>
          </cell>
          <cell r="X46">
            <v>5</v>
          </cell>
          <cell r="Y46">
            <v>5</v>
          </cell>
          <cell r="Z46">
            <v>5</v>
          </cell>
          <cell r="AA46">
            <v>5</v>
          </cell>
          <cell r="AB46">
            <v>5</v>
          </cell>
          <cell r="AC46">
            <v>5</v>
          </cell>
          <cell r="AD46">
            <v>5</v>
          </cell>
          <cell r="AE46">
            <v>5</v>
          </cell>
          <cell r="AF46">
            <v>5</v>
          </cell>
          <cell r="AG46">
            <v>5</v>
          </cell>
          <cell r="AH46">
            <v>5</v>
          </cell>
          <cell r="AI46">
            <v>5</v>
          </cell>
          <cell r="AJ46">
            <v>5</v>
          </cell>
          <cell r="AK46">
            <v>5</v>
          </cell>
          <cell r="AL46">
            <v>5</v>
          </cell>
          <cell r="AM46">
            <v>5</v>
          </cell>
          <cell r="AN46">
            <v>5</v>
          </cell>
          <cell r="AO46">
            <v>5</v>
          </cell>
          <cell r="AP46">
            <v>5</v>
          </cell>
          <cell r="AQ46">
            <v>5</v>
          </cell>
          <cell r="AR46">
            <v>5</v>
          </cell>
          <cell r="AS46">
            <v>5</v>
          </cell>
          <cell r="AT46">
            <v>5</v>
          </cell>
          <cell r="AU46">
            <v>5</v>
          </cell>
          <cell r="AV46">
            <v>5</v>
          </cell>
          <cell r="AW46">
            <v>5</v>
          </cell>
          <cell r="AX46">
            <v>5</v>
          </cell>
          <cell r="AY46">
            <v>5</v>
          </cell>
          <cell r="AZ46">
            <v>5</v>
          </cell>
          <cell r="BA46">
            <v>5</v>
          </cell>
          <cell r="BB46">
            <v>5</v>
          </cell>
          <cell r="BC46">
            <v>5</v>
          </cell>
          <cell r="BD46">
            <v>5</v>
          </cell>
          <cell r="BE46">
            <v>5</v>
          </cell>
          <cell r="BF46">
            <v>5</v>
          </cell>
          <cell r="BG46">
            <v>5</v>
          </cell>
          <cell r="BH46"/>
          <cell r="BI46"/>
          <cell r="BJ46"/>
          <cell r="BK46"/>
          <cell r="BL46"/>
          <cell r="BM46"/>
          <cell r="BN46"/>
          <cell r="BO46">
            <v>5</v>
          </cell>
          <cell r="BP46">
            <v>5</v>
          </cell>
          <cell r="BQ46">
            <v>5</v>
          </cell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  <cell r="BO47"/>
          <cell r="BP47"/>
          <cell r="BQ47"/>
          <cell r="BR47"/>
          <cell r="BS47"/>
          <cell r="BT47"/>
          <cell r="BU47"/>
          <cell r="BV47"/>
          <cell r="BW47"/>
          <cell r="BX47"/>
          <cell r="BY47"/>
          <cell r="BZ47"/>
          <cell r="CA47"/>
          <cell r="CB47"/>
          <cell r="CC47"/>
          <cell r="CD47"/>
          <cell r="CE47"/>
          <cell r="CF47"/>
          <cell r="CG47"/>
          <cell r="CH47"/>
          <cell r="CI47"/>
          <cell r="CJ47"/>
          <cell r="CK47"/>
          <cell r="CL47"/>
          <cell r="CM47"/>
          <cell r="CN47"/>
          <cell r="CO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  <cell r="BO48"/>
          <cell r="BP48"/>
          <cell r="BQ48"/>
          <cell r="BR48"/>
          <cell r="BS48"/>
          <cell r="BT48"/>
          <cell r="BU48"/>
          <cell r="BV48"/>
          <cell r="BW48"/>
          <cell r="BX48"/>
          <cell r="BY48"/>
          <cell r="BZ48"/>
          <cell r="CA48"/>
          <cell r="CB48"/>
          <cell r="CC48"/>
          <cell r="CD48"/>
          <cell r="CE48"/>
          <cell r="CF48"/>
          <cell r="CG48"/>
          <cell r="CH48"/>
          <cell r="CI48"/>
          <cell r="CJ48"/>
          <cell r="CK48"/>
          <cell r="CL48"/>
          <cell r="CM48"/>
          <cell r="CN48"/>
          <cell r="CO48"/>
        </row>
        <row r="50">
          <cell r="C50">
            <v>0</v>
          </cell>
          <cell r="D50">
            <v>1</v>
          </cell>
          <cell r="E50">
            <v>2</v>
          </cell>
          <cell r="F50">
            <v>3</v>
          </cell>
          <cell r="G50">
            <v>4</v>
          </cell>
          <cell r="H50">
            <v>5</v>
          </cell>
          <cell r="I50">
            <v>6</v>
          </cell>
          <cell r="J50">
            <v>7</v>
          </cell>
          <cell r="K50">
            <v>8</v>
          </cell>
          <cell r="L50">
            <v>9</v>
          </cell>
          <cell r="M50">
            <v>10</v>
          </cell>
          <cell r="N50">
            <v>11</v>
          </cell>
          <cell r="O50">
            <v>12</v>
          </cell>
          <cell r="P50">
            <v>13</v>
          </cell>
          <cell r="Q50">
            <v>14</v>
          </cell>
          <cell r="R50">
            <v>15</v>
          </cell>
          <cell r="S50">
            <v>16</v>
          </cell>
          <cell r="T50">
            <v>17</v>
          </cell>
          <cell r="U50">
            <v>18</v>
          </cell>
          <cell r="V50">
            <v>19</v>
          </cell>
          <cell r="W50">
            <v>20</v>
          </cell>
          <cell r="X50">
            <v>21</v>
          </cell>
          <cell r="Y50">
            <v>22</v>
          </cell>
          <cell r="Z50">
            <v>23</v>
          </cell>
          <cell r="AA50">
            <v>24</v>
          </cell>
          <cell r="AB50">
            <v>25</v>
          </cell>
          <cell r="AC50">
            <v>26</v>
          </cell>
          <cell r="AD50">
            <v>27</v>
          </cell>
          <cell r="AE50">
            <v>28</v>
          </cell>
          <cell r="AF50">
            <v>29</v>
          </cell>
          <cell r="AG50">
            <v>30</v>
          </cell>
          <cell r="AH50">
            <v>31</v>
          </cell>
          <cell r="AI50">
            <v>32</v>
          </cell>
          <cell r="AJ50">
            <v>33</v>
          </cell>
          <cell r="AK50">
            <v>34</v>
          </cell>
          <cell r="AL50">
            <v>35</v>
          </cell>
          <cell r="AM50">
            <v>36</v>
          </cell>
          <cell r="AN50">
            <v>37</v>
          </cell>
          <cell r="AO50">
            <v>38</v>
          </cell>
          <cell r="AP50">
            <v>39</v>
          </cell>
          <cell r="AQ50">
            <v>40</v>
          </cell>
          <cell r="AR50">
            <v>41</v>
          </cell>
          <cell r="AS50">
            <v>42</v>
          </cell>
          <cell r="AT50">
            <v>43</v>
          </cell>
          <cell r="AU50">
            <v>44</v>
          </cell>
          <cell r="AV50">
            <v>45</v>
          </cell>
          <cell r="AW50">
            <v>46</v>
          </cell>
          <cell r="AX50">
            <v>47</v>
          </cell>
          <cell r="AY50">
            <v>48</v>
          </cell>
          <cell r="AZ50">
            <v>49</v>
          </cell>
          <cell r="BA50">
            <v>50</v>
          </cell>
          <cell r="BB50">
            <v>51</v>
          </cell>
          <cell r="BC50">
            <v>52</v>
          </cell>
          <cell r="BD50">
            <v>53</v>
          </cell>
          <cell r="BE50">
            <v>54</v>
          </cell>
          <cell r="BF50">
            <v>55</v>
          </cell>
          <cell r="BG50">
            <v>56</v>
          </cell>
          <cell r="BH50">
            <v>57</v>
          </cell>
          <cell r="BI50">
            <v>58</v>
          </cell>
          <cell r="BJ50">
            <v>59</v>
          </cell>
          <cell r="BK50">
            <v>60</v>
          </cell>
          <cell r="BL50">
            <v>61</v>
          </cell>
          <cell r="BM50">
            <v>62</v>
          </cell>
          <cell r="BN50">
            <v>63</v>
          </cell>
          <cell r="BO50">
            <v>6</v>
          </cell>
          <cell r="BP50">
            <v>4</v>
          </cell>
          <cell r="BQ50">
            <v>5</v>
          </cell>
          <cell r="BR50">
            <v>67</v>
          </cell>
          <cell r="BS50">
            <v>68</v>
          </cell>
          <cell r="BT50">
            <v>69</v>
          </cell>
          <cell r="BU50">
            <v>70</v>
          </cell>
          <cell r="BV50">
            <v>71</v>
          </cell>
          <cell r="BW50">
            <v>72</v>
          </cell>
          <cell r="BX50">
            <v>73</v>
          </cell>
          <cell r="BY50">
            <v>74</v>
          </cell>
          <cell r="BZ50">
            <v>75</v>
          </cell>
          <cell r="CA50">
            <v>76</v>
          </cell>
          <cell r="CB50">
            <v>77</v>
          </cell>
          <cell r="CC50">
            <v>78</v>
          </cell>
          <cell r="CD50">
            <v>79</v>
          </cell>
          <cell r="CE50">
            <v>80</v>
          </cell>
          <cell r="CF50">
            <v>81</v>
          </cell>
          <cell r="CG50">
            <v>82</v>
          </cell>
          <cell r="CH50">
            <v>83</v>
          </cell>
          <cell r="CI50">
            <v>84</v>
          </cell>
          <cell r="CJ50">
            <v>85</v>
          </cell>
          <cell r="CK50">
            <v>86</v>
          </cell>
          <cell r="CL50">
            <v>87</v>
          </cell>
          <cell r="CM50">
            <v>88</v>
          </cell>
          <cell r="CN50">
            <v>89</v>
          </cell>
          <cell r="CO50">
            <v>90</v>
          </cell>
        </row>
        <row r="51">
          <cell r="C51">
            <v>0</v>
          </cell>
          <cell r="D51">
            <v>22</v>
          </cell>
          <cell r="E51">
            <v>268</v>
          </cell>
          <cell r="F51">
            <v>230</v>
          </cell>
          <cell r="G51">
            <v>52.25</v>
          </cell>
          <cell r="H51">
            <v>287.10000000000002</v>
          </cell>
          <cell r="I51">
            <v>18.100000000000001</v>
          </cell>
          <cell r="J51">
            <v>319</v>
          </cell>
          <cell r="K51">
            <v>31.8</v>
          </cell>
          <cell r="L51">
            <v>278</v>
          </cell>
          <cell r="M51">
            <v>204</v>
          </cell>
          <cell r="N51">
            <v>65.5</v>
          </cell>
          <cell r="O51">
            <v>79</v>
          </cell>
          <cell r="P51"/>
          <cell r="Q51"/>
          <cell r="R51">
            <v>18.100000000000001</v>
          </cell>
          <cell r="S51">
            <v>319</v>
          </cell>
          <cell r="T51">
            <v>20</v>
          </cell>
          <cell r="U51">
            <v>280</v>
          </cell>
          <cell r="V51">
            <v>55</v>
          </cell>
          <cell r="W51">
            <v>319</v>
          </cell>
          <cell r="X51">
            <v>55</v>
          </cell>
          <cell r="Y51">
            <v>319</v>
          </cell>
          <cell r="Z51">
            <v>204</v>
          </cell>
          <cell r="AA51">
            <v>18.100000000000001</v>
          </cell>
          <cell r="AB51">
            <v>319</v>
          </cell>
          <cell r="AC51">
            <v>18.100000000000001</v>
          </cell>
          <cell r="AD51">
            <v>65.5</v>
          </cell>
          <cell r="AE51">
            <v>79</v>
          </cell>
          <cell r="AF51">
            <v>204</v>
          </cell>
          <cell r="AG51">
            <v>22</v>
          </cell>
          <cell r="AH51">
            <v>31.8</v>
          </cell>
          <cell r="AI51">
            <v>278</v>
          </cell>
          <cell r="AJ51">
            <v>55</v>
          </cell>
          <cell r="AK51">
            <v>319</v>
          </cell>
          <cell r="AL51"/>
          <cell r="AM51">
            <v>55</v>
          </cell>
          <cell r="AN51">
            <v>319</v>
          </cell>
          <cell r="AO51"/>
          <cell r="AP51">
            <v>31.8</v>
          </cell>
          <cell r="AQ51">
            <v>204</v>
          </cell>
          <cell r="AR51">
            <v>55</v>
          </cell>
          <cell r="AS51">
            <v>319</v>
          </cell>
          <cell r="AT51">
            <v>65.5</v>
          </cell>
          <cell r="AU51">
            <v>65.5</v>
          </cell>
          <cell r="AV51">
            <v>21.720000000000002</v>
          </cell>
          <cell r="AW51">
            <v>26.4</v>
          </cell>
          <cell r="AX51">
            <v>18.100000000000001</v>
          </cell>
          <cell r="AY51">
            <v>65.5</v>
          </cell>
          <cell r="AZ51">
            <v>230</v>
          </cell>
          <cell r="BA51">
            <v>230</v>
          </cell>
          <cell r="BB51">
            <v>230</v>
          </cell>
          <cell r="BC51">
            <v>78.599999999999994</v>
          </cell>
          <cell r="BD51">
            <v>78.599999999999994</v>
          </cell>
          <cell r="BE51">
            <v>21.720000000000002</v>
          </cell>
          <cell r="BF51">
            <v>18.100000000000001</v>
          </cell>
          <cell r="BG51">
            <v>66</v>
          </cell>
          <cell r="BH51"/>
          <cell r="BI51"/>
          <cell r="BJ51"/>
          <cell r="BK51"/>
          <cell r="BL51"/>
          <cell r="BM51"/>
          <cell r="BN51"/>
          <cell r="BO51">
            <v>18.100000000000001</v>
          </cell>
          <cell r="BP51">
            <v>68.75</v>
          </cell>
          <cell r="BQ51">
            <v>398.75</v>
          </cell>
          <cell r="BR51"/>
          <cell r="BS51"/>
          <cell r="BT51"/>
          <cell r="BU51"/>
          <cell r="BV51"/>
          <cell r="BW51"/>
          <cell r="BX51"/>
          <cell r="BY51"/>
          <cell r="BZ51"/>
          <cell r="CA51"/>
          <cell r="CB51"/>
          <cell r="CC51"/>
          <cell r="CD51"/>
          <cell r="CE51"/>
          <cell r="CF51"/>
          <cell r="CG51"/>
          <cell r="CH51"/>
          <cell r="CI51"/>
          <cell r="CJ51"/>
          <cell r="CK51"/>
          <cell r="CL51"/>
          <cell r="CM51"/>
          <cell r="CN51"/>
          <cell r="CO51"/>
        </row>
        <row r="52">
          <cell r="C52">
            <v>0</v>
          </cell>
          <cell r="D52">
            <v>46</v>
          </cell>
          <cell r="E52">
            <v>114</v>
          </cell>
          <cell r="F52">
            <v>2300</v>
          </cell>
          <cell r="G52">
            <v>32.299999999999997</v>
          </cell>
          <cell r="H52">
            <v>122.4</v>
          </cell>
          <cell r="I52">
            <v>206.4</v>
          </cell>
          <cell r="J52">
            <v>136</v>
          </cell>
          <cell r="K52">
            <v>68.8</v>
          </cell>
          <cell r="L52">
            <v>118</v>
          </cell>
          <cell r="M52">
            <v>68</v>
          </cell>
          <cell r="N52">
            <v>28</v>
          </cell>
          <cell r="O52">
            <v>34</v>
          </cell>
          <cell r="P52"/>
          <cell r="Q52"/>
          <cell r="R52">
            <v>103.2</v>
          </cell>
          <cell r="S52">
            <v>136</v>
          </cell>
          <cell r="T52">
            <v>60</v>
          </cell>
          <cell r="U52">
            <v>100</v>
          </cell>
          <cell r="V52">
            <v>34</v>
          </cell>
          <cell r="W52">
            <v>136</v>
          </cell>
          <cell r="X52">
            <v>34</v>
          </cell>
          <cell r="Y52">
            <v>136</v>
          </cell>
          <cell r="Z52">
            <v>68</v>
          </cell>
          <cell r="AA52">
            <v>103.2</v>
          </cell>
          <cell r="AB52">
            <v>136</v>
          </cell>
          <cell r="AC52">
            <v>103.2</v>
          </cell>
          <cell r="AD52">
            <v>28</v>
          </cell>
          <cell r="AE52">
            <v>34</v>
          </cell>
          <cell r="AF52">
            <v>68</v>
          </cell>
          <cell r="AG52">
            <v>46</v>
          </cell>
          <cell r="AH52">
            <v>68.8</v>
          </cell>
          <cell r="AI52">
            <v>118</v>
          </cell>
          <cell r="AJ52">
            <v>34</v>
          </cell>
          <cell r="AK52">
            <v>136</v>
          </cell>
          <cell r="AL52"/>
          <cell r="AM52">
            <v>34</v>
          </cell>
          <cell r="AN52">
            <v>136</v>
          </cell>
          <cell r="AO52"/>
          <cell r="AP52">
            <v>68.8</v>
          </cell>
          <cell r="AQ52">
            <v>68</v>
          </cell>
          <cell r="AR52">
            <v>34</v>
          </cell>
          <cell r="AS52">
            <v>136</v>
          </cell>
          <cell r="AT52">
            <v>28</v>
          </cell>
          <cell r="AU52">
            <v>28</v>
          </cell>
          <cell r="AV52">
            <v>123.84</v>
          </cell>
          <cell r="AW52">
            <v>55.199999999999996</v>
          </cell>
          <cell r="AX52">
            <v>103.2</v>
          </cell>
          <cell r="AY52">
            <v>28</v>
          </cell>
          <cell r="AZ52">
            <v>2300</v>
          </cell>
          <cell r="BA52">
            <v>2300</v>
          </cell>
          <cell r="BB52">
            <v>2300</v>
          </cell>
          <cell r="BC52">
            <v>33.6</v>
          </cell>
          <cell r="BD52">
            <v>33.6</v>
          </cell>
          <cell r="BE52">
            <v>123.84</v>
          </cell>
          <cell r="BF52">
            <v>103.2</v>
          </cell>
          <cell r="BG52">
            <v>40.799999999999997</v>
          </cell>
          <cell r="BH52"/>
          <cell r="BI52"/>
          <cell r="BJ52"/>
          <cell r="BK52"/>
          <cell r="BL52"/>
          <cell r="BM52"/>
          <cell r="BN52"/>
          <cell r="BO52">
            <v>103.2</v>
          </cell>
          <cell r="BP52">
            <v>42.5</v>
          </cell>
          <cell r="BQ52">
            <v>170</v>
          </cell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/>
          <cell r="CG52"/>
          <cell r="CH52"/>
          <cell r="CI52"/>
          <cell r="CJ52"/>
          <cell r="CK52"/>
          <cell r="CL52"/>
          <cell r="CM52"/>
          <cell r="CN52"/>
          <cell r="CO52"/>
        </row>
        <row r="53">
          <cell r="C53">
            <v>0</v>
          </cell>
          <cell r="D53">
            <v>16</v>
          </cell>
          <cell r="E53"/>
          <cell r="F53"/>
          <cell r="G53">
            <v>9.5</v>
          </cell>
          <cell r="H53"/>
          <cell r="I53">
            <v>15.7</v>
          </cell>
          <cell r="J53"/>
          <cell r="K53">
            <v>11.2</v>
          </cell>
          <cell r="L53"/>
          <cell r="M53"/>
          <cell r="N53"/>
          <cell r="O53"/>
          <cell r="P53"/>
          <cell r="Q53"/>
          <cell r="R53">
            <v>15.7</v>
          </cell>
          <cell r="S53"/>
          <cell r="T53">
            <v>16</v>
          </cell>
          <cell r="U53"/>
          <cell r="V53">
            <v>10</v>
          </cell>
          <cell r="W53"/>
          <cell r="X53">
            <v>10</v>
          </cell>
          <cell r="Y53"/>
          <cell r="Z53"/>
          <cell r="AA53">
            <v>15.7</v>
          </cell>
          <cell r="AB53"/>
          <cell r="AC53">
            <v>15.7</v>
          </cell>
          <cell r="AD53"/>
          <cell r="AE53"/>
          <cell r="AF53"/>
          <cell r="AG53">
            <v>16</v>
          </cell>
          <cell r="AH53">
            <v>11.2</v>
          </cell>
          <cell r="AI53"/>
          <cell r="AJ53">
            <v>10</v>
          </cell>
          <cell r="AK53"/>
          <cell r="AL53"/>
          <cell r="AM53">
            <v>10</v>
          </cell>
          <cell r="AN53"/>
          <cell r="AO53"/>
          <cell r="AP53">
            <v>11.2</v>
          </cell>
          <cell r="AQ53"/>
          <cell r="AR53">
            <v>10</v>
          </cell>
          <cell r="AS53"/>
          <cell r="AT53"/>
          <cell r="AU53"/>
          <cell r="AV53">
            <v>18.84</v>
          </cell>
          <cell r="AW53">
            <v>19.2</v>
          </cell>
          <cell r="AX53">
            <v>15.7</v>
          </cell>
          <cell r="AY53"/>
          <cell r="AZ53"/>
          <cell r="BA53"/>
          <cell r="BB53"/>
          <cell r="BC53"/>
          <cell r="BD53"/>
          <cell r="BE53">
            <v>18.84</v>
          </cell>
          <cell r="BF53">
            <v>15.7</v>
          </cell>
          <cell r="BG53">
            <v>12</v>
          </cell>
          <cell r="BH53"/>
          <cell r="BI53"/>
          <cell r="BJ53"/>
          <cell r="BK53"/>
          <cell r="BL53"/>
          <cell r="BM53"/>
          <cell r="BN53"/>
          <cell r="BO53">
            <v>15.7</v>
          </cell>
          <cell r="BP53">
            <v>12.5</v>
          </cell>
          <cell r="BQ53"/>
          <cell r="BR53"/>
          <cell r="BS53"/>
          <cell r="BT53"/>
          <cell r="BU53"/>
          <cell r="BV53"/>
          <cell r="BW53"/>
          <cell r="BX53"/>
          <cell r="BY53"/>
          <cell r="BZ53"/>
          <cell r="CA53"/>
          <cell r="CB53"/>
          <cell r="CC53"/>
          <cell r="CD53"/>
          <cell r="CE53"/>
          <cell r="CF53"/>
          <cell r="CG53"/>
          <cell r="CH53"/>
          <cell r="CI53"/>
          <cell r="CJ53"/>
          <cell r="CK53"/>
          <cell r="CL53"/>
          <cell r="CM53"/>
          <cell r="CN53"/>
          <cell r="CO53"/>
        </row>
        <row r="54">
          <cell r="C54">
            <v>0</v>
          </cell>
          <cell r="D54">
            <v>22</v>
          </cell>
          <cell r="E54"/>
          <cell r="F54"/>
          <cell r="G54"/>
          <cell r="H54"/>
          <cell r="I54">
            <v>25.1</v>
          </cell>
          <cell r="J54"/>
          <cell r="K54"/>
          <cell r="L54"/>
          <cell r="M54"/>
          <cell r="N54"/>
          <cell r="O54"/>
          <cell r="P54"/>
          <cell r="Q54"/>
          <cell r="R54">
            <v>25.1</v>
          </cell>
          <cell r="S54"/>
          <cell r="T54">
            <v>22</v>
          </cell>
          <cell r="U54"/>
          <cell r="V54"/>
          <cell r="W54"/>
          <cell r="X54"/>
          <cell r="Y54"/>
          <cell r="Z54"/>
          <cell r="AA54">
            <v>25.1</v>
          </cell>
          <cell r="AB54"/>
          <cell r="AC54">
            <v>25.1</v>
          </cell>
          <cell r="AD54"/>
          <cell r="AE54"/>
          <cell r="AF54"/>
          <cell r="AG54">
            <v>22</v>
          </cell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>
            <v>30.12</v>
          </cell>
          <cell r="AW54">
            <v>26.4</v>
          </cell>
          <cell r="AX54">
            <v>25.1</v>
          </cell>
          <cell r="AY54"/>
          <cell r="AZ54"/>
          <cell r="BA54"/>
          <cell r="BB54"/>
          <cell r="BC54"/>
          <cell r="BD54"/>
          <cell r="BE54">
            <v>30.12</v>
          </cell>
          <cell r="BF54">
            <v>25.1</v>
          </cell>
          <cell r="BG54"/>
          <cell r="BH54"/>
          <cell r="BI54"/>
          <cell r="BJ54"/>
          <cell r="BK54"/>
          <cell r="BL54"/>
          <cell r="BM54"/>
          <cell r="BN54"/>
          <cell r="BO54">
            <v>25.1</v>
          </cell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</row>
        <row r="55">
          <cell r="C55">
            <v>0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  <cell r="BO55"/>
          <cell r="BP55"/>
          <cell r="BQ55"/>
          <cell r="BR55"/>
          <cell r="BS55"/>
          <cell r="BT55"/>
          <cell r="BU55"/>
          <cell r="BV55"/>
          <cell r="BW55"/>
          <cell r="BX55"/>
          <cell r="BY55"/>
          <cell r="BZ55"/>
          <cell r="CA55"/>
          <cell r="CB55"/>
          <cell r="CC55"/>
          <cell r="CD55"/>
          <cell r="CE55"/>
          <cell r="CF55"/>
          <cell r="CG55"/>
          <cell r="CH55"/>
          <cell r="CI55"/>
          <cell r="CJ55"/>
          <cell r="CK55"/>
          <cell r="CL55"/>
          <cell r="CM55"/>
          <cell r="CN55"/>
          <cell r="CO55"/>
        </row>
        <row r="56">
          <cell r="C56">
            <v>0</v>
          </cell>
          <cell r="D56">
            <v>83</v>
          </cell>
          <cell r="E56"/>
          <cell r="F56"/>
          <cell r="G56">
            <v>105.3</v>
          </cell>
          <cell r="H56"/>
          <cell r="I56">
            <v>111</v>
          </cell>
          <cell r="J56"/>
          <cell r="K56">
            <v>111</v>
          </cell>
          <cell r="L56"/>
          <cell r="M56">
            <v>420</v>
          </cell>
          <cell r="N56">
            <v>385</v>
          </cell>
          <cell r="O56">
            <v>525</v>
          </cell>
          <cell r="P56"/>
          <cell r="Q56"/>
          <cell r="R56">
            <v>111</v>
          </cell>
          <cell r="S56"/>
          <cell r="T56">
            <v>111</v>
          </cell>
          <cell r="U56"/>
          <cell r="V56">
            <v>117</v>
          </cell>
          <cell r="W56"/>
          <cell r="X56">
            <v>117</v>
          </cell>
          <cell r="Y56"/>
          <cell r="Z56">
            <v>420</v>
          </cell>
          <cell r="AA56">
            <v>111</v>
          </cell>
          <cell r="AB56"/>
          <cell r="AC56">
            <v>111</v>
          </cell>
          <cell r="AD56">
            <v>385</v>
          </cell>
          <cell r="AE56">
            <v>525</v>
          </cell>
          <cell r="AF56">
            <v>420</v>
          </cell>
          <cell r="AG56">
            <v>83</v>
          </cell>
          <cell r="AH56">
            <v>111</v>
          </cell>
          <cell r="AI56"/>
          <cell r="AJ56">
            <v>117</v>
          </cell>
          <cell r="AK56"/>
          <cell r="AL56"/>
          <cell r="AM56">
            <v>117</v>
          </cell>
          <cell r="AN56"/>
          <cell r="AO56"/>
          <cell r="AP56">
            <v>111</v>
          </cell>
          <cell r="AQ56">
            <v>420</v>
          </cell>
          <cell r="AR56">
            <v>117</v>
          </cell>
          <cell r="AS56"/>
          <cell r="AT56">
            <v>385</v>
          </cell>
          <cell r="AU56">
            <v>385</v>
          </cell>
          <cell r="AV56">
            <v>133.19999999999999</v>
          </cell>
          <cell r="AW56">
            <v>99.6</v>
          </cell>
          <cell r="AX56">
            <v>111</v>
          </cell>
          <cell r="AY56">
            <v>385</v>
          </cell>
          <cell r="AZ56"/>
          <cell r="BA56"/>
          <cell r="BB56"/>
          <cell r="BC56">
            <v>462</v>
          </cell>
          <cell r="BD56">
            <v>462</v>
          </cell>
          <cell r="BE56">
            <v>133.19999999999999</v>
          </cell>
          <cell r="BF56">
            <v>111</v>
          </cell>
          <cell r="BG56">
            <v>140.4</v>
          </cell>
          <cell r="BH56"/>
          <cell r="BI56"/>
          <cell r="BJ56"/>
          <cell r="BK56"/>
          <cell r="BL56"/>
          <cell r="BM56"/>
          <cell r="BN56"/>
          <cell r="BO56">
            <v>111</v>
          </cell>
          <cell r="BP56">
            <v>146.25</v>
          </cell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G56"/>
          <cell r="CH56"/>
          <cell r="CI56"/>
          <cell r="CJ56"/>
          <cell r="CK56"/>
          <cell r="CL56"/>
          <cell r="CM56"/>
          <cell r="CN56"/>
          <cell r="CO56"/>
        </row>
        <row r="57">
          <cell r="C57">
            <v>0</v>
          </cell>
          <cell r="D57">
            <v>17</v>
          </cell>
          <cell r="E57"/>
          <cell r="F57"/>
          <cell r="G57"/>
          <cell r="H57"/>
          <cell r="I57">
            <v>42</v>
          </cell>
          <cell r="J57"/>
          <cell r="K57">
            <v>13</v>
          </cell>
          <cell r="L57"/>
          <cell r="M57">
            <v>84</v>
          </cell>
          <cell r="N57">
            <v>165</v>
          </cell>
          <cell r="O57">
            <v>225</v>
          </cell>
          <cell r="P57"/>
          <cell r="Q57"/>
          <cell r="R57">
            <v>42</v>
          </cell>
          <cell r="S57"/>
          <cell r="T57">
            <v>17</v>
          </cell>
          <cell r="U57"/>
          <cell r="V57"/>
          <cell r="W57"/>
          <cell r="X57"/>
          <cell r="Y57"/>
          <cell r="Z57">
            <v>84</v>
          </cell>
          <cell r="AA57">
            <v>42</v>
          </cell>
          <cell r="AB57"/>
          <cell r="AC57">
            <v>42</v>
          </cell>
          <cell r="AD57">
            <v>165</v>
          </cell>
          <cell r="AE57">
            <v>225</v>
          </cell>
          <cell r="AF57">
            <v>84</v>
          </cell>
          <cell r="AG57">
            <v>17</v>
          </cell>
          <cell r="AH57">
            <v>13</v>
          </cell>
          <cell r="AI57"/>
          <cell r="AJ57"/>
          <cell r="AK57"/>
          <cell r="AL57"/>
          <cell r="AM57"/>
          <cell r="AN57"/>
          <cell r="AO57"/>
          <cell r="AP57">
            <v>13</v>
          </cell>
          <cell r="AQ57">
            <v>84</v>
          </cell>
          <cell r="AR57"/>
          <cell r="AS57"/>
          <cell r="AT57">
            <v>165</v>
          </cell>
          <cell r="AU57">
            <v>165</v>
          </cell>
          <cell r="AV57">
            <v>50.4</v>
          </cell>
          <cell r="AW57">
            <v>20.399999999999999</v>
          </cell>
          <cell r="AX57">
            <v>42</v>
          </cell>
          <cell r="AY57">
            <v>165</v>
          </cell>
          <cell r="AZ57"/>
          <cell r="BA57"/>
          <cell r="BB57"/>
          <cell r="BC57">
            <v>198</v>
          </cell>
          <cell r="BD57">
            <v>198</v>
          </cell>
          <cell r="BE57">
            <v>50.4</v>
          </cell>
          <cell r="BF57">
            <v>42</v>
          </cell>
          <cell r="BG57"/>
          <cell r="BH57"/>
          <cell r="BI57"/>
          <cell r="BJ57"/>
          <cell r="BK57"/>
          <cell r="BL57"/>
          <cell r="BM57"/>
          <cell r="BN57"/>
          <cell r="BO57">
            <v>42</v>
          </cell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/>
          <cell r="CG57"/>
          <cell r="CH57"/>
          <cell r="CI57"/>
          <cell r="CJ57"/>
          <cell r="CK57"/>
          <cell r="CL57"/>
          <cell r="CM57"/>
          <cell r="CN57"/>
          <cell r="CO57"/>
        </row>
        <row r="58">
          <cell r="C58">
            <v>0</v>
          </cell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G58"/>
          <cell r="CH58"/>
          <cell r="CI58"/>
          <cell r="CJ58"/>
          <cell r="CK58"/>
          <cell r="CL58"/>
          <cell r="CM58"/>
          <cell r="CN58"/>
          <cell r="CO58"/>
        </row>
        <row r="59">
          <cell r="C59">
            <v>0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  <cell r="BO59"/>
          <cell r="BP59"/>
          <cell r="BQ59"/>
          <cell r="BR59"/>
          <cell r="BS59"/>
          <cell r="BT59"/>
          <cell r="BU59"/>
          <cell r="BV59"/>
          <cell r="BW59"/>
          <cell r="BX59"/>
          <cell r="BY59"/>
          <cell r="BZ59"/>
          <cell r="CA59"/>
          <cell r="CB59"/>
          <cell r="CC59"/>
          <cell r="CD59"/>
          <cell r="CE59"/>
          <cell r="CF59"/>
          <cell r="CG59"/>
          <cell r="CH59"/>
          <cell r="CI59"/>
          <cell r="CJ59"/>
          <cell r="CK59"/>
          <cell r="CL59"/>
          <cell r="CM59"/>
          <cell r="CN59"/>
          <cell r="CO59"/>
        </row>
        <row r="60">
          <cell r="C60">
            <v>0</v>
          </cell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</row>
        <row r="61">
          <cell r="C61">
            <v>0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>
            <v>132</v>
          </cell>
          <cell r="O61">
            <v>120</v>
          </cell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132</v>
          </cell>
          <cell r="AE61">
            <v>120</v>
          </cell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>
            <v>132</v>
          </cell>
          <cell r="AU61">
            <v>132</v>
          </cell>
          <cell r="AV61"/>
          <cell r="AW61"/>
          <cell r="AX61"/>
          <cell r="AY61">
            <v>132</v>
          </cell>
          <cell r="AZ61"/>
          <cell r="BA61"/>
          <cell r="BB61"/>
          <cell r="BC61">
            <v>158.4</v>
          </cell>
          <cell r="BD61">
            <v>158.4</v>
          </cell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/>
          <cell r="CJ61"/>
          <cell r="CK61"/>
          <cell r="CL61"/>
          <cell r="CM61"/>
          <cell r="CN61"/>
          <cell r="CO61"/>
        </row>
        <row r="62">
          <cell r="C62">
            <v>0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  <cell r="AN62"/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/>
          <cell r="BG62"/>
          <cell r="BH62"/>
          <cell r="BI62"/>
          <cell r="BJ62"/>
          <cell r="BK62"/>
          <cell r="BL62"/>
          <cell r="BM62"/>
          <cell r="BN62"/>
          <cell r="BO62"/>
          <cell r="BP62"/>
          <cell r="BQ62"/>
          <cell r="BR62"/>
          <cell r="BS62"/>
          <cell r="BT62"/>
          <cell r="BU62"/>
          <cell r="BV62"/>
          <cell r="BW62"/>
          <cell r="BX62"/>
          <cell r="BY62"/>
          <cell r="BZ62"/>
          <cell r="CA62"/>
          <cell r="CB62"/>
          <cell r="CC62"/>
          <cell r="CD62"/>
          <cell r="CE62"/>
          <cell r="CF62"/>
          <cell r="CG62"/>
          <cell r="CH62"/>
          <cell r="CI62"/>
          <cell r="CJ62"/>
          <cell r="CK62"/>
          <cell r="CL62"/>
          <cell r="CM62"/>
          <cell r="CN62"/>
          <cell r="CO62"/>
        </row>
        <row r="63"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/>
          <cell r="CM63"/>
          <cell r="CN63"/>
          <cell r="CO63"/>
        </row>
        <row r="64">
          <cell r="C64">
            <v>0</v>
          </cell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/>
          <cell r="CM64"/>
          <cell r="CN64"/>
          <cell r="CO64"/>
        </row>
        <row r="65">
          <cell r="C65">
            <v>0</v>
          </cell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/>
          <cell r="CJ65"/>
          <cell r="CK65"/>
          <cell r="CL65"/>
          <cell r="CM65"/>
          <cell r="CN65"/>
          <cell r="CO65"/>
        </row>
        <row r="66">
          <cell r="C66">
            <v>0</v>
          </cell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>
            <v>132</v>
          </cell>
          <cell r="O66">
            <v>120</v>
          </cell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132</v>
          </cell>
          <cell r="AE66">
            <v>120</v>
          </cell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  <cell r="AR66"/>
          <cell r="AS66"/>
          <cell r="AT66">
            <v>132</v>
          </cell>
          <cell r="AU66">
            <v>132</v>
          </cell>
          <cell r="AV66"/>
          <cell r="AW66"/>
          <cell r="AX66"/>
          <cell r="AY66">
            <v>132</v>
          </cell>
          <cell r="AZ66"/>
          <cell r="BA66"/>
          <cell r="BB66"/>
          <cell r="BC66">
            <v>158.4</v>
          </cell>
          <cell r="BD66">
            <v>158.4</v>
          </cell>
          <cell r="BE66"/>
          <cell r="BF66"/>
          <cell r="BG66"/>
          <cell r="BH66"/>
          <cell r="BI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G66"/>
          <cell r="CH66"/>
          <cell r="CI66"/>
          <cell r="CJ66"/>
          <cell r="CK66"/>
          <cell r="CL66"/>
          <cell r="CM66"/>
          <cell r="CN66"/>
          <cell r="CO66"/>
        </row>
        <row r="67">
          <cell r="C67">
            <v>0</v>
          </cell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  <cell r="AM67"/>
          <cell r="AN67"/>
          <cell r="AO67"/>
          <cell r="AP67"/>
          <cell r="AQ67"/>
          <cell r="AR67"/>
          <cell r="AS67"/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/>
          <cell r="BG67"/>
          <cell r="BH67"/>
          <cell r="BI67"/>
          <cell r="BJ67"/>
          <cell r="BK67"/>
          <cell r="BL67"/>
          <cell r="BM67"/>
          <cell r="BN67"/>
          <cell r="BO67"/>
          <cell r="BP67"/>
          <cell r="BQ67"/>
          <cell r="BR67"/>
          <cell r="BS67"/>
          <cell r="BT67"/>
          <cell r="BU67"/>
          <cell r="BV67"/>
          <cell r="BW67"/>
          <cell r="BX67"/>
          <cell r="BY67"/>
          <cell r="BZ67"/>
          <cell r="CA67"/>
          <cell r="CB67"/>
          <cell r="CC67"/>
          <cell r="CD67"/>
          <cell r="CE67"/>
          <cell r="CF67"/>
          <cell r="CG67"/>
          <cell r="CH67"/>
          <cell r="CI67"/>
          <cell r="CJ67"/>
          <cell r="CK67"/>
          <cell r="CL67"/>
          <cell r="CM67"/>
          <cell r="CN67"/>
          <cell r="CO67"/>
        </row>
        <row r="68">
          <cell r="C68">
            <v>0</v>
          </cell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  <cell r="AM68"/>
          <cell r="AN68"/>
          <cell r="AO68"/>
          <cell r="AP68"/>
          <cell r="AQ68"/>
          <cell r="AR68"/>
          <cell r="AS68"/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/>
          <cell r="BG68"/>
          <cell r="BH68"/>
          <cell r="BI68"/>
          <cell r="BJ68"/>
          <cell r="BK68"/>
          <cell r="BL68"/>
          <cell r="BM68"/>
          <cell r="BN68"/>
          <cell r="BO68"/>
          <cell r="BP68"/>
          <cell r="BQ68"/>
          <cell r="BR68"/>
          <cell r="BS68"/>
          <cell r="BT68"/>
          <cell r="BU68"/>
          <cell r="BV68"/>
          <cell r="BW68"/>
          <cell r="BX68"/>
          <cell r="BY68"/>
          <cell r="BZ68"/>
          <cell r="CA68"/>
          <cell r="CB68"/>
          <cell r="CC68"/>
          <cell r="CD68"/>
          <cell r="CE68"/>
          <cell r="CF68"/>
          <cell r="CG68"/>
          <cell r="CH68"/>
          <cell r="CI68"/>
          <cell r="CJ68"/>
          <cell r="CK68"/>
          <cell r="CL68"/>
          <cell r="CM68"/>
          <cell r="CN68"/>
          <cell r="CO68"/>
        </row>
        <row r="69">
          <cell r="C69">
            <v>0</v>
          </cell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  <cell r="AQ69"/>
          <cell r="AR69"/>
          <cell r="AS69"/>
          <cell r="AT69"/>
          <cell r="AU69"/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/>
          <cell r="BG69"/>
          <cell r="BH69"/>
          <cell r="BI69"/>
          <cell r="BJ69"/>
          <cell r="BK69"/>
          <cell r="BL69"/>
          <cell r="BM69"/>
          <cell r="BN69"/>
          <cell r="BO69"/>
          <cell r="BP69"/>
          <cell r="BQ69"/>
          <cell r="BR69"/>
          <cell r="BS69"/>
          <cell r="BT69"/>
          <cell r="BU69"/>
          <cell r="BV69"/>
          <cell r="BW69"/>
          <cell r="BX69"/>
          <cell r="BY69"/>
          <cell r="BZ69"/>
          <cell r="CA69"/>
          <cell r="CB69"/>
          <cell r="CC69"/>
          <cell r="CD69"/>
          <cell r="CE69"/>
          <cell r="CF69"/>
          <cell r="CG69"/>
          <cell r="CH69"/>
          <cell r="CI69"/>
          <cell r="CJ69"/>
          <cell r="CK69"/>
          <cell r="CL69"/>
          <cell r="CM69"/>
          <cell r="CN69"/>
          <cell r="CO69"/>
        </row>
        <row r="70">
          <cell r="C70">
            <v>0</v>
          </cell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  <cell r="AK70"/>
          <cell r="AL70"/>
          <cell r="AM70"/>
          <cell r="AN70"/>
          <cell r="AO70"/>
          <cell r="AP70"/>
          <cell r="AQ70"/>
          <cell r="AR70"/>
          <cell r="AS70"/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/>
          <cell r="BG70"/>
          <cell r="BH70"/>
          <cell r="BI70"/>
          <cell r="BJ70"/>
          <cell r="BK70"/>
          <cell r="BL70"/>
          <cell r="BM70"/>
          <cell r="BN70"/>
          <cell r="BO70"/>
          <cell r="BP70"/>
          <cell r="BQ70"/>
          <cell r="BR70"/>
          <cell r="BS70"/>
          <cell r="BT70"/>
          <cell r="BU70"/>
          <cell r="BV70"/>
          <cell r="BW70"/>
          <cell r="BX70"/>
          <cell r="BY70"/>
          <cell r="BZ70"/>
          <cell r="CA70"/>
          <cell r="CB70"/>
          <cell r="CC70"/>
          <cell r="CD70"/>
          <cell r="CE70"/>
          <cell r="CF70"/>
          <cell r="CG70"/>
          <cell r="CH70"/>
          <cell r="CI70"/>
          <cell r="CJ70"/>
          <cell r="CK70"/>
          <cell r="CL70"/>
          <cell r="CM70"/>
          <cell r="CN70"/>
          <cell r="CO70"/>
        </row>
        <row r="71">
          <cell r="C71">
            <v>0</v>
          </cell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>
            <v>220</v>
          </cell>
          <cell r="O71">
            <v>300</v>
          </cell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220</v>
          </cell>
          <cell r="AE71">
            <v>300</v>
          </cell>
          <cell r="AF71"/>
          <cell r="AG71"/>
          <cell r="AH71"/>
          <cell r="AI71"/>
          <cell r="AJ71"/>
          <cell r="AK71"/>
          <cell r="AL71"/>
          <cell r="AM71"/>
          <cell r="AN71"/>
          <cell r="AO71"/>
          <cell r="AP71"/>
          <cell r="AQ71"/>
          <cell r="AR71"/>
          <cell r="AS71"/>
          <cell r="AT71">
            <v>220</v>
          </cell>
          <cell r="AU71">
            <v>220</v>
          </cell>
          <cell r="AV71"/>
          <cell r="AW71"/>
          <cell r="AX71"/>
          <cell r="AY71">
            <v>220</v>
          </cell>
          <cell r="AZ71"/>
          <cell r="BA71"/>
          <cell r="BB71"/>
          <cell r="BC71">
            <v>264</v>
          </cell>
          <cell r="BD71">
            <v>264</v>
          </cell>
          <cell r="BE71"/>
          <cell r="BF71"/>
          <cell r="BG71"/>
          <cell r="BH71"/>
          <cell r="BI71"/>
          <cell r="BJ71"/>
          <cell r="BK71"/>
          <cell r="BL71"/>
          <cell r="BM71"/>
          <cell r="BN71"/>
          <cell r="BO71"/>
          <cell r="BP71"/>
          <cell r="BQ71"/>
          <cell r="BR71"/>
          <cell r="BS71"/>
          <cell r="BT71"/>
          <cell r="BU71"/>
          <cell r="BV71"/>
          <cell r="BW71"/>
          <cell r="BX71"/>
          <cell r="BY71"/>
          <cell r="BZ71"/>
          <cell r="CA71"/>
          <cell r="CB71"/>
          <cell r="CC71"/>
          <cell r="CD71"/>
          <cell r="CE71"/>
          <cell r="CF71"/>
          <cell r="CG71"/>
          <cell r="CH71"/>
          <cell r="CI71"/>
          <cell r="CJ71"/>
          <cell r="CK71"/>
          <cell r="CL71"/>
          <cell r="CM71"/>
          <cell r="CN71"/>
          <cell r="CO71"/>
        </row>
        <row r="72">
          <cell r="C72">
            <v>0</v>
          </cell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>
            <v>55</v>
          </cell>
          <cell r="O72">
            <v>75</v>
          </cell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55</v>
          </cell>
          <cell r="AE72">
            <v>75</v>
          </cell>
          <cell r="AF72"/>
          <cell r="AG72"/>
          <cell r="AH72"/>
          <cell r="AI72"/>
          <cell r="AJ72"/>
          <cell r="AK72"/>
          <cell r="AL72"/>
          <cell r="AM72"/>
          <cell r="AN72"/>
          <cell r="AO72"/>
          <cell r="AP72"/>
          <cell r="AQ72"/>
          <cell r="AR72"/>
          <cell r="AS72"/>
          <cell r="AT72">
            <v>55</v>
          </cell>
          <cell r="AU72">
            <v>55</v>
          </cell>
          <cell r="AV72"/>
          <cell r="AW72"/>
          <cell r="AX72"/>
          <cell r="AY72">
            <v>55</v>
          </cell>
          <cell r="AZ72"/>
          <cell r="BA72"/>
          <cell r="BB72"/>
          <cell r="BC72">
            <v>66</v>
          </cell>
          <cell r="BD72">
            <v>66</v>
          </cell>
          <cell r="BE72"/>
          <cell r="BF72"/>
          <cell r="BG72"/>
          <cell r="BH72"/>
          <cell r="BI72"/>
          <cell r="BJ72"/>
          <cell r="BK72"/>
          <cell r="BL72"/>
          <cell r="BM72"/>
          <cell r="BN72"/>
          <cell r="BO72"/>
          <cell r="BP72"/>
          <cell r="BQ72"/>
          <cell r="BR72"/>
          <cell r="BS72"/>
          <cell r="BT72"/>
          <cell r="BU72"/>
          <cell r="BV72"/>
          <cell r="BW72"/>
          <cell r="BX72"/>
          <cell r="BY72"/>
          <cell r="BZ72"/>
          <cell r="CA72"/>
          <cell r="CB72"/>
          <cell r="CC72"/>
          <cell r="CD72"/>
          <cell r="CE72"/>
          <cell r="CF72"/>
          <cell r="CG72"/>
          <cell r="CH72"/>
          <cell r="CI72"/>
          <cell r="CJ72"/>
          <cell r="CK72"/>
          <cell r="CL72"/>
          <cell r="CM72"/>
          <cell r="CN72"/>
          <cell r="CO72"/>
        </row>
        <row r="73">
          <cell r="C73">
            <v>0</v>
          </cell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  <cell r="AJ73"/>
          <cell r="AK73"/>
          <cell r="AL73"/>
          <cell r="AM73"/>
          <cell r="AN73"/>
          <cell r="AO73"/>
          <cell r="AP73"/>
          <cell r="AQ73"/>
          <cell r="AR73"/>
          <cell r="AS73"/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/>
          <cell r="BG73"/>
          <cell r="BH73"/>
          <cell r="BI73"/>
          <cell r="BJ73"/>
          <cell r="BK73"/>
          <cell r="BL73"/>
          <cell r="BM73"/>
          <cell r="BN73"/>
          <cell r="BO73"/>
          <cell r="BP73"/>
          <cell r="BQ73"/>
          <cell r="BR73"/>
          <cell r="BS73"/>
          <cell r="BT73"/>
          <cell r="BU73"/>
          <cell r="BV73"/>
          <cell r="BW73"/>
          <cell r="BX73"/>
          <cell r="BY73"/>
          <cell r="BZ73"/>
          <cell r="CA73"/>
          <cell r="CB73"/>
          <cell r="CC73"/>
          <cell r="CD73"/>
          <cell r="CE73"/>
          <cell r="CF73"/>
          <cell r="CG73"/>
          <cell r="CH73"/>
          <cell r="CI73"/>
          <cell r="CJ73"/>
          <cell r="CK73"/>
          <cell r="CL73"/>
          <cell r="CM73"/>
          <cell r="CN73"/>
          <cell r="CO73"/>
        </row>
        <row r="74">
          <cell r="C74">
            <v>0</v>
          </cell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  <cell r="AI74"/>
          <cell r="AJ74"/>
          <cell r="AK74"/>
          <cell r="AL74"/>
          <cell r="AM74"/>
          <cell r="AN74"/>
          <cell r="AO74"/>
          <cell r="AP74"/>
          <cell r="AQ74"/>
          <cell r="AR74"/>
          <cell r="AS74"/>
          <cell r="AT74"/>
          <cell r="AU74"/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/>
          <cell r="BG74"/>
          <cell r="BH74"/>
          <cell r="BI74"/>
          <cell r="BJ74"/>
          <cell r="BK74"/>
          <cell r="BL74"/>
          <cell r="BM74"/>
          <cell r="BN74"/>
          <cell r="BO74"/>
          <cell r="BP74"/>
          <cell r="BQ74"/>
          <cell r="BR74"/>
          <cell r="BS74"/>
          <cell r="BT74"/>
          <cell r="BU74"/>
          <cell r="BV74"/>
          <cell r="BW74"/>
          <cell r="BX74"/>
          <cell r="BY74"/>
          <cell r="BZ74"/>
          <cell r="CA74"/>
          <cell r="CB74"/>
          <cell r="CC74"/>
          <cell r="CD74"/>
          <cell r="CE74"/>
          <cell r="CF74"/>
          <cell r="CG74"/>
          <cell r="CH74"/>
          <cell r="CI74"/>
          <cell r="CJ74"/>
          <cell r="CK74"/>
          <cell r="CL74"/>
          <cell r="CM74"/>
          <cell r="CN74"/>
          <cell r="CO74"/>
        </row>
        <row r="75">
          <cell r="C75">
            <v>0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  <cell r="AJ75"/>
          <cell r="AK75"/>
          <cell r="AL75"/>
          <cell r="AM75"/>
          <cell r="AN75"/>
          <cell r="AO75"/>
          <cell r="AP75"/>
          <cell r="AQ75"/>
          <cell r="AR75"/>
          <cell r="AS75"/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/>
          <cell r="BG75"/>
          <cell r="BH75"/>
          <cell r="BI75"/>
          <cell r="BJ75"/>
          <cell r="BK75"/>
          <cell r="BL75"/>
          <cell r="BM75"/>
          <cell r="BN75"/>
          <cell r="BO75"/>
          <cell r="BP75"/>
          <cell r="BQ75"/>
          <cell r="BR75"/>
          <cell r="BS75"/>
          <cell r="BT75"/>
          <cell r="BU75"/>
          <cell r="BV75"/>
          <cell r="BW75"/>
          <cell r="BX75"/>
          <cell r="BY75"/>
          <cell r="BZ75"/>
          <cell r="CA75"/>
          <cell r="CB75"/>
          <cell r="CC75"/>
          <cell r="CD75"/>
          <cell r="CE75"/>
          <cell r="CF75"/>
          <cell r="CG75"/>
          <cell r="CH75"/>
          <cell r="CI75"/>
          <cell r="CJ75"/>
          <cell r="CK75"/>
          <cell r="CL75"/>
          <cell r="CM75"/>
          <cell r="CN75"/>
          <cell r="CO75"/>
        </row>
        <row r="76">
          <cell r="C76">
            <v>0</v>
          </cell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>
            <v>1125</v>
          </cell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>
            <v>1125</v>
          </cell>
          <cell r="AF76"/>
          <cell r="AG76"/>
          <cell r="AH76"/>
          <cell r="AI76"/>
          <cell r="AJ76"/>
          <cell r="AK76"/>
          <cell r="AL76"/>
          <cell r="AM76"/>
          <cell r="AN76"/>
          <cell r="AO76"/>
          <cell r="AP76"/>
          <cell r="AQ76"/>
          <cell r="AR76"/>
          <cell r="AS76"/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/>
          <cell r="BG76"/>
          <cell r="BH76"/>
          <cell r="BI76"/>
          <cell r="BJ76"/>
          <cell r="BK76"/>
          <cell r="BL76"/>
          <cell r="BM76"/>
          <cell r="BN76"/>
          <cell r="BO76"/>
          <cell r="BP76"/>
          <cell r="BQ76"/>
          <cell r="BR76"/>
          <cell r="BS76"/>
          <cell r="BT76"/>
          <cell r="BU76"/>
          <cell r="BV76"/>
          <cell r="BW76"/>
          <cell r="BX76"/>
          <cell r="BY76"/>
          <cell r="BZ76"/>
          <cell r="CA76"/>
          <cell r="CB76"/>
          <cell r="CC76"/>
          <cell r="CD76"/>
          <cell r="CE76"/>
          <cell r="CF76"/>
          <cell r="CG76"/>
          <cell r="CH76"/>
          <cell r="CI76"/>
          <cell r="CJ76"/>
          <cell r="CK76"/>
          <cell r="CL76"/>
          <cell r="CM76"/>
          <cell r="CN76"/>
          <cell r="CO76"/>
        </row>
        <row r="77">
          <cell r="C77">
            <v>0</v>
          </cell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>
            <v>525</v>
          </cell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>
            <v>525</v>
          </cell>
          <cell r="AF77"/>
          <cell r="AG77"/>
          <cell r="AH77"/>
          <cell r="AI77"/>
          <cell r="AJ77"/>
          <cell r="AK77"/>
          <cell r="AL77"/>
          <cell r="AM77"/>
          <cell r="AN77"/>
          <cell r="AO77"/>
          <cell r="AP77"/>
          <cell r="AQ77"/>
          <cell r="AR77"/>
          <cell r="AS77"/>
          <cell r="AT77"/>
          <cell r="AU77"/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/>
          <cell r="BG77"/>
          <cell r="BH77"/>
          <cell r="BI77"/>
          <cell r="BJ77"/>
          <cell r="BK77"/>
          <cell r="BL77"/>
          <cell r="BM77"/>
          <cell r="BN77"/>
          <cell r="BO77"/>
          <cell r="BP77"/>
          <cell r="BQ77"/>
          <cell r="BR77"/>
          <cell r="BS77"/>
          <cell r="BT77"/>
          <cell r="BU77"/>
          <cell r="BV77"/>
          <cell r="BW77"/>
          <cell r="BX77"/>
          <cell r="BY77"/>
          <cell r="BZ77"/>
          <cell r="CA77"/>
          <cell r="CB77"/>
          <cell r="CC77"/>
          <cell r="CD77"/>
          <cell r="CE77"/>
          <cell r="CF77"/>
          <cell r="CG77"/>
          <cell r="CH77"/>
          <cell r="CI77"/>
          <cell r="CJ77"/>
          <cell r="CK77"/>
          <cell r="CL77"/>
          <cell r="CM77"/>
          <cell r="CN77"/>
          <cell r="CO77"/>
        </row>
        <row r="78">
          <cell r="C78">
            <v>0</v>
          </cell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  <cell r="AK78"/>
          <cell r="AL78"/>
          <cell r="AM78"/>
          <cell r="AN78"/>
          <cell r="AO78"/>
          <cell r="AP78"/>
          <cell r="AQ78"/>
          <cell r="AR78"/>
          <cell r="AS78"/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/>
          <cell r="BG78"/>
          <cell r="BH78"/>
          <cell r="BI78"/>
          <cell r="BJ78"/>
          <cell r="BK78"/>
          <cell r="BL78"/>
          <cell r="BM78"/>
          <cell r="BN78"/>
          <cell r="BO78"/>
          <cell r="BP78"/>
          <cell r="BQ78"/>
          <cell r="BR78"/>
          <cell r="BS78"/>
          <cell r="BT78"/>
          <cell r="BU78"/>
          <cell r="BV78"/>
          <cell r="BW78"/>
          <cell r="BX78"/>
          <cell r="BY78"/>
          <cell r="BZ78"/>
          <cell r="CA78"/>
          <cell r="CB78"/>
          <cell r="CC78"/>
          <cell r="CD78"/>
          <cell r="CE78"/>
          <cell r="CF78"/>
          <cell r="CG78"/>
          <cell r="CH78"/>
          <cell r="CI78"/>
          <cell r="CJ78"/>
          <cell r="CK78"/>
          <cell r="CL78"/>
          <cell r="CM78"/>
          <cell r="CN78"/>
          <cell r="CO78"/>
        </row>
        <row r="79">
          <cell r="C79">
            <v>0</v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  <cell r="AK79"/>
          <cell r="AL79"/>
          <cell r="AM79"/>
          <cell r="AN79"/>
          <cell r="AO79"/>
          <cell r="AP79"/>
          <cell r="AQ79"/>
          <cell r="AR79"/>
          <cell r="AS79"/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/>
          <cell r="BG79"/>
          <cell r="BH79"/>
          <cell r="BI79"/>
          <cell r="BJ79"/>
          <cell r="BK79"/>
          <cell r="BL79"/>
          <cell r="BM79"/>
          <cell r="BN79"/>
          <cell r="BO79"/>
          <cell r="BP79"/>
          <cell r="BQ79"/>
          <cell r="BR79"/>
          <cell r="BS79"/>
          <cell r="BT79"/>
          <cell r="BU79"/>
          <cell r="BV79"/>
          <cell r="BW79"/>
          <cell r="BX79"/>
          <cell r="BY79"/>
          <cell r="BZ79"/>
          <cell r="CA79"/>
          <cell r="CB79"/>
          <cell r="CC79"/>
          <cell r="CD79"/>
          <cell r="CE79"/>
          <cell r="CF79"/>
          <cell r="CG79"/>
          <cell r="CH79"/>
          <cell r="CI79"/>
          <cell r="CJ79"/>
          <cell r="CK79"/>
          <cell r="CL79"/>
          <cell r="CM79"/>
          <cell r="CN79"/>
          <cell r="CO79"/>
        </row>
        <row r="80">
          <cell r="C80">
            <v>0</v>
          </cell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  <cell r="AI80"/>
          <cell r="AJ80"/>
          <cell r="AK80"/>
          <cell r="AL80"/>
          <cell r="AM80"/>
          <cell r="AN80"/>
          <cell r="AO80"/>
          <cell r="AP80"/>
          <cell r="AQ80"/>
          <cell r="AR80"/>
          <cell r="AS80"/>
          <cell r="AT80"/>
          <cell r="AU80"/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/>
          <cell r="BG80"/>
          <cell r="BH80"/>
          <cell r="BI80"/>
          <cell r="BJ80"/>
          <cell r="BK80"/>
          <cell r="BL80"/>
          <cell r="BM80"/>
          <cell r="BN80"/>
          <cell r="BO80"/>
          <cell r="BP80"/>
          <cell r="BQ80"/>
          <cell r="BR80"/>
          <cell r="BS80"/>
          <cell r="BT80"/>
          <cell r="BU80"/>
          <cell r="BV80"/>
          <cell r="BW80"/>
          <cell r="BX80"/>
          <cell r="BY80"/>
          <cell r="BZ80"/>
          <cell r="CA80"/>
          <cell r="CB80"/>
          <cell r="CC80"/>
          <cell r="CD80"/>
          <cell r="CE80"/>
          <cell r="CF80"/>
          <cell r="CG80"/>
          <cell r="CH80"/>
          <cell r="CI80"/>
          <cell r="CJ80"/>
          <cell r="CK80"/>
          <cell r="CL80"/>
          <cell r="CM80"/>
          <cell r="CN80"/>
          <cell r="CO80"/>
        </row>
        <row r="81">
          <cell r="C81">
            <v>0</v>
          </cell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>
            <v>966</v>
          </cell>
          <cell r="P81"/>
          <cell r="Q81">
            <v>2250</v>
          </cell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>
            <v>966</v>
          </cell>
          <cell r="AF81"/>
          <cell r="AG81"/>
          <cell r="AH81"/>
          <cell r="AI81"/>
          <cell r="AJ81"/>
          <cell r="AK81"/>
          <cell r="AL81"/>
          <cell r="AM81"/>
          <cell r="AN81"/>
          <cell r="AO81"/>
          <cell r="AP81"/>
          <cell r="AQ81"/>
          <cell r="AR81"/>
          <cell r="AS81"/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/>
          <cell r="BG81"/>
          <cell r="BH81"/>
          <cell r="BI81"/>
          <cell r="BJ81"/>
          <cell r="BK81"/>
          <cell r="BL81"/>
          <cell r="BM81"/>
          <cell r="BN81"/>
          <cell r="BO81"/>
          <cell r="BP81"/>
          <cell r="BQ81"/>
          <cell r="BR81"/>
          <cell r="BS81"/>
          <cell r="BT81"/>
          <cell r="BU81"/>
          <cell r="BV81"/>
          <cell r="BW81"/>
          <cell r="BX81"/>
          <cell r="BY81"/>
          <cell r="BZ81"/>
          <cell r="CA81"/>
          <cell r="CB81"/>
          <cell r="CC81"/>
          <cell r="CD81"/>
          <cell r="CE81"/>
          <cell r="CF81"/>
          <cell r="CG81"/>
          <cell r="CH81"/>
          <cell r="CI81"/>
          <cell r="CJ81"/>
          <cell r="CK81"/>
          <cell r="CL81"/>
          <cell r="CM81"/>
          <cell r="CN81"/>
          <cell r="CO81"/>
        </row>
        <row r="82">
          <cell r="C82">
            <v>0</v>
          </cell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>
            <v>474</v>
          </cell>
          <cell r="P82"/>
          <cell r="Q82">
            <v>450</v>
          </cell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>
            <v>474</v>
          </cell>
          <cell r="AF82"/>
          <cell r="AG82"/>
          <cell r="AH82"/>
          <cell r="AI82"/>
          <cell r="AJ82"/>
          <cell r="AK82"/>
          <cell r="AL82"/>
          <cell r="AM82"/>
          <cell r="AN82"/>
          <cell r="AO82"/>
          <cell r="AP82"/>
          <cell r="AQ82"/>
          <cell r="AR82"/>
          <cell r="AS82"/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/>
          <cell r="BG82"/>
          <cell r="BH82"/>
          <cell r="BI82"/>
          <cell r="BJ82"/>
          <cell r="BK82"/>
          <cell r="BL82"/>
          <cell r="BM82"/>
          <cell r="BN82"/>
          <cell r="BO82"/>
          <cell r="BP82"/>
          <cell r="BQ82"/>
          <cell r="BR82"/>
          <cell r="BS82"/>
          <cell r="BT82"/>
          <cell r="BU82"/>
          <cell r="BV82"/>
          <cell r="BW82"/>
          <cell r="BX82"/>
          <cell r="BY82"/>
          <cell r="BZ82"/>
          <cell r="CA82"/>
          <cell r="CB82"/>
          <cell r="CC82"/>
          <cell r="CD82"/>
          <cell r="CE82"/>
          <cell r="CF82"/>
          <cell r="CG82"/>
          <cell r="CH82"/>
          <cell r="CI82"/>
          <cell r="CJ82"/>
          <cell r="CK82"/>
          <cell r="CL82"/>
          <cell r="CM82"/>
          <cell r="CN82"/>
          <cell r="CO82"/>
        </row>
        <row r="83">
          <cell r="C83">
            <v>0</v>
          </cell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>
            <v>60</v>
          </cell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/>
          <cell r="AN83"/>
          <cell r="AO83"/>
          <cell r="AP83"/>
          <cell r="AQ83"/>
          <cell r="AR83"/>
          <cell r="AS83"/>
          <cell r="AT83"/>
          <cell r="AU83"/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/>
          <cell r="BG83"/>
          <cell r="BH83"/>
          <cell r="BI83"/>
          <cell r="BJ83"/>
          <cell r="BK83"/>
          <cell r="BL83"/>
          <cell r="BM83"/>
          <cell r="BN83"/>
          <cell r="BO83"/>
          <cell r="BP83"/>
          <cell r="BQ83"/>
          <cell r="BR83"/>
          <cell r="BS83"/>
          <cell r="BT83"/>
          <cell r="BU83"/>
          <cell r="BV83"/>
          <cell r="BW83"/>
          <cell r="BX83"/>
          <cell r="BY83"/>
          <cell r="BZ83"/>
          <cell r="CA83"/>
          <cell r="CB83"/>
          <cell r="CC83"/>
          <cell r="CD83"/>
          <cell r="CE83"/>
          <cell r="CF83"/>
          <cell r="CG83"/>
          <cell r="CH83"/>
          <cell r="CI83"/>
          <cell r="CJ83"/>
          <cell r="CK83"/>
          <cell r="CL83"/>
          <cell r="CM83"/>
          <cell r="CN83"/>
          <cell r="CO83"/>
        </row>
        <row r="84">
          <cell r="C84">
            <v>0</v>
          </cell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>
            <v>0</v>
          </cell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  <cell r="AI84"/>
          <cell r="AJ84"/>
          <cell r="AK84"/>
          <cell r="AL84"/>
          <cell r="AM84"/>
          <cell r="AN84"/>
          <cell r="AO84"/>
          <cell r="AP84"/>
          <cell r="AQ84"/>
          <cell r="AR84"/>
          <cell r="AS84"/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/>
          <cell r="BG84"/>
          <cell r="BH84"/>
          <cell r="BI84"/>
          <cell r="BJ84"/>
          <cell r="BK84"/>
          <cell r="BL84"/>
          <cell r="BM84"/>
          <cell r="BN84"/>
          <cell r="BO84"/>
          <cell r="BP84"/>
          <cell r="BQ84"/>
          <cell r="BR84"/>
          <cell r="BS84"/>
          <cell r="BT84"/>
          <cell r="BU84"/>
          <cell r="BV84"/>
          <cell r="BW84"/>
          <cell r="BX84"/>
          <cell r="BY84"/>
          <cell r="BZ84"/>
          <cell r="CA84"/>
          <cell r="CB84"/>
          <cell r="CC84"/>
          <cell r="CD84"/>
          <cell r="CE84"/>
          <cell r="CF84"/>
          <cell r="CG84"/>
          <cell r="CH84"/>
          <cell r="CI84"/>
          <cell r="CJ84"/>
          <cell r="CK84"/>
          <cell r="CL84"/>
          <cell r="CM84"/>
          <cell r="CN84"/>
          <cell r="CO84"/>
        </row>
        <row r="85">
          <cell r="C85">
            <v>0</v>
          </cell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>
            <v>0</v>
          </cell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  <cell r="AH85"/>
          <cell r="AI85"/>
          <cell r="AJ85"/>
          <cell r="AK85"/>
          <cell r="AL85"/>
          <cell r="AM85"/>
          <cell r="AN85"/>
          <cell r="AO85"/>
          <cell r="AP85"/>
          <cell r="AQ85"/>
          <cell r="AR85"/>
          <cell r="AS85"/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/>
          <cell r="BG85"/>
          <cell r="BH85"/>
          <cell r="BI85"/>
          <cell r="BJ85"/>
          <cell r="BK85"/>
          <cell r="BL85"/>
          <cell r="BM85"/>
          <cell r="BN85"/>
          <cell r="BO85"/>
          <cell r="BP85"/>
          <cell r="BQ85"/>
          <cell r="BR85"/>
          <cell r="BS85"/>
          <cell r="BT85"/>
          <cell r="BU85"/>
          <cell r="BV85"/>
          <cell r="BW85"/>
          <cell r="BX85"/>
          <cell r="BY85"/>
          <cell r="BZ85"/>
          <cell r="CA85"/>
          <cell r="CB85"/>
          <cell r="CC85"/>
          <cell r="CD85"/>
          <cell r="CE85"/>
          <cell r="CF85"/>
          <cell r="CG85"/>
          <cell r="CH85"/>
          <cell r="CI85"/>
          <cell r="CJ85"/>
          <cell r="CK85"/>
          <cell r="CL85"/>
          <cell r="CM85"/>
          <cell r="CN85"/>
          <cell r="CO85"/>
        </row>
        <row r="86">
          <cell r="C86">
            <v>0</v>
          </cell>
          <cell r="D86">
            <v>1</v>
          </cell>
          <cell r="E86">
            <v>2</v>
          </cell>
          <cell r="F86">
            <v>3</v>
          </cell>
          <cell r="G86">
            <v>4</v>
          </cell>
          <cell r="H86">
            <v>5</v>
          </cell>
          <cell r="I86">
            <v>6</v>
          </cell>
          <cell r="J86">
            <v>7</v>
          </cell>
          <cell r="K86">
            <v>8</v>
          </cell>
          <cell r="L86">
            <v>9</v>
          </cell>
          <cell r="M86">
            <v>10</v>
          </cell>
          <cell r="N86">
            <v>11</v>
          </cell>
          <cell r="O86">
            <v>12</v>
          </cell>
          <cell r="P86">
            <v>13</v>
          </cell>
          <cell r="Q86">
            <v>14</v>
          </cell>
          <cell r="R86">
            <v>15</v>
          </cell>
          <cell r="S86">
            <v>16</v>
          </cell>
          <cell r="T86">
            <v>17</v>
          </cell>
          <cell r="U86">
            <v>18</v>
          </cell>
          <cell r="V86">
            <v>19</v>
          </cell>
          <cell r="W86">
            <v>20</v>
          </cell>
          <cell r="X86">
            <v>21</v>
          </cell>
          <cell r="Y86">
            <v>22</v>
          </cell>
          <cell r="Z86">
            <v>10</v>
          </cell>
          <cell r="AA86">
            <v>24</v>
          </cell>
          <cell r="AB86">
            <v>25</v>
          </cell>
          <cell r="AC86">
            <v>26</v>
          </cell>
          <cell r="AD86">
            <v>27</v>
          </cell>
          <cell r="AE86">
            <v>28</v>
          </cell>
          <cell r="AF86">
            <v>29</v>
          </cell>
          <cell r="AG86">
            <v>30</v>
          </cell>
          <cell r="AH86">
            <v>31</v>
          </cell>
          <cell r="AI86">
            <v>32</v>
          </cell>
          <cell r="AJ86">
            <v>33</v>
          </cell>
          <cell r="AK86">
            <v>34</v>
          </cell>
          <cell r="AL86">
            <v>35</v>
          </cell>
          <cell r="AM86">
            <v>36</v>
          </cell>
          <cell r="AN86">
            <v>37</v>
          </cell>
          <cell r="AO86">
            <v>38</v>
          </cell>
          <cell r="AP86">
            <v>39</v>
          </cell>
          <cell r="AQ86">
            <v>10</v>
          </cell>
          <cell r="AR86">
            <v>41</v>
          </cell>
          <cell r="AS86">
            <v>42</v>
          </cell>
          <cell r="AT86">
            <v>43</v>
          </cell>
          <cell r="AU86">
            <v>44</v>
          </cell>
          <cell r="AV86">
            <v>45</v>
          </cell>
          <cell r="AW86">
            <v>46</v>
          </cell>
          <cell r="AX86">
            <v>47</v>
          </cell>
          <cell r="AY86">
            <v>48</v>
          </cell>
          <cell r="AZ86">
            <v>49</v>
          </cell>
          <cell r="BA86">
            <v>50</v>
          </cell>
          <cell r="BB86">
            <v>51</v>
          </cell>
          <cell r="BC86">
            <v>52</v>
          </cell>
          <cell r="BD86">
            <v>53</v>
          </cell>
          <cell r="BE86">
            <v>54</v>
          </cell>
          <cell r="BF86">
            <v>55</v>
          </cell>
          <cell r="BG86">
            <v>56</v>
          </cell>
          <cell r="BH86">
            <v>57</v>
          </cell>
          <cell r="BI86">
            <v>58</v>
          </cell>
          <cell r="BJ86">
            <v>59</v>
          </cell>
          <cell r="BK86">
            <v>60</v>
          </cell>
          <cell r="BL86">
            <v>61</v>
          </cell>
          <cell r="BM86">
            <v>62</v>
          </cell>
          <cell r="BN86">
            <v>63</v>
          </cell>
          <cell r="BO86">
            <v>6</v>
          </cell>
          <cell r="BP86">
            <v>4</v>
          </cell>
          <cell r="BQ86">
            <v>5</v>
          </cell>
          <cell r="BR86">
            <v>67</v>
          </cell>
          <cell r="BS86">
            <v>68</v>
          </cell>
          <cell r="BT86">
            <v>69</v>
          </cell>
          <cell r="BU86">
            <v>70</v>
          </cell>
          <cell r="BV86">
            <v>71</v>
          </cell>
          <cell r="BW86">
            <v>72</v>
          </cell>
          <cell r="BX86">
            <v>73</v>
          </cell>
          <cell r="BY86">
            <v>74</v>
          </cell>
          <cell r="BZ86">
            <v>75</v>
          </cell>
          <cell r="CA86">
            <v>76</v>
          </cell>
          <cell r="CB86">
            <v>77</v>
          </cell>
          <cell r="CC86">
            <v>78</v>
          </cell>
          <cell r="CD86">
            <v>79</v>
          </cell>
          <cell r="CE86">
            <v>80</v>
          </cell>
          <cell r="CF86">
            <v>81</v>
          </cell>
          <cell r="CG86">
            <v>82</v>
          </cell>
          <cell r="CH86">
            <v>83</v>
          </cell>
          <cell r="CI86">
            <v>84</v>
          </cell>
          <cell r="CJ86">
            <v>85</v>
          </cell>
          <cell r="CK86">
            <v>86</v>
          </cell>
          <cell r="CL86">
            <v>87</v>
          </cell>
          <cell r="CM86">
            <v>88</v>
          </cell>
          <cell r="CN86">
            <v>89</v>
          </cell>
          <cell r="CO86"/>
        </row>
        <row r="87">
          <cell r="C87"/>
          <cell r="D87" t="str">
            <v xml:space="preserve">11 -correcteur N brebis lait </v>
          </cell>
          <cell r="E87" t="str">
            <v>15 -concentré bovin allaitant</v>
          </cell>
          <cell r="F87" t="str">
            <v>1 -maïs-grain</v>
          </cell>
          <cell r="G87" t="str">
            <v xml:space="preserve">11 -correcteur N brebis lait </v>
          </cell>
          <cell r="H87" t="str">
            <v>15 -concentré bovin allaitant</v>
          </cell>
          <cell r="I87" t="str">
            <v xml:space="preserve">11 -correcteur N brebis lait </v>
          </cell>
          <cell r="J87" t="str">
            <v>15 -concentré bovin allaitant</v>
          </cell>
          <cell r="K87" t="str">
            <v xml:space="preserve">11 -correcteur N brebis lait </v>
          </cell>
          <cell r="L87" t="str">
            <v>15 -concentré bovin allaitant</v>
          </cell>
          <cell r="M87" t="str">
            <v>1 -maïs-grain</v>
          </cell>
          <cell r="N87" t="str">
            <v>1 -maïs-grain</v>
          </cell>
          <cell r="O87" t="str">
            <v>1 -maïs-grain</v>
          </cell>
          <cell r="P87"/>
          <cell r="Q87"/>
          <cell r="R87" t="str">
            <v xml:space="preserve">11 -correcteur N brebis lait </v>
          </cell>
          <cell r="S87" t="str">
            <v>15 -concentré bovin allaitant</v>
          </cell>
          <cell r="T87" t="str">
            <v xml:space="preserve">11 -correcteur N brebis lait </v>
          </cell>
          <cell r="U87" t="str">
            <v>15 -concentré bovin allaitant</v>
          </cell>
          <cell r="V87" t="str">
            <v xml:space="preserve">11 -correcteur N brebis lait </v>
          </cell>
          <cell r="W87" t="str">
            <v>15 -concentré bovin allaitant</v>
          </cell>
          <cell r="X87" t="str">
            <v xml:space="preserve">11 -correcteur N brebis lait </v>
          </cell>
          <cell r="Y87" t="str">
            <v>15 -concentré bovin allaitant</v>
          </cell>
          <cell r="Z87" t="str">
            <v>1 -maïs-grain</v>
          </cell>
          <cell r="AA87" t="str">
            <v xml:space="preserve">11 -correcteur N brebis lait </v>
          </cell>
          <cell r="AB87" t="str">
            <v>15 -concentré bovin allaitant</v>
          </cell>
          <cell r="AC87" t="str">
            <v xml:space="preserve">11 -correcteur N brebis lait </v>
          </cell>
          <cell r="AD87" t="str">
            <v>1 -maïs-grain</v>
          </cell>
          <cell r="AE87" t="str">
            <v>1 -maïs-grain</v>
          </cell>
          <cell r="AF87" t="str">
            <v>1 -maïs-grain</v>
          </cell>
          <cell r="AG87" t="str">
            <v xml:space="preserve">11 -correcteur N brebis lait </v>
          </cell>
          <cell r="AH87" t="str">
            <v xml:space="preserve">11 -correcteur N brebis lait </v>
          </cell>
          <cell r="AI87" t="str">
            <v>15 -concentré bovin allaitant</v>
          </cell>
          <cell r="AJ87" t="str">
            <v xml:space="preserve">11 -correcteur N brebis lait </v>
          </cell>
          <cell r="AK87" t="str">
            <v>15 -concentré bovin allaitant</v>
          </cell>
          <cell r="AL87"/>
          <cell r="AM87" t="str">
            <v xml:space="preserve">11 -correcteur N brebis lait </v>
          </cell>
          <cell r="AN87" t="str">
            <v>15 -concentré bovin allaitant</v>
          </cell>
          <cell r="AO87"/>
          <cell r="AP87" t="str">
            <v xml:space="preserve">11 -correcteur N brebis lait </v>
          </cell>
          <cell r="AQ87" t="str">
            <v>1 -maïs-grain</v>
          </cell>
          <cell r="AR87" t="str">
            <v xml:space="preserve">11 -correcteur N brebis lait </v>
          </cell>
          <cell r="AS87" t="str">
            <v>15 -concentré bovin allaitant</v>
          </cell>
          <cell r="AT87" t="str">
            <v>1 -maïs-grain</v>
          </cell>
          <cell r="AU87" t="str">
            <v>1 -maïs-grain</v>
          </cell>
          <cell r="AV87" t="str">
            <v xml:space="preserve">11 -correcteur N brebis lait </v>
          </cell>
          <cell r="AW87" t="str">
            <v xml:space="preserve">11 -correcteur N brebis lait </v>
          </cell>
          <cell r="AX87" t="str">
            <v xml:space="preserve">11 -correcteur N brebis lait </v>
          </cell>
          <cell r="AY87" t="str">
            <v>1 -maïs-grain</v>
          </cell>
          <cell r="AZ87" t="str">
            <v>1 -maïs-grain</v>
          </cell>
          <cell r="BA87" t="str">
            <v>1 -maïs-grain</v>
          </cell>
          <cell r="BB87" t="str">
            <v>1 -maïs-grain</v>
          </cell>
          <cell r="BC87" t="str">
            <v>1 -maïs-grain</v>
          </cell>
          <cell r="BD87" t="str">
            <v>1 -maïs-grain</v>
          </cell>
          <cell r="BE87" t="str">
            <v xml:space="preserve">11 -correcteur N brebis lait </v>
          </cell>
          <cell r="BF87" t="str">
            <v xml:space="preserve">11 -correcteur N brebis lait </v>
          </cell>
          <cell r="BG87" t="str">
            <v xml:space="preserve">11 -correcteur N brebis lait </v>
          </cell>
          <cell r="BH87"/>
          <cell r="BI87"/>
          <cell r="BJ87"/>
          <cell r="BK87"/>
          <cell r="BL87"/>
          <cell r="BM87"/>
          <cell r="BN87"/>
          <cell r="BO87" t="str">
            <v xml:space="preserve">11 -correcteur N brebis lait </v>
          </cell>
          <cell r="BP87" t="str">
            <v xml:space="preserve">11 -correcteur N brebis lait </v>
          </cell>
          <cell r="BQ87" t="str">
            <v>15 -concentré bovin allaitant</v>
          </cell>
          <cell r="BR87"/>
          <cell r="BS87"/>
          <cell r="BT87"/>
          <cell r="BU87"/>
          <cell r="BV87"/>
          <cell r="BW87"/>
          <cell r="BX87"/>
          <cell r="BY87"/>
          <cell r="BZ87"/>
          <cell r="CA87"/>
          <cell r="CB87"/>
          <cell r="CC87"/>
          <cell r="CD87"/>
          <cell r="CE87"/>
          <cell r="CF87"/>
          <cell r="CG87"/>
          <cell r="CH87"/>
          <cell r="CI87"/>
          <cell r="CJ87"/>
          <cell r="CK87"/>
          <cell r="CL87"/>
          <cell r="CM87"/>
          <cell r="CN87"/>
          <cell r="CO87"/>
        </row>
        <row r="88">
          <cell r="C88"/>
          <cell r="D88" t="str">
            <v>1 -maïs-grain</v>
          </cell>
          <cell r="E88" t="str">
            <v>16 -correcteur N bovin allaitant</v>
          </cell>
          <cell r="F88" t="str">
            <v>19 -concentré VL</v>
          </cell>
          <cell r="G88" t="str">
            <v>1 -maïs-grain</v>
          </cell>
          <cell r="H88" t="str">
            <v>16 -correcteur N bovin allaitant</v>
          </cell>
          <cell r="I88" t="str">
            <v>1 -maïs-grain</v>
          </cell>
          <cell r="J88" t="str">
            <v>16 -correcteur N bovin allaitant</v>
          </cell>
          <cell r="K88" t="str">
            <v>1 -maïs-grain</v>
          </cell>
          <cell r="L88" t="str">
            <v>16 -correcteur N bovin allaitant</v>
          </cell>
          <cell r="M88" t="str">
            <v>6 -tourteaux soja</v>
          </cell>
          <cell r="N88" t="str">
            <v>6 -tourteaux soja</v>
          </cell>
          <cell r="O88" t="str">
            <v>6 -tourteaux soja</v>
          </cell>
          <cell r="P88"/>
          <cell r="Q88"/>
          <cell r="R88" t="str">
            <v>1 -maïs-grain</v>
          </cell>
          <cell r="S88" t="str">
            <v>16 -correcteur N bovin allaitant</v>
          </cell>
          <cell r="T88" t="str">
            <v>1 -maïs-grain</v>
          </cell>
          <cell r="U88" t="str">
            <v>16 -correcteur N bovin allaitant</v>
          </cell>
          <cell r="V88" t="str">
            <v>1 -maïs-grain</v>
          </cell>
          <cell r="W88" t="str">
            <v>16 -correcteur N bovin allaitant</v>
          </cell>
          <cell r="X88" t="str">
            <v>1 -maïs-grain</v>
          </cell>
          <cell r="Y88" t="str">
            <v>16 -correcteur N bovin allaitant</v>
          </cell>
          <cell r="Z88" t="str">
            <v>6 -tourteaux soja</v>
          </cell>
          <cell r="AA88" t="str">
            <v>1 -maïs-grain</v>
          </cell>
          <cell r="AB88" t="str">
            <v>16 -correcteur N bovin allaitant</v>
          </cell>
          <cell r="AC88" t="str">
            <v>1 -maïs-grain</v>
          </cell>
          <cell r="AD88" t="str">
            <v>3 -graines protéagineux</v>
          </cell>
          <cell r="AE88" t="str">
            <v>6 -tourteaux soja</v>
          </cell>
          <cell r="AF88" t="str">
            <v>6 -tourteaux soja</v>
          </cell>
          <cell r="AG88" t="str">
            <v>1 -maïs-grain</v>
          </cell>
          <cell r="AH88" t="str">
            <v>1 -maïs-grain</v>
          </cell>
          <cell r="AI88" t="str">
            <v>16 -correcteur N bovin allaitant</v>
          </cell>
          <cell r="AJ88" t="str">
            <v>1 -maïs-grain</v>
          </cell>
          <cell r="AK88" t="str">
            <v>16 -correcteur N bovin allaitant</v>
          </cell>
          <cell r="AL88"/>
          <cell r="AM88" t="str">
            <v>1 -maïs-grain</v>
          </cell>
          <cell r="AN88" t="str">
            <v>16 -correcteur N bovin allaitant</v>
          </cell>
          <cell r="AO88"/>
          <cell r="AP88" t="str">
            <v>1 -maïs-grain</v>
          </cell>
          <cell r="AQ88" t="str">
            <v>6 -tourteaux soja</v>
          </cell>
          <cell r="AR88" t="str">
            <v>1 -maïs-grain</v>
          </cell>
          <cell r="AS88" t="str">
            <v>16 -correcteur N bovin allaitant</v>
          </cell>
          <cell r="AT88" t="str">
            <v>6 -tourteaux soja</v>
          </cell>
          <cell r="AU88" t="str">
            <v>3 -graines protéagineux</v>
          </cell>
          <cell r="AV88" t="str">
            <v>1 -maïs-grain</v>
          </cell>
          <cell r="AW88" t="str">
            <v>1 -maïs-grain</v>
          </cell>
          <cell r="AX88" t="str">
            <v>1 -maïs-grain</v>
          </cell>
          <cell r="AY88" t="str">
            <v>6 -tourteaux soja</v>
          </cell>
          <cell r="AZ88" t="str">
            <v>19 -concentré VL</v>
          </cell>
          <cell r="BA88" t="str">
            <v>19 -concentré VL</v>
          </cell>
          <cell r="BB88" t="str">
            <v>19 -concentré VL</v>
          </cell>
          <cell r="BC88" t="str">
            <v>3 -graines protéagineux</v>
          </cell>
          <cell r="BD88" t="str">
            <v>3 -graines protéagineux</v>
          </cell>
          <cell r="BE88" t="str">
            <v>1 -maïs-grain</v>
          </cell>
          <cell r="BF88" t="str">
            <v>1 -maïs-grain</v>
          </cell>
          <cell r="BG88" t="str">
            <v>1 -maïs-grain</v>
          </cell>
          <cell r="BH88"/>
          <cell r="BI88"/>
          <cell r="BJ88"/>
          <cell r="BK88"/>
          <cell r="BL88"/>
          <cell r="BM88"/>
          <cell r="BN88"/>
          <cell r="BO88" t="str">
            <v>1 -maïs-grain</v>
          </cell>
          <cell r="BP88" t="str">
            <v>1 -maïs-grain</v>
          </cell>
          <cell r="BQ88" t="str">
            <v>16 -correcteur N bovin allaitant</v>
          </cell>
          <cell r="BR88"/>
          <cell r="BS88"/>
          <cell r="BT88"/>
          <cell r="BU88"/>
          <cell r="BV88"/>
          <cell r="BW88"/>
          <cell r="BX88"/>
          <cell r="BY88"/>
          <cell r="BZ88"/>
          <cell r="CA88"/>
          <cell r="CB88"/>
          <cell r="CC88"/>
          <cell r="CD88"/>
          <cell r="CE88"/>
          <cell r="CF88"/>
          <cell r="CG88"/>
          <cell r="CH88"/>
          <cell r="CI88"/>
          <cell r="CJ88"/>
          <cell r="CK88"/>
          <cell r="CL88"/>
          <cell r="CM88"/>
          <cell r="CN88"/>
          <cell r="CO88"/>
        </row>
        <row r="89">
          <cell r="C89"/>
          <cell r="D89" t="str">
            <v>13 -aliment complet brebis lait</v>
          </cell>
          <cell r="E89"/>
          <cell r="F89"/>
          <cell r="G89" t="str">
            <v>13 -aliment complet brebis lait</v>
          </cell>
          <cell r="H89"/>
          <cell r="I89" t="str">
            <v>13 -aliment complet brebis lait</v>
          </cell>
          <cell r="J89"/>
          <cell r="K89" t="str">
            <v>13 -aliment complet brebis lait</v>
          </cell>
          <cell r="L89" t="str">
            <v>8 -CMV bovin allaitant</v>
          </cell>
          <cell r="M89"/>
          <cell r="N89"/>
          <cell r="O89"/>
          <cell r="P89"/>
          <cell r="Q89"/>
          <cell r="R89" t="str">
            <v>13 -aliment complet brebis lait</v>
          </cell>
          <cell r="S89"/>
          <cell r="T89" t="str">
            <v>13 -aliment complet brebis lait</v>
          </cell>
          <cell r="U89"/>
          <cell r="V89" t="str">
            <v>13 -aliment complet brebis lait</v>
          </cell>
          <cell r="W89"/>
          <cell r="X89" t="str">
            <v>13 -aliment complet brebis lait</v>
          </cell>
          <cell r="Y89"/>
          <cell r="Z89"/>
          <cell r="AA89" t="str">
            <v>13 -aliment complet brebis lait</v>
          </cell>
          <cell r="AB89"/>
          <cell r="AC89" t="str">
            <v>13 -aliment complet brebis lait</v>
          </cell>
          <cell r="AD89"/>
          <cell r="AE89"/>
          <cell r="AF89"/>
          <cell r="AG89" t="str">
            <v>13 -aliment complet brebis lait</v>
          </cell>
          <cell r="AH89" t="str">
            <v>13 -aliment complet brebis lait</v>
          </cell>
          <cell r="AI89" t="str">
            <v>8 -CMV bovin allaitant</v>
          </cell>
          <cell r="AJ89" t="str">
            <v>13 -aliment complet brebis lait</v>
          </cell>
          <cell r="AK89"/>
          <cell r="AL89"/>
          <cell r="AM89" t="str">
            <v>13 -aliment complet brebis lait</v>
          </cell>
          <cell r="AN89"/>
          <cell r="AO89"/>
          <cell r="AP89" t="str">
            <v>13 -aliment complet brebis lait</v>
          </cell>
          <cell r="AQ89"/>
          <cell r="AR89" t="str">
            <v>13 -aliment complet brebis lait</v>
          </cell>
          <cell r="AS89"/>
          <cell r="AT89"/>
          <cell r="AU89"/>
          <cell r="AV89" t="str">
            <v>13 -aliment complet brebis lait</v>
          </cell>
          <cell r="AW89" t="str">
            <v>13 -aliment complet brebis lait</v>
          </cell>
          <cell r="AX89" t="str">
            <v>13 -aliment complet brebis lait</v>
          </cell>
          <cell r="AY89"/>
          <cell r="AZ89"/>
          <cell r="BA89"/>
          <cell r="BB89"/>
          <cell r="BC89"/>
          <cell r="BD89"/>
          <cell r="BE89" t="str">
            <v>13 -aliment complet brebis lait</v>
          </cell>
          <cell r="BF89" t="str">
            <v>13 -aliment complet brebis lait</v>
          </cell>
          <cell r="BG89" t="str">
            <v>13 -aliment complet brebis lait</v>
          </cell>
          <cell r="BH89"/>
          <cell r="BI89"/>
          <cell r="BJ89"/>
          <cell r="BK89"/>
          <cell r="BL89"/>
          <cell r="BM89"/>
          <cell r="BN89"/>
          <cell r="BO89" t="str">
            <v>13 -aliment complet brebis lait</v>
          </cell>
          <cell r="BP89" t="str">
            <v>13 -aliment complet brebis lait</v>
          </cell>
          <cell r="BQ89"/>
          <cell r="BR89"/>
          <cell r="BS89"/>
          <cell r="BT89"/>
          <cell r="BU89"/>
          <cell r="BV89"/>
          <cell r="BW89"/>
          <cell r="BX89"/>
          <cell r="BY89"/>
          <cell r="BZ89"/>
          <cell r="CA89"/>
          <cell r="CB89"/>
          <cell r="CC89"/>
          <cell r="CD89"/>
          <cell r="CE89"/>
          <cell r="CF89"/>
          <cell r="CG89"/>
          <cell r="CH89"/>
          <cell r="CI89"/>
          <cell r="CJ89"/>
          <cell r="CK89"/>
          <cell r="CL89"/>
          <cell r="CM89"/>
          <cell r="CN89"/>
          <cell r="CO89"/>
        </row>
        <row r="90">
          <cell r="C90"/>
          <cell r="D90" t="str">
            <v>2 -grain céréales à paille</v>
          </cell>
          <cell r="E90"/>
          <cell r="F90"/>
          <cell r="G90"/>
          <cell r="H90"/>
          <cell r="I90" t="str">
            <v>2 -grain céréales à paille</v>
          </cell>
          <cell r="J90"/>
          <cell r="K90"/>
          <cell r="L90"/>
          <cell r="M90"/>
          <cell r="N90"/>
          <cell r="O90"/>
          <cell r="P90"/>
          <cell r="Q90"/>
          <cell r="R90" t="str">
            <v>2 -grain céréales à paille</v>
          </cell>
          <cell r="S90"/>
          <cell r="T90" t="str">
            <v>2 -grain céréales à paille</v>
          </cell>
          <cell r="U90"/>
          <cell r="V90"/>
          <cell r="W90"/>
          <cell r="X90"/>
          <cell r="Y90"/>
          <cell r="Z90"/>
          <cell r="AA90" t="str">
            <v>2 -grain céréales à paille</v>
          </cell>
          <cell r="AB90"/>
          <cell r="AC90" t="str">
            <v>2 -grain céréales à paille</v>
          </cell>
          <cell r="AD90"/>
          <cell r="AE90"/>
          <cell r="AF90"/>
          <cell r="AG90" t="str">
            <v>2 -grain céréales à paille</v>
          </cell>
          <cell r="AH90"/>
          <cell r="AI90"/>
          <cell r="AJ90"/>
          <cell r="AK90"/>
          <cell r="AL90"/>
          <cell r="AM90"/>
          <cell r="AN90"/>
          <cell r="AO90"/>
          <cell r="AP90"/>
          <cell r="AQ90"/>
          <cell r="AR90"/>
          <cell r="AS90"/>
          <cell r="AT90"/>
          <cell r="AU90"/>
          <cell r="AV90" t="str">
            <v>2 -grain céréales à paille</v>
          </cell>
          <cell r="AW90" t="str">
            <v>2 -grain céréales à paille</v>
          </cell>
          <cell r="AX90" t="str">
            <v>2 -grain céréales à paille</v>
          </cell>
          <cell r="AY90"/>
          <cell r="AZ90"/>
          <cell r="BA90"/>
          <cell r="BB90"/>
          <cell r="BC90"/>
          <cell r="BD90"/>
          <cell r="BE90" t="str">
            <v>2 -grain céréales à paille</v>
          </cell>
          <cell r="BF90" t="str">
            <v>2 -grain céréales à paille</v>
          </cell>
          <cell r="BG90"/>
          <cell r="BH90"/>
          <cell r="BI90"/>
          <cell r="BJ90"/>
          <cell r="BK90"/>
          <cell r="BL90"/>
          <cell r="BM90"/>
          <cell r="BN90"/>
          <cell r="BO90" t="str">
            <v>2 -grain céréales à paille</v>
          </cell>
          <cell r="BP90"/>
          <cell r="BQ90"/>
          <cell r="BR90"/>
          <cell r="BS90"/>
          <cell r="BT90"/>
          <cell r="BU90"/>
          <cell r="BV90"/>
          <cell r="BW90"/>
          <cell r="BX90"/>
          <cell r="BY90"/>
          <cell r="BZ90"/>
          <cell r="CA90"/>
          <cell r="CB90"/>
          <cell r="CC90"/>
          <cell r="CD90"/>
          <cell r="CE90"/>
          <cell r="CF90"/>
          <cell r="CG90"/>
          <cell r="CH90"/>
          <cell r="CI90"/>
          <cell r="CJ90"/>
          <cell r="CK90"/>
          <cell r="CL90"/>
          <cell r="CM90"/>
          <cell r="CN90"/>
          <cell r="CO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  <cell r="AN91"/>
          <cell r="AO91"/>
          <cell r="AP91"/>
          <cell r="AQ91"/>
          <cell r="AR91"/>
          <cell r="AS91"/>
          <cell r="AT91"/>
          <cell r="AU91"/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/>
          <cell r="BG91"/>
          <cell r="BH91"/>
          <cell r="BI91"/>
          <cell r="BJ91"/>
          <cell r="BK91"/>
          <cell r="BL91"/>
          <cell r="BM91"/>
          <cell r="BN91"/>
          <cell r="BO91"/>
          <cell r="BP91"/>
          <cell r="BQ91"/>
          <cell r="BR91"/>
          <cell r="BS91"/>
          <cell r="BT91"/>
          <cell r="BU91"/>
          <cell r="BV91"/>
          <cell r="BW91"/>
          <cell r="BX91"/>
          <cell r="BY91"/>
          <cell r="BZ91"/>
          <cell r="CA91"/>
          <cell r="CB91"/>
          <cell r="CC91"/>
          <cell r="CD91"/>
          <cell r="CE91"/>
          <cell r="CF91"/>
          <cell r="CG91"/>
          <cell r="CH91"/>
          <cell r="CI91"/>
          <cell r="CJ91"/>
          <cell r="CK91"/>
          <cell r="CL91"/>
          <cell r="CM91"/>
          <cell r="CN91"/>
          <cell r="CO91"/>
        </row>
        <row r="92">
          <cell r="C92"/>
          <cell r="D92" t="str">
            <v xml:space="preserve">14 -concentré agnelle lait </v>
          </cell>
          <cell r="E92"/>
          <cell r="F92"/>
          <cell r="G92" t="str">
            <v xml:space="preserve">14 -concentré agnelle lait </v>
          </cell>
          <cell r="H92"/>
          <cell r="I92" t="str">
            <v xml:space="preserve">14 -concentré agnelle lait </v>
          </cell>
          <cell r="J92"/>
          <cell r="K92" t="str">
            <v xml:space="preserve">14 -concentré agnelle lait </v>
          </cell>
          <cell r="L92"/>
          <cell r="M92" t="str">
            <v>2 -grain céréales à paille</v>
          </cell>
          <cell r="N92" t="str">
            <v>2 -grain céréales à paille</v>
          </cell>
          <cell r="O92" t="str">
            <v>1 -maïs-grain</v>
          </cell>
          <cell r="P92"/>
          <cell r="Q92"/>
          <cell r="R92" t="str">
            <v xml:space="preserve">14 -concentré agnelle lait </v>
          </cell>
          <cell r="S92"/>
          <cell r="T92" t="str">
            <v xml:space="preserve">14 -concentré agnelle lait </v>
          </cell>
          <cell r="U92"/>
          <cell r="V92" t="str">
            <v xml:space="preserve">14 -concentré agnelle lait </v>
          </cell>
          <cell r="W92"/>
          <cell r="X92" t="str">
            <v xml:space="preserve">14 -concentré agnelle lait </v>
          </cell>
          <cell r="Y92"/>
          <cell r="Z92" t="str">
            <v>2 -grain céréales à paille</v>
          </cell>
          <cell r="AA92" t="str">
            <v xml:space="preserve">14 -concentré agnelle lait </v>
          </cell>
          <cell r="AB92"/>
          <cell r="AC92" t="str">
            <v xml:space="preserve">14 -concentré agnelle lait </v>
          </cell>
          <cell r="AD92" t="str">
            <v>2 -grain céréales à paille</v>
          </cell>
          <cell r="AE92" t="str">
            <v>1 -maïs-grain</v>
          </cell>
          <cell r="AF92" t="str">
            <v>2 -grain céréales à paille</v>
          </cell>
          <cell r="AG92" t="str">
            <v xml:space="preserve">14 -concentré agnelle lait </v>
          </cell>
          <cell r="AH92" t="str">
            <v xml:space="preserve">14 -concentré agnelle lait </v>
          </cell>
          <cell r="AI92"/>
          <cell r="AJ92" t="str">
            <v xml:space="preserve">14 -concentré agnelle lait </v>
          </cell>
          <cell r="AK92"/>
          <cell r="AL92"/>
          <cell r="AM92" t="str">
            <v xml:space="preserve">14 -concentré agnelle lait </v>
          </cell>
          <cell r="AN92"/>
          <cell r="AO92"/>
          <cell r="AP92" t="str">
            <v xml:space="preserve">14 -concentré agnelle lait </v>
          </cell>
          <cell r="AQ92" t="str">
            <v>2 -grain céréales à paille</v>
          </cell>
          <cell r="AR92" t="str">
            <v xml:space="preserve">14 -concentré agnelle lait </v>
          </cell>
          <cell r="AS92"/>
          <cell r="AT92" t="str">
            <v>2 -grain céréales à paille</v>
          </cell>
          <cell r="AU92" t="str">
            <v>2 -grain céréales à paille</v>
          </cell>
          <cell r="AV92" t="str">
            <v xml:space="preserve">14 -concentré agnelle lait </v>
          </cell>
          <cell r="AW92" t="str">
            <v xml:space="preserve">14 -concentré agnelle lait </v>
          </cell>
          <cell r="AX92" t="str">
            <v xml:space="preserve">14 -concentré agnelle lait </v>
          </cell>
          <cell r="AY92" t="str">
            <v>2 -grain céréales à paille</v>
          </cell>
          <cell r="AZ92"/>
          <cell r="BA92"/>
          <cell r="BB92"/>
          <cell r="BC92" t="str">
            <v>2 -grain céréales à paille</v>
          </cell>
          <cell r="BD92" t="str">
            <v>2 -grain céréales à paille</v>
          </cell>
          <cell r="BE92" t="str">
            <v xml:space="preserve">14 -concentré agnelle lait </v>
          </cell>
          <cell r="BF92" t="str">
            <v xml:space="preserve">14 -concentré agnelle lait </v>
          </cell>
          <cell r="BG92" t="str">
            <v xml:space="preserve">14 -concentré agnelle lait </v>
          </cell>
          <cell r="BH92"/>
          <cell r="BI92"/>
          <cell r="BJ92"/>
          <cell r="BK92"/>
          <cell r="BL92"/>
          <cell r="BM92"/>
          <cell r="BN92"/>
          <cell r="BO92" t="str">
            <v xml:space="preserve">14 -concentré agnelle lait </v>
          </cell>
          <cell r="BP92" t="str">
            <v xml:space="preserve">14 -concentré agnelle lait </v>
          </cell>
          <cell r="BQ92"/>
          <cell r="BR92"/>
          <cell r="BS92"/>
          <cell r="BT92"/>
          <cell r="BU92"/>
          <cell r="BV92"/>
          <cell r="BW92"/>
          <cell r="BX92"/>
          <cell r="BY92"/>
          <cell r="BZ92"/>
          <cell r="CA92"/>
          <cell r="CB92"/>
          <cell r="CC92"/>
          <cell r="CD92"/>
          <cell r="CE92"/>
          <cell r="CF92"/>
          <cell r="CG92"/>
          <cell r="CH92"/>
          <cell r="CI92"/>
          <cell r="CJ92"/>
          <cell r="CK92"/>
          <cell r="CL92"/>
          <cell r="CM92"/>
          <cell r="CN92"/>
          <cell r="CO92"/>
        </row>
        <row r="93">
          <cell r="C93"/>
          <cell r="D93" t="str">
            <v>1 -maïs-grain</v>
          </cell>
          <cell r="E93"/>
          <cell r="F93"/>
          <cell r="G93"/>
          <cell r="H93"/>
          <cell r="I93" t="str">
            <v>1 -maïs-grain</v>
          </cell>
          <cell r="J93"/>
          <cell r="K93" t="str">
            <v>1 -maïs-grain</v>
          </cell>
          <cell r="L93"/>
          <cell r="M93" t="str">
            <v>6 -tourteaux soja</v>
          </cell>
          <cell r="N93" t="str">
            <v>6 -tourteaux soja</v>
          </cell>
          <cell r="O93" t="str">
            <v>6 -tourteaux soja</v>
          </cell>
          <cell r="P93"/>
          <cell r="Q93"/>
          <cell r="R93" t="str">
            <v>1 -maïs-grain</v>
          </cell>
          <cell r="S93"/>
          <cell r="T93" t="str">
            <v>1 -maïs-grain</v>
          </cell>
          <cell r="U93"/>
          <cell r="V93"/>
          <cell r="W93"/>
          <cell r="X93"/>
          <cell r="Y93"/>
          <cell r="Z93" t="str">
            <v>6 -tourteaux soja</v>
          </cell>
          <cell r="AA93" t="str">
            <v>1 -maïs-grain</v>
          </cell>
          <cell r="AB93"/>
          <cell r="AC93" t="str">
            <v>1 -maïs-grain</v>
          </cell>
          <cell r="AD93" t="str">
            <v>3 -graines protéagineux</v>
          </cell>
          <cell r="AE93" t="str">
            <v>6 -tourteaux soja</v>
          </cell>
          <cell r="AF93" t="str">
            <v>6 -tourteaux soja</v>
          </cell>
          <cell r="AG93" t="str">
            <v>1 -maïs-grain</v>
          </cell>
          <cell r="AH93" t="str">
            <v>1 -maïs-grain</v>
          </cell>
          <cell r="AI93"/>
          <cell r="AJ93"/>
          <cell r="AK93"/>
          <cell r="AL93"/>
          <cell r="AM93"/>
          <cell r="AN93"/>
          <cell r="AO93"/>
          <cell r="AP93" t="str">
            <v>1 -maïs-grain</v>
          </cell>
          <cell r="AQ93" t="str">
            <v>6 -tourteaux soja</v>
          </cell>
          <cell r="AR93"/>
          <cell r="AS93"/>
          <cell r="AT93" t="str">
            <v>6 -tourteaux soja</v>
          </cell>
          <cell r="AU93" t="str">
            <v>3 -graines protéagineux</v>
          </cell>
          <cell r="AV93" t="str">
            <v>1 -maïs-grain</v>
          </cell>
          <cell r="AW93" t="str">
            <v>1 -maïs-grain</v>
          </cell>
          <cell r="AX93" t="str">
            <v>1 -maïs-grain</v>
          </cell>
          <cell r="AY93" t="str">
            <v>6 -tourteaux soja</v>
          </cell>
          <cell r="AZ93"/>
          <cell r="BA93"/>
          <cell r="BB93"/>
          <cell r="BC93" t="str">
            <v>3 -graines protéagineux</v>
          </cell>
          <cell r="BD93" t="str">
            <v>3 -graines protéagineux</v>
          </cell>
          <cell r="BE93" t="str">
            <v>1 -maïs-grain</v>
          </cell>
          <cell r="BF93" t="str">
            <v>1 -maïs-grain</v>
          </cell>
          <cell r="BG93"/>
          <cell r="BH93"/>
          <cell r="BI93"/>
          <cell r="BJ93"/>
          <cell r="BK93"/>
          <cell r="BL93"/>
          <cell r="BM93"/>
          <cell r="BN93"/>
          <cell r="BO93" t="str">
            <v>1 -maïs-grain</v>
          </cell>
          <cell r="BP93"/>
          <cell r="BQ93"/>
          <cell r="BR93"/>
          <cell r="BS93"/>
          <cell r="BT93"/>
          <cell r="BU93"/>
          <cell r="BV93"/>
          <cell r="BW93"/>
          <cell r="BX93"/>
          <cell r="BY93"/>
          <cell r="BZ93"/>
          <cell r="CA93"/>
          <cell r="CB93"/>
          <cell r="CC93"/>
          <cell r="CD93"/>
          <cell r="CE93"/>
          <cell r="CF93"/>
          <cell r="CG93"/>
          <cell r="CH93"/>
          <cell r="CI93"/>
          <cell r="CJ93"/>
          <cell r="CK93"/>
          <cell r="CL93"/>
          <cell r="CM93"/>
          <cell r="CN93"/>
          <cell r="CO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 t="str">
            <v>8 -CMV bovin allaitant</v>
          </cell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 t="str">
            <v>8 -CMV bovin allaitant</v>
          </cell>
          <cell r="AE94"/>
          <cell r="AF94"/>
          <cell r="AG94"/>
          <cell r="AH94"/>
          <cell r="AI94"/>
          <cell r="AJ94"/>
          <cell r="AK94"/>
          <cell r="AL94"/>
          <cell r="AM94"/>
          <cell r="AN94"/>
          <cell r="AO94"/>
          <cell r="AP94"/>
          <cell r="AQ94"/>
          <cell r="AR94"/>
          <cell r="AS94"/>
          <cell r="AT94" t="str">
            <v>8 -CMV bovin allaitant</v>
          </cell>
          <cell r="AU94" t="str">
            <v>8 -CMV bovin allaitant</v>
          </cell>
          <cell r="AV94"/>
          <cell r="AW94"/>
          <cell r="AX94"/>
          <cell r="AY94" t="str">
            <v>8 -CMV bovin allaitant</v>
          </cell>
          <cell r="AZ94"/>
          <cell r="BA94"/>
          <cell r="BB94"/>
          <cell r="BC94" t="str">
            <v>8 -CMV bovin allaitant</v>
          </cell>
          <cell r="BD94" t="str">
            <v>8 -CMV bovin allaitant</v>
          </cell>
          <cell r="BE94"/>
          <cell r="BF94"/>
          <cell r="BG94"/>
          <cell r="BH94"/>
          <cell r="BI94"/>
          <cell r="BJ94"/>
          <cell r="BK94"/>
          <cell r="BL94"/>
          <cell r="BM94"/>
          <cell r="BN94"/>
          <cell r="BO94"/>
          <cell r="BP94"/>
          <cell r="BQ94"/>
          <cell r="BR94"/>
          <cell r="BS94"/>
          <cell r="BT94"/>
          <cell r="BU94"/>
          <cell r="BV94"/>
          <cell r="BW94"/>
          <cell r="BX94"/>
          <cell r="BY94"/>
          <cell r="BZ94"/>
          <cell r="CA94"/>
          <cell r="CB94"/>
          <cell r="CC94"/>
          <cell r="CD94"/>
          <cell r="CE94"/>
          <cell r="CF94"/>
          <cell r="CG94"/>
          <cell r="CH94"/>
          <cell r="CI94"/>
          <cell r="CJ94"/>
          <cell r="CK94"/>
          <cell r="CL94"/>
          <cell r="CM94"/>
          <cell r="CN94"/>
          <cell r="CO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/>
          <cell r="AI95"/>
          <cell r="AJ95"/>
          <cell r="AK95"/>
          <cell r="AL95"/>
          <cell r="AM95"/>
          <cell r="AN95"/>
          <cell r="AO95"/>
          <cell r="AP95"/>
          <cell r="AQ95"/>
          <cell r="AR95"/>
          <cell r="AS95"/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/>
          <cell r="BG95"/>
          <cell r="BH95"/>
          <cell r="BI95"/>
          <cell r="BJ95"/>
          <cell r="BK95"/>
          <cell r="BL95"/>
          <cell r="BM95"/>
          <cell r="BN95"/>
          <cell r="BO95"/>
          <cell r="BP95"/>
          <cell r="BQ95"/>
          <cell r="BR95"/>
          <cell r="BS95"/>
          <cell r="BT95"/>
          <cell r="BU95"/>
          <cell r="BV95"/>
          <cell r="BW95"/>
          <cell r="BX95"/>
          <cell r="BY95"/>
          <cell r="BZ95"/>
          <cell r="CA95"/>
          <cell r="CB95"/>
          <cell r="CC95"/>
          <cell r="CD95"/>
          <cell r="CE95"/>
          <cell r="CF95"/>
          <cell r="CG95"/>
          <cell r="CH95"/>
          <cell r="CI95"/>
          <cell r="CJ95"/>
          <cell r="CK95"/>
          <cell r="CL95"/>
          <cell r="CM95"/>
          <cell r="CN95"/>
          <cell r="CO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  <cell r="AI96"/>
          <cell r="AJ96"/>
          <cell r="AK96"/>
          <cell r="AL96"/>
          <cell r="AM96"/>
          <cell r="AN96"/>
          <cell r="AO96"/>
          <cell r="AP96"/>
          <cell r="AQ96"/>
          <cell r="AR96"/>
          <cell r="AS96"/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/>
          <cell r="BG96"/>
          <cell r="BH96"/>
          <cell r="BI96"/>
          <cell r="BJ96"/>
          <cell r="BK96"/>
          <cell r="BL96"/>
          <cell r="BM96"/>
          <cell r="BN96"/>
          <cell r="BO96"/>
          <cell r="BP96"/>
          <cell r="BQ96"/>
          <cell r="BR96"/>
          <cell r="BS96"/>
          <cell r="BT96"/>
          <cell r="BU96"/>
          <cell r="BV96"/>
          <cell r="BW96"/>
          <cell r="BX96"/>
          <cell r="BY96"/>
          <cell r="BZ96"/>
          <cell r="CA96"/>
          <cell r="CB96"/>
          <cell r="CC96"/>
          <cell r="CD96"/>
          <cell r="CE96"/>
          <cell r="CF96"/>
          <cell r="CG96"/>
          <cell r="CH96"/>
          <cell r="CI96"/>
          <cell r="CJ96"/>
          <cell r="CK96"/>
          <cell r="CL96"/>
          <cell r="CM96"/>
          <cell r="CN96"/>
          <cell r="CO96"/>
        </row>
        <row r="97"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 t="str">
            <v xml:space="preserve">17 -alim veau </v>
          </cell>
          <cell r="O97" t="str">
            <v xml:space="preserve">17 -alim veau </v>
          </cell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 t="str">
            <v xml:space="preserve">17 -alim veau </v>
          </cell>
          <cell r="AE97" t="str">
            <v xml:space="preserve">17 -alim veau </v>
          </cell>
          <cell r="AF97"/>
          <cell r="AG97"/>
          <cell r="AH97"/>
          <cell r="AI97"/>
          <cell r="AJ97"/>
          <cell r="AK97"/>
          <cell r="AL97"/>
          <cell r="AM97"/>
          <cell r="AN97"/>
          <cell r="AO97"/>
          <cell r="AP97"/>
          <cell r="AQ97"/>
          <cell r="AR97"/>
          <cell r="AS97"/>
          <cell r="AT97" t="str">
            <v xml:space="preserve">17 -alim veau </v>
          </cell>
          <cell r="AU97" t="str">
            <v xml:space="preserve">17 -alim veau </v>
          </cell>
          <cell r="AV97"/>
          <cell r="AW97"/>
          <cell r="AX97"/>
          <cell r="AY97" t="str">
            <v xml:space="preserve">17 -alim veau </v>
          </cell>
          <cell r="AZ97"/>
          <cell r="BA97"/>
          <cell r="BB97"/>
          <cell r="BC97" t="str">
            <v xml:space="preserve">17 -alim veau </v>
          </cell>
          <cell r="BD97" t="str">
            <v xml:space="preserve">17 -alim veau </v>
          </cell>
          <cell r="BE97"/>
          <cell r="BF97"/>
          <cell r="BG97"/>
          <cell r="BH97"/>
          <cell r="BI97"/>
          <cell r="BJ97"/>
          <cell r="BK97"/>
          <cell r="BL97"/>
          <cell r="BM97"/>
          <cell r="BN97"/>
          <cell r="BO97"/>
          <cell r="BP97"/>
          <cell r="BQ97"/>
          <cell r="BR97"/>
          <cell r="BS97"/>
          <cell r="BT97"/>
          <cell r="BU97"/>
          <cell r="BV97"/>
          <cell r="BW97"/>
          <cell r="BX97"/>
          <cell r="BY97"/>
          <cell r="BZ97"/>
          <cell r="CA97"/>
          <cell r="CB97"/>
          <cell r="CC97"/>
          <cell r="CD97"/>
          <cell r="CE97"/>
          <cell r="CF97"/>
          <cell r="CG97"/>
          <cell r="CH97"/>
          <cell r="CI97"/>
          <cell r="CJ97"/>
          <cell r="CK97"/>
          <cell r="CL97"/>
          <cell r="CM97"/>
          <cell r="CN97"/>
          <cell r="CO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  <cell r="AI98"/>
          <cell r="AJ98"/>
          <cell r="AK98"/>
          <cell r="AL98"/>
          <cell r="AM98"/>
          <cell r="AN98"/>
          <cell r="AO98"/>
          <cell r="AP98"/>
          <cell r="AQ98"/>
          <cell r="AR98"/>
          <cell r="AS98"/>
          <cell r="AT98"/>
          <cell r="AU98"/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/>
          <cell r="BG98"/>
          <cell r="BH98"/>
          <cell r="BI98"/>
          <cell r="BJ98"/>
          <cell r="BK98"/>
          <cell r="BL98"/>
          <cell r="BM98"/>
          <cell r="BN98"/>
          <cell r="BO98"/>
          <cell r="BP98"/>
          <cell r="BQ98"/>
          <cell r="BR98"/>
          <cell r="BS98"/>
          <cell r="BT98"/>
          <cell r="BU98"/>
          <cell r="BV98"/>
          <cell r="BW98"/>
          <cell r="BX98"/>
          <cell r="BY98"/>
          <cell r="BZ98"/>
          <cell r="CA98"/>
          <cell r="CB98"/>
          <cell r="CC98"/>
          <cell r="CD98"/>
          <cell r="CE98"/>
          <cell r="CF98"/>
          <cell r="CG98"/>
          <cell r="CH98"/>
          <cell r="CI98"/>
          <cell r="CJ98"/>
          <cell r="CK98"/>
          <cell r="CL98"/>
          <cell r="CM98"/>
          <cell r="CN98"/>
          <cell r="CO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  <cell r="AI99"/>
          <cell r="AJ99"/>
          <cell r="AK99"/>
          <cell r="AL99"/>
          <cell r="AM99"/>
          <cell r="AN99"/>
          <cell r="AO99"/>
          <cell r="AP99"/>
          <cell r="AQ99"/>
          <cell r="AR99"/>
          <cell r="AS99"/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/>
          <cell r="BG99"/>
          <cell r="BH99"/>
          <cell r="BI99"/>
          <cell r="BJ99"/>
          <cell r="BK99"/>
          <cell r="BL99"/>
          <cell r="BM99"/>
          <cell r="BN99"/>
          <cell r="BO99"/>
          <cell r="BP99"/>
          <cell r="BQ99"/>
          <cell r="BR99"/>
          <cell r="BS99"/>
          <cell r="BT99"/>
          <cell r="BU99"/>
          <cell r="BV99"/>
          <cell r="BW99"/>
          <cell r="BX99"/>
          <cell r="BY99"/>
          <cell r="BZ99"/>
          <cell r="CA99"/>
          <cell r="CB99"/>
          <cell r="CC99"/>
          <cell r="CD99"/>
          <cell r="CE99"/>
          <cell r="CF99"/>
          <cell r="CG99"/>
          <cell r="CH99"/>
          <cell r="CI99"/>
          <cell r="CJ99"/>
          <cell r="CK99"/>
          <cell r="CL99"/>
          <cell r="CM99"/>
          <cell r="CN99"/>
          <cell r="CO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  <cell r="AI100"/>
          <cell r="AJ100"/>
          <cell r="AK100"/>
          <cell r="AL100"/>
          <cell r="AM100"/>
          <cell r="AN100"/>
          <cell r="AO100"/>
          <cell r="AP100"/>
          <cell r="AQ100"/>
          <cell r="AR100"/>
          <cell r="AS100"/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/>
          <cell r="BG100"/>
          <cell r="BH100"/>
          <cell r="BI100"/>
          <cell r="BJ100"/>
          <cell r="BK100"/>
          <cell r="BL100"/>
          <cell r="BM100"/>
          <cell r="BN100"/>
          <cell r="BO100"/>
          <cell r="BP100"/>
          <cell r="BQ100"/>
          <cell r="BR100"/>
          <cell r="BS100"/>
          <cell r="BT100"/>
          <cell r="BU100"/>
          <cell r="BV100"/>
          <cell r="BW100"/>
          <cell r="BX100"/>
          <cell r="BY100"/>
          <cell r="BZ100"/>
          <cell r="CA100"/>
          <cell r="CB100"/>
          <cell r="CC100"/>
          <cell r="CD100"/>
          <cell r="CE100"/>
          <cell r="CF100"/>
          <cell r="CG100"/>
          <cell r="CH100"/>
          <cell r="CI100"/>
          <cell r="CJ100"/>
          <cell r="CK100"/>
          <cell r="CL100"/>
          <cell r="CM100"/>
          <cell r="CN100"/>
          <cell r="CO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/>
          <cell r="AJ101"/>
          <cell r="AK101"/>
          <cell r="AL101"/>
          <cell r="AM101"/>
          <cell r="AN101"/>
          <cell r="AO101"/>
          <cell r="AP101"/>
          <cell r="AQ101"/>
          <cell r="AR101"/>
          <cell r="AS101"/>
          <cell r="AT101"/>
          <cell r="AU101"/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/>
          <cell r="BG101"/>
          <cell r="BH101"/>
          <cell r="BI101"/>
          <cell r="BJ101"/>
          <cell r="BK101"/>
          <cell r="BL101"/>
          <cell r="BM101"/>
          <cell r="BN101"/>
          <cell r="BO101"/>
          <cell r="BP101"/>
          <cell r="BQ101"/>
          <cell r="BR101"/>
          <cell r="BS101"/>
          <cell r="BT101"/>
          <cell r="BU101"/>
          <cell r="BV101"/>
          <cell r="BW101"/>
          <cell r="BX101"/>
          <cell r="BY101"/>
          <cell r="BZ101"/>
          <cell r="CA101"/>
          <cell r="CB101"/>
          <cell r="CC101"/>
          <cell r="CD101"/>
          <cell r="CE101"/>
          <cell r="CF101"/>
          <cell r="CG101"/>
          <cell r="CH101"/>
          <cell r="CI101"/>
          <cell r="CJ101"/>
          <cell r="CK101"/>
          <cell r="CL101"/>
          <cell r="CM101"/>
          <cell r="CN101"/>
          <cell r="CO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 t="str">
            <v xml:space="preserve">17 -alim veau </v>
          </cell>
          <cell r="O102" t="str">
            <v xml:space="preserve">17 -alim veau </v>
          </cell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 t="str">
            <v xml:space="preserve">17 -alim veau </v>
          </cell>
          <cell r="AE102" t="str">
            <v xml:space="preserve">17 -alim veau </v>
          </cell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 t="str">
            <v xml:space="preserve">17 -alim veau </v>
          </cell>
          <cell r="AU102" t="str">
            <v xml:space="preserve">17 -alim veau </v>
          </cell>
          <cell r="AV102"/>
          <cell r="AW102"/>
          <cell r="AX102"/>
          <cell r="AY102" t="str">
            <v xml:space="preserve">17 -alim veau </v>
          </cell>
          <cell r="AZ102"/>
          <cell r="BA102"/>
          <cell r="BB102"/>
          <cell r="BC102" t="str">
            <v xml:space="preserve">17 -alim veau </v>
          </cell>
          <cell r="BD102" t="str">
            <v xml:space="preserve">17 -alim veau </v>
          </cell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</row>
        <row r="103"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  <cell r="AI103"/>
          <cell r="AJ103"/>
          <cell r="AK103"/>
          <cell r="AL103"/>
          <cell r="AM103"/>
          <cell r="AN103"/>
          <cell r="AO103"/>
          <cell r="AP103"/>
          <cell r="AQ103"/>
          <cell r="AR103"/>
          <cell r="AS103"/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/>
          <cell r="BG103"/>
          <cell r="BH103"/>
          <cell r="BI103"/>
          <cell r="BJ103"/>
          <cell r="BK103"/>
          <cell r="BL103"/>
          <cell r="BM103"/>
          <cell r="BN103"/>
          <cell r="BO103"/>
          <cell r="BP103"/>
          <cell r="BQ103"/>
          <cell r="BR103"/>
          <cell r="BS103"/>
          <cell r="BT103"/>
          <cell r="BU103"/>
          <cell r="BV103"/>
          <cell r="BW103"/>
          <cell r="BX103"/>
          <cell r="BY103"/>
          <cell r="BZ103"/>
          <cell r="CA103"/>
          <cell r="CB103"/>
          <cell r="CC103"/>
          <cell r="CD103"/>
          <cell r="CE103"/>
          <cell r="CF103"/>
          <cell r="CG103"/>
          <cell r="CH103"/>
          <cell r="CI103"/>
          <cell r="CJ103"/>
          <cell r="CK103"/>
          <cell r="CL103"/>
          <cell r="CM103"/>
          <cell r="CN103"/>
          <cell r="CO103"/>
        </row>
        <row r="104"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  <cell r="AI104"/>
          <cell r="AJ104"/>
          <cell r="AK104"/>
          <cell r="AL104"/>
          <cell r="AM104"/>
          <cell r="AN104"/>
          <cell r="AO104"/>
          <cell r="AP104"/>
          <cell r="AQ104"/>
          <cell r="AR104"/>
          <cell r="AS104"/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/>
          <cell r="BG104"/>
          <cell r="BH104"/>
          <cell r="BI104"/>
          <cell r="BJ104"/>
          <cell r="BK104"/>
          <cell r="BL104"/>
          <cell r="BM104"/>
          <cell r="BN104"/>
          <cell r="BO104"/>
          <cell r="BP104"/>
          <cell r="BQ104"/>
          <cell r="BR104"/>
          <cell r="BS104"/>
          <cell r="BT104"/>
          <cell r="BU104"/>
          <cell r="BV104"/>
          <cell r="BW104"/>
          <cell r="BX104"/>
          <cell r="BY104"/>
          <cell r="BZ104"/>
          <cell r="CA104"/>
          <cell r="CB104"/>
          <cell r="CC104"/>
          <cell r="CD104"/>
          <cell r="CE104"/>
          <cell r="CF104"/>
          <cell r="CG104"/>
          <cell r="CH104"/>
          <cell r="CI104"/>
          <cell r="CJ104"/>
          <cell r="CK104"/>
          <cell r="CL104"/>
          <cell r="CM104"/>
          <cell r="CN104"/>
          <cell r="CO104"/>
        </row>
        <row r="105"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  <cell r="AI105"/>
          <cell r="AJ105"/>
          <cell r="AK105"/>
          <cell r="AL105"/>
          <cell r="AM105"/>
          <cell r="AN105"/>
          <cell r="AO105"/>
          <cell r="AP105"/>
          <cell r="AQ105"/>
          <cell r="AR105"/>
          <cell r="AS105"/>
          <cell r="AT105"/>
          <cell r="AU105"/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/>
          <cell r="BG105"/>
          <cell r="BH105"/>
          <cell r="BI105"/>
          <cell r="BJ105"/>
          <cell r="BK105"/>
          <cell r="BL105"/>
          <cell r="BM105"/>
          <cell r="BN105"/>
          <cell r="BO105"/>
          <cell r="BP105"/>
          <cell r="BQ105"/>
          <cell r="BR105"/>
          <cell r="BS105"/>
          <cell r="BT105"/>
          <cell r="BU105"/>
          <cell r="BV105"/>
          <cell r="BW105"/>
          <cell r="BX105"/>
          <cell r="BY105"/>
          <cell r="BZ105"/>
          <cell r="CA105"/>
          <cell r="CB105"/>
          <cell r="CC105"/>
          <cell r="CD105"/>
          <cell r="CE105"/>
          <cell r="CF105"/>
          <cell r="CG105"/>
          <cell r="CH105"/>
          <cell r="CI105"/>
          <cell r="CJ105"/>
          <cell r="CK105"/>
          <cell r="CL105"/>
          <cell r="CM105"/>
          <cell r="CN105"/>
          <cell r="CO105"/>
        </row>
        <row r="106"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  <cell r="AI106"/>
          <cell r="AJ106"/>
          <cell r="AK106"/>
          <cell r="AL106"/>
          <cell r="AM106"/>
          <cell r="AN106"/>
          <cell r="AO106"/>
          <cell r="AP106"/>
          <cell r="AQ106"/>
          <cell r="AR106"/>
          <cell r="AS106"/>
          <cell r="AT106"/>
          <cell r="AU106"/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/>
          <cell r="BG106"/>
          <cell r="BH106"/>
          <cell r="BI106"/>
          <cell r="BJ106"/>
          <cell r="BK106"/>
          <cell r="BL106"/>
          <cell r="BM106"/>
          <cell r="BN106"/>
          <cell r="BO106"/>
          <cell r="BP106"/>
          <cell r="BQ106"/>
          <cell r="BR106"/>
          <cell r="BS106"/>
          <cell r="BT106"/>
          <cell r="BU106"/>
          <cell r="BV106"/>
          <cell r="BW106"/>
          <cell r="BX106"/>
          <cell r="BY106"/>
          <cell r="BZ106"/>
          <cell r="CA106"/>
          <cell r="CB106"/>
          <cell r="CC106"/>
          <cell r="CD106"/>
          <cell r="CE106"/>
          <cell r="CF106"/>
          <cell r="CG106"/>
          <cell r="CH106"/>
          <cell r="CI106"/>
          <cell r="CJ106"/>
          <cell r="CK106"/>
          <cell r="CL106"/>
          <cell r="CM106"/>
          <cell r="CN106"/>
          <cell r="CO106"/>
        </row>
        <row r="107"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 t="str">
            <v>2 -grain céréales à paille</v>
          </cell>
          <cell r="O107" t="str">
            <v>1 -maïs-grain</v>
          </cell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 t="str">
            <v>2 -grain céréales à paille</v>
          </cell>
          <cell r="AE107" t="str">
            <v>1 -maïs-grain</v>
          </cell>
          <cell r="AF107"/>
          <cell r="AG107"/>
          <cell r="AH107"/>
          <cell r="AI107"/>
          <cell r="AJ107"/>
          <cell r="AK107"/>
          <cell r="AL107"/>
          <cell r="AM107"/>
          <cell r="AN107"/>
          <cell r="AO107"/>
          <cell r="AP107"/>
          <cell r="AQ107"/>
          <cell r="AR107"/>
          <cell r="AS107"/>
          <cell r="AT107" t="str">
            <v>2 -grain céréales à paille</v>
          </cell>
          <cell r="AU107" t="str">
            <v>2 -grain céréales à paille</v>
          </cell>
          <cell r="AV107"/>
          <cell r="AW107"/>
          <cell r="AX107"/>
          <cell r="AY107" t="str">
            <v>2 -grain céréales à paille</v>
          </cell>
          <cell r="AZ107"/>
          <cell r="BA107"/>
          <cell r="BB107"/>
          <cell r="BC107" t="str">
            <v>2 -grain céréales à paille</v>
          </cell>
          <cell r="BD107" t="str">
            <v>2 -grain céréales à paille</v>
          </cell>
          <cell r="BE107"/>
          <cell r="BF107"/>
          <cell r="BG107"/>
          <cell r="BH107"/>
          <cell r="BI107"/>
          <cell r="BJ107"/>
          <cell r="BK107"/>
          <cell r="BL107"/>
          <cell r="BM107"/>
          <cell r="BN107"/>
          <cell r="BO107"/>
          <cell r="BP107"/>
          <cell r="BQ107"/>
          <cell r="BR107"/>
          <cell r="BS107"/>
          <cell r="BT107"/>
          <cell r="BU107"/>
          <cell r="BV107"/>
          <cell r="BW107"/>
          <cell r="BX107"/>
          <cell r="BY107"/>
          <cell r="BZ107"/>
          <cell r="CA107"/>
          <cell r="CB107"/>
          <cell r="CC107"/>
          <cell r="CD107"/>
          <cell r="CE107"/>
          <cell r="CF107"/>
          <cell r="CG107"/>
          <cell r="CH107"/>
          <cell r="CI107"/>
          <cell r="CJ107"/>
          <cell r="CK107"/>
          <cell r="CL107"/>
          <cell r="CM107"/>
          <cell r="CN107"/>
          <cell r="CO107"/>
        </row>
        <row r="108"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 t="str">
            <v>6 -tourteaux soja</v>
          </cell>
          <cell r="O108" t="str">
            <v>6 -tourteaux soja</v>
          </cell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 t="str">
            <v>6 -tourteaux soja</v>
          </cell>
          <cell r="AE108" t="str">
            <v>6 -tourteaux soja</v>
          </cell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 t="str">
            <v>6 -tourteaux soja</v>
          </cell>
          <cell r="AU108" t="str">
            <v>6 -tourteaux soja</v>
          </cell>
          <cell r="AV108"/>
          <cell r="AW108"/>
          <cell r="AX108"/>
          <cell r="AY108" t="str">
            <v>6 -tourteaux soja</v>
          </cell>
          <cell r="AZ108"/>
          <cell r="BA108"/>
          <cell r="BB108"/>
          <cell r="BC108" t="str">
            <v>6 -tourteaux soja</v>
          </cell>
          <cell r="BD108" t="str">
            <v>6 -tourteaux soja</v>
          </cell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</row>
        <row r="109"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  <cell r="AK109"/>
          <cell r="AL109"/>
          <cell r="AM109"/>
          <cell r="AN109"/>
          <cell r="AO109"/>
          <cell r="AP109"/>
          <cell r="AQ109"/>
          <cell r="AR109"/>
          <cell r="AS109"/>
          <cell r="AT109"/>
          <cell r="AU109"/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/>
          <cell r="BG109"/>
          <cell r="BH109"/>
          <cell r="BI109"/>
          <cell r="BJ109"/>
          <cell r="BK109"/>
          <cell r="BL109"/>
          <cell r="BM109"/>
          <cell r="BN109"/>
          <cell r="BO109"/>
          <cell r="BP109"/>
          <cell r="BQ109"/>
          <cell r="BR109"/>
          <cell r="BS109"/>
          <cell r="BT109"/>
          <cell r="BU109"/>
          <cell r="BV109"/>
          <cell r="BW109"/>
          <cell r="BX109"/>
          <cell r="BY109"/>
          <cell r="BZ109"/>
          <cell r="CA109"/>
          <cell r="CB109"/>
          <cell r="CC109"/>
          <cell r="CD109"/>
          <cell r="CE109"/>
          <cell r="CF109"/>
          <cell r="CG109"/>
          <cell r="CH109"/>
          <cell r="CI109"/>
          <cell r="CJ109"/>
          <cell r="CK109"/>
          <cell r="CL109"/>
          <cell r="CM109"/>
          <cell r="CN109"/>
          <cell r="CO109"/>
        </row>
        <row r="110"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  <cell r="AI110"/>
          <cell r="AJ110"/>
          <cell r="AK110"/>
          <cell r="AL110"/>
          <cell r="AM110"/>
          <cell r="AN110"/>
          <cell r="AO110"/>
          <cell r="AP110"/>
          <cell r="AQ110"/>
          <cell r="AR110"/>
          <cell r="AS110"/>
          <cell r="AT110"/>
          <cell r="AU110"/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/>
          <cell r="BG110"/>
          <cell r="BH110"/>
          <cell r="BI110"/>
          <cell r="BJ110"/>
          <cell r="BK110"/>
          <cell r="BL110"/>
          <cell r="BM110"/>
          <cell r="BN110"/>
          <cell r="BO110"/>
          <cell r="BP110"/>
          <cell r="BQ110"/>
          <cell r="BR110"/>
          <cell r="BS110"/>
          <cell r="BT110"/>
          <cell r="BU110"/>
          <cell r="BV110"/>
          <cell r="BW110"/>
          <cell r="BX110"/>
          <cell r="BY110"/>
          <cell r="BZ110"/>
          <cell r="CA110"/>
          <cell r="CB110"/>
          <cell r="CC110"/>
          <cell r="CD110"/>
          <cell r="CE110"/>
          <cell r="CF110"/>
          <cell r="CG110"/>
          <cell r="CH110"/>
          <cell r="CI110"/>
          <cell r="CJ110"/>
          <cell r="CK110"/>
          <cell r="CL110"/>
          <cell r="CM110"/>
          <cell r="CN110"/>
          <cell r="CO110"/>
        </row>
        <row r="111"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  <cell r="AI111"/>
          <cell r="AJ111"/>
          <cell r="AK111"/>
          <cell r="AL111"/>
          <cell r="AM111"/>
          <cell r="AN111"/>
          <cell r="AO111"/>
          <cell r="AP111"/>
          <cell r="AQ111"/>
          <cell r="AR111"/>
          <cell r="AS111"/>
          <cell r="AT111"/>
          <cell r="AU111"/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/>
          <cell r="BG111"/>
          <cell r="BH111"/>
          <cell r="BI111"/>
          <cell r="BJ111"/>
          <cell r="BK111"/>
          <cell r="BL111"/>
          <cell r="BM111"/>
          <cell r="BN111"/>
          <cell r="BO111"/>
          <cell r="BP111"/>
          <cell r="BQ111"/>
          <cell r="BR111"/>
          <cell r="BS111"/>
          <cell r="BT111"/>
          <cell r="BU111"/>
          <cell r="BV111"/>
          <cell r="BW111"/>
          <cell r="BX111"/>
          <cell r="BY111"/>
          <cell r="BZ111"/>
          <cell r="CA111"/>
          <cell r="CB111"/>
          <cell r="CC111"/>
          <cell r="CD111"/>
          <cell r="CE111"/>
          <cell r="CF111"/>
          <cell r="CG111"/>
          <cell r="CH111"/>
          <cell r="CI111"/>
          <cell r="CJ111"/>
          <cell r="CK111"/>
          <cell r="CL111"/>
          <cell r="CM111"/>
          <cell r="CN111"/>
          <cell r="CO111"/>
        </row>
        <row r="112"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 t="str">
            <v>1 -maïs-grain</v>
          </cell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 t="str">
            <v>1 -maïs-grain</v>
          </cell>
          <cell r="AF112"/>
          <cell r="AG112"/>
          <cell r="AH112"/>
          <cell r="AI112"/>
          <cell r="AJ112"/>
          <cell r="AK112"/>
          <cell r="AL112"/>
          <cell r="AM112"/>
          <cell r="AN112"/>
          <cell r="AO112"/>
          <cell r="AP112"/>
          <cell r="AQ112"/>
          <cell r="AR112"/>
          <cell r="AS112"/>
          <cell r="AT112"/>
          <cell r="AU112"/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/>
          <cell r="BG112"/>
          <cell r="BH112"/>
          <cell r="BI112"/>
          <cell r="BJ112"/>
          <cell r="BK112"/>
          <cell r="BL112"/>
          <cell r="BM112"/>
          <cell r="BN112"/>
          <cell r="BO112"/>
          <cell r="BP112"/>
          <cell r="BQ112"/>
          <cell r="BR112"/>
          <cell r="BS112"/>
          <cell r="BT112"/>
          <cell r="BU112"/>
          <cell r="BV112"/>
          <cell r="BW112"/>
          <cell r="BX112"/>
          <cell r="BY112"/>
          <cell r="BZ112"/>
          <cell r="CA112"/>
          <cell r="CB112"/>
          <cell r="CC112"/>
          <cell r="CD112"/>
          <cell r="CE112"/>
          <cell r="CF112"/>
          <cell r="CG112"/>
          <cell r="CH112"/>
          <cell r="CI112"/>
          <cell r="CJ112"/>
          <cell r="CK112"/>
          <cell r="CL112"/>
          <cell r="CM112"/>
          <cell r="CN112"/>
          <cell r="CO112"/>
        </row>
        <row r="113"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 t="str">
            <v>6 -tourteaux soja</v>
          </cell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 t="str">
            <v>6 -tourteaux soja</v>
          </cell>
          <cell r="AF113"/>
          <cell r="AG113"/>
          <cell r="AH113"/>
          <cell r="AI113"/>
          <cell r="AJ113"/>
          <cell r="AK113"/>
          <cell r="AL113"/>
          <cell r="AM113"/>
          <cell r="AN113"/>
          <cell r="AO113"/>
          <cell r="AP113"/>
          <cell r="AQ113"/>
          <cell r="AR113"/>
          <cell r="AS113"/>
          <cell r="AT113"/>
          <cell r="AU113"/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/>
          <cell r="BG113"/>
          <cell r="BH113"/>
          <cell r="BI113"/>
          <cell r="BJ113"/>
          <cell r="BK113"/>
          <cell r="BL113"/>
          <cell r="BM113"/>
          <cell r="BN113"/>
          <cell r="BO113"/>
          <cell r="BP113"/>
          <cell r="BQ113"/>
          <cell r="BR113"/>
          <cell r="BS113"/>
          <cell r="BT113"/>
          <cell r="BU113"/>
          <cell r="BV113"/>
          <cell r="BW113"/>
          <cell r="BX113"/>
          <cell r="BY113"/>
          <cell r="BZ113"/>
          <cell r="CA113"/>
          <cell r="CB113"/>
          <cell r="CC113"/>
          <cell r="CD113"/>
          <cell r="CE113"/>
          <cell r="CF113"/>
          <cell r="CG113"/>
          <cell r="CH113"/>
          <cell r="CI113"/>
          <cell r="CJ113"/>
          <cell r="CK113"/>
          <cell r="CL113"/>
          <cell r="CM113"/>
          <cell r="CN113"/>
          <cell r="CO113"/>
        </row>
        <row r="114"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  <cell r="AJ114"/>
          <cell r="AK114"/>
          <cell r="AL114"/>
          <cell r="AM114"/>
          <cell r="AN114"/>
          <cell r="AO114"/>
          <cell r="AP114"/>
          <cell r="AQ114"/>
          <cell r="AR114"/>
          <cell r="AS114"/>
          <cell r="AT114"/>
          <cell r="AU114"/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/>
          <cell r="BG114"/>
          <cell r="BH114"/>
          <cell r="BI114"/>
          <cell r="BJ114"/>
          <cell r="BK114"/>
          <cell r="BL114"/>
          <cell r="BM114"/>
          <cell r="BN114"/>
          <cell r="BO114"/>
          <cell r="BP114"/>
          <cell r="BQ114"/>
          <cell r="BR114"/>
          <cell r="BS114"/>
          <cell r="BT114"/>
          <cell r="BU114"/>
          <cell r="BV114"/>
          <cell r="BW114"/>
          <cell r="BX114"/>
          <cell r="BY114"/>
          <cell r="BZ114"/>
          <cell r="CA114"/>
          <cell r="CB114"/>
          <cell r="CC114"/>
          <cell r="CD114"/>
          <cell r="CE114"/>
          <cell r="CF114"/>
          <cell r="CG114"/>
          <cell r="CH114"/>
          <cell r="CI114"/>
          <cell r="CJ114"/>
          <cell r="CK114"/>
          <cell r="CL114"/>
          <cell r="CM114"/>
          <cell r="CN114"/>
          <cell r="CO114"/>
        </row>
        <row r="115"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  <cell r="AJ115"/>
          <cell r="AK115"/>
          <cell r="AL115"/>
          <cell r="AM115"/>
          <cell r="AN115"/>
          <cell r="AO115"/>
          <cell r="AP115"/>
          <cell r="AQ115"/>
          <cell r="AR115"/>
          <cell r="AS115"/>
          <cell r="AT115"/>
          <cell r="AU115"/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/>
          <cell r="BG115"/>
          <cell r="BH115"/>
          <cell r="BI115"/>
          <cell r="BJ115"/>
          <cell r="BK115"/>
          <cell r="BL115"/>
          <cell r="BM115"/>
          <cell r="BN115"/>
          <cell r="BO115"/>
          <cell r="BP115"/>
          <cell r="BQ115"/>
          <cell r="BR115"/>
          <cell r="BS115"/>
          <cell r="BT115"/>
          <cell r="BU115"/>
          <cell r="BV115"/>
          <cell r="BW115"/>
          <cell r="BX115"/>
          <cell r="BY115"/>
          <cell r="BZ115"/>
          <cell r="CA115"/>
          <cell r="CB115"/>
          <cell r="CC115"/>
          <cell r="CD115"/>
          <cell r="CE115"/>
          <cell r="CF115"/>
          <cell r="CG115"/>
          <cell r="CH115"/>
          <cell r="CI115"/>
          <cell r="CJ115"/>
          <cell r="CK115"/>
          <cell r="CL115"/>
          <cell r="CM115"/>
          <cell r="CN115"/>
          <cell r="CO115"/>
        </row>
        <row r="116"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  <cell r="AJ116"/>
          <cell r="AK116"/>
          <cell r="AL116"/>
          <cell r="AM116"/>
          <cell r="AN116"/>
          <cell r="AO116"/>
          <cell r="AP116"/>
          <cell r="AQ116"/>
          <cell r="AR116"/>
          <cell r="AS116"/>
          <cell r="AT116"/>
          <cell r="AU116"/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/>
          <cell r="BG116"/>
          <cell r="BH116"/>
          <cell r="BI116"/>
          <cell r="BJ116"/>
          <cell r="BK116"/>
          <cell r="BL116"/>
          <cell r="BM116"/>
          <cell r="BN116"/>
          <cell r="BO116"/>
          <cell r="BP116"/>
          <cell r="BQ116"/>
          <cell r="BR116"/>
          <cell r="BS116"/>
          <cell r="BT116"/>
          <cell r="BU116"/>
          <cell r="BV116"/>
          <cell r="BW116"/>
          <cell r="BX116"/>
          <cell r="BY116"/>
          <cell r="BZ116"/>
          <cell r="CA116"/>
          <cell r="CB116"/>
          <cell r="CC116"/>
          <cell r="CD116"/>
          <cell r="CE116"/>
          <cell r="CF116"/>
          <cell r="CG116"/>
          <cell r="CH116"/>
          <cell r="CI116"/>
          <cell r="CJ116"/>
          <cell r="CK116"/>
          <cell r="CL116"/>
          <cell r="CM116"/>
          <cell r="CN116"/>
          <cell r="CO116"/>
        </row>
        <row r="117"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 t="str">
            <v>1 -maïs-grain</v>
          </cell>
          <cell r="P117"/>
          <cell r="Q117" t="str">
            <v>1 -maïs-grain</v>
          </cell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 t="str">
            <v>1 -maïs-grain</v>
          </cell>
          <cell r="AF117"/>
          <cell r="AG117"/>
          <cell r="AH117"/>
          <cell r="AI117"/>
          <cell r="AJ117"/>
          <cell r="AK117"/>
          <cell r="AL117"/>
          <cell r="AM117"/>
          <cell r="AN117"/>
          <cell r="AO117"/>
          <cell r="AP117"/>
          <cell r="AQ117"/>
          <cell r="AR117"/>
          <cell r="AS117"/>
          <cell r="AT117"/>
          <cell r="AU117"/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/>
          <cell r="BG117"/>
          <cell r="BH117"/>
          <cell r="BI117"/>
          <cell r="BJ117"/>
          <cell r="BK117"/>
          <cell r="BL117"/>
          <cell r="BM117"/>
          <cell r="BN117"/>
          <cell r="BO117"/>
          <cell r="BP117"/>
          <cell r="BQ117"/>
          <cell r="BR117"/>
          <cell r="BS117"/>
          <cell r="BT117"/>
          <cell r="BU117"/>
          <cell r="BV117"/>
          <cell r="BW117"/>
          <cell r="BX117"/>
          <cell r="BY117"/>
          <cell r="BZ117"/>
          <cell r="CA117"/>
          <cell r="CB117"/>
          <cell r="CC117"/>
          <cell r="CD117"/>
          <cell r="CE117"/>
          <cell r="CF117"/>
          <cell r="CG117"/>
          <cell r="CH117"/>
          <cell r="CI117"/>
          <cell r="CJ117"/>
          <cell r="CK117"/>
          <cell r="CL117"/>
          <cell r="CM117"/>
          <cell r="CN117"/>
          <cell r="CO117"/>
        </row>
        <row r="118"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 t="str">
            <v>6 -tourteaux soja</v>
          </cell>
          <cell r="P118" t="str">
            <v>6 -tourteaux soja</v>
          </cell>
          <cell r="Q118" t="str">
            <v>6 -tourteaux soja</v>
          </cell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 t="str">
            <v>6 -tourteaux soja</v>
          </cell>
          <cell r="AF118"/>
          <cell r="AG118"/>
          <cell r="AH118"/>
          <cell r="AI118"/>
          <cell r="AJ118"/>
          <cell r="AK118"/>
          <cell r="AL118"/>
          <cell r="AM118"/>
          <cell r="AN118"/>
          <cell r="AO118"/>
          <cell r="AP118"/>
          <cell r="AQ118"/>
          <cell r="AR118"/>
          <cell r="AS118"/>
          <cell r="AT118"/>
          <cell r="AU118"/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/>
          <cell r="BG118"/>
          <cell r="BH118"/>
          <cell r="BI118"/>
          <cell r="BJ118"/>
          <cell r="BK118"/>
          <cell r="BL118"/>
          <cell r="BM118"/>
          <cell r="BN118"/>
          <cell r="BO118"/>
          <cell r="BP118"/>
          <cell r="BQ118"/>
          <cell r="BR118"/>
          <cell r="BS118"/>
          <cell r="BT118"/>
          <cell r="BU118"/>
          <cell r="BV118"/>
          <cell r="BW118"/>
          <cell r="BX118"/>
          <cell r="BY118"/>
          <cell r="BZ118"/>
          <cell r="CA118"/>
          <cell r="CB118"/>
          <cell r="CC118"/>
          <cell r="CD118"/>
          <cell r="CE118"/>
          <cell r="CF118"/>
          <cell r="CG118"/>
          <cell r="CH118"/>
          <cell r="CI118"/>
          <cell r="CJ118"/>
          <cell r="CK118"/>
          <cell r="CL118"/>
          <cell r="CM118"/>
          <cell r="CN118"/>
          <cell r="CO118"/>
        </row>
        <row r="119"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 t="str">
            <v xml:space="preserve">18 -cmv engraissement bovin </v>
          </cell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  <cell r="AI119"/>
          <cell r="AJ119"/>
          <cell r="AK119"/>
          <cell r="AL119"/>
          <cell r="AM119"/>
          <cell r="AN119"/>
          <cell r="AO119"/>
          <cell r="AP119"/>
          <cell r="AQ119"/>
          <cell r="AR119"/>
          <cell r="AS119"/>
          <cell r="AT119"/>
          <cell r="AU119"/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/>
          <cell r="BG119"/>
          <cell r="BH119"/>
          <cell r="BI119"/>
          <cell r="BJ119"/>
          <cell r="BK119"/>
          <cell r="BL119"/>
          <cell r="BM119"/>
          <cell r="BN119"/>
          <cell r="BO119"/>
          <cell r="BP119"/>
          <cell r="BQ119"/>
          <cell r="BR119"/>
          <cell r="BS119"/>
          <cell r="BT119"/>
          <cell r="BU119"/>
          <cell r="BV119"/>
          <cell r="BW119"/>
          <cell r="BX119"/>
          <cell r="BY119"/>
          <cell r="BZ119"/>
          <cell r="CA119"/>
          <cell r="CB119"/>
          <cell r="CC119"/>
          <cell r="CD119"/>
          <cell r="CE119"/>
          <cell r="CF119"/>
          <cell r="CG119"/>
          <cell r="CH119"/>
          <cell r="CI119"/>
          <cell r="CJ119"/>
          <cell r="CK119"/>
          <cell r="CL119"/>
          <cell r="CM119"/>
          <cell r="CN119"/>
          <cell r="CO119"/>
        </row>
        <row r="120"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  <cell r="AI120"/>
          <cell r="AJ120"/>
          <cell r="AK120"/>
          <cell r="AL120"/>
          <cell r="AM120"/>
          <cell r="AN120"/>
          <cell r="AO120"/>
          <cell r="AP120"/>
          <cell r="AQ120"/>
          <cell r="AR120"/>
          <cell r="AS120"/>
          <cell r="AT120"/>
          <cell r="AU120"/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/>
          <cell r="BG120"/>
          <cell r="BH120"/>
          <cell r="BI120"/>
          <cell r="BJ120"/>
          <cell r="BK120"/>
          <cell r="BL120"/>
          <cell r="BM120"/>
          <cell r="BN120"/>
          <cell r="BO120"/>
          <cell r="BP120"/>
          <cell r="BQ120"/>
          <cell r="BR120"/>
          <cell r="BS120"/>
          <cell r="BT120"/>
          <cell r="BU120"/>
          <cell r="BV120"/>
          <cell r="BW120"/>
          <cell r="BX120"/>
          <cell r="BY120"/>
          <cell r="BZ120"/>
          <cell r="CA120"/>
          <cell r="CB120"/>
          <cell r="CC120"/>
          <cell r="CD120"/>
          <cell r="CE120"/>
          <cell r="CF120"/>
          <cell r="CG120"/>
          <cell r="CH120"/>
          <cell r="CI120"/>
          <cell r="CJ120"/>
          <cell r="CK120"/>
          <cell r="CL120"/>
          <cell r="CM120"/>
          <cell r="CN120"/>
          <cell r="CO120"/>
        </row>
        <row r="121"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  <cell r="AI121"/>
          <cell r="AJ121"/>
          <cell r="AK121"/>
          <cell r="AL121"/>
          <cell r="AM121"/>
          <cell r="AN121"/>
          <cell r="AO121"/>
          <cell r="AP121"/>
          <cell r="AQ121"/>
          <cell r="AR121"/>
          <cell r="AS121"/>
          <cell r="AT121"/>
          <cell r="AU121"/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/>
          <cell r="BG121"/>
          <cell r="BH121"/>
          <cell r="BI121"/>
          <cell r="BJ121"/>
          <cell r="BK121"/>
          <cell r="BL121"/>
          <cell r="BM121"/>
          <cell r="BN121"/>
          <cell r="BO121"/>
          <cell r="BP121"/>
          <cell r="BQ121"/>
          <cell r="BR121"/>
          <cell r="BS121"/>
          <cell r="BT121"/>
          <cell r="BU121"/>
          <cell r="BV121"/>
          <cell r="BW121"/>
          <cell r="BX121"/>
          <cell r="BY121"/>
          <cell r="BZ121"/>
          <cell r="CA121"/>
          <cell r="CB121"/>
          <cell r="CC121"/>
          <cell r="CD121"/>
          <cell r="CE121"/>
          <cell r="CF121"/>
          <cell r="CG121"/>
          <cell r="CH121"/>
          <cell r="CI121"/>
          <cell r="CJ121"/>
          <cell r="CK121"/>
          <cell r="CL121"/>
          <cell r="CM121"/>
          <cell r="CN121"/>
          <cell r="CO121"/>
        </row>
        <row r="122">
          <cell r="C122">
            <v>0</v>
          </cell>
          <cell r="D122">
            <v>1</v>
          </cell>
          <cell r="E122">
            <v>2</v>
          </cell>
          <cell r="F122">
            <v>3</v>
          </cell>
          <cell r="G122">
            <v>4</v>
          </cell>
          <cell r="H122">
            <v>5</v>
          </cell>
          <cell r="I122">
            <v>6</v>
          </cell>
          <cell r="J122">
            <v>7</v>
          </cell>
          <cell r="K122">
            <v>8</v>
          </cell>
          <cell r="L122">
            <v>9</v>
          </cell>
          <cell r="M122">
            <v>10</v>
          </cell>
          <cell r="N122">
            <v>11</v>
          </cell>
          <cell r="O122">
            <v>12</v>
          </cell>
          <cell r="P122">
            <v>13</v>
          </cell>
          <cell r="Q122">
            <v>14</v>
          </cell>
          <cell r="R122">
            <v>15</v>
          </cell>
          <cell r="S122">
            <v>16</v>
          </cell>
          <cell r="T122">
            <v>17</v>
          </cell>
          <cell r="U122">
            <v>18</v>
          </cell>
          <cell r="V122">
            <v>19</v>
          </cell>
          <cell r="W122">
            <v>20</v>
          </cell>
          <cell r="X122">
            <v>21</v>
          </cell>
          <cell r="Y122">
            <v>22</v>
          </cell>
          <cell r="Z122">
            <v>10</v>
          </cell>
          <cell r="AA122">
            <v>24</v>
          </cell>
          <cell r="AB122">
            <v>25</v>
          </cell>
          <cell r="AC122">
            <v>26</v>
          </cell>
          <cell r="AD122">
            <v>27</v>
          </cell>
          <cell r="AE122">
            <v>28</v>
          </cell>
          <cell r="AF122">
            <v>29</v>
          </cell>
          <cell r="AG122">
            <v>30</v>
          </cell>
          <cell r="AH122">
            <v>31</v>
          </cell>
          <cell r="AI122">
            <v>32</v>
          </cell>
          <cell r="AJ122">
            <v>33</v>
          </cell>
          <cell r="AK122">
            <v>34</v>
          </cell>
          <cell r="AL122">
            <v>35</v>
          </cell>
          <cell r="AM122">
            <v>36</v>
          </cell>
          <cell r="AN122">
            <v>37</v>
          </cell>
          <cell r="AO122">
            <v>38</v>
          </cell>
          <cell r="AP122">
            <v>39</v>
          </cell>
          <cell r="AQ122">
            <v>10</v>
          </cell>
          <cell r="AR122">
            <v>41</v>
          </cell>
          <cell r="AS122">
            <v>42</v>
          </cell>
          <cell r="AT122">
            <v>43</v>
          </cell>
          <cell r="AU122">
            <v>44</v>
          </cell>
          <cell r="AV122">
            <v>45</v>
          </cell>
          <cell r="AW122">
            <v>46</v>
          </cell>
          <cell r="AX122">
            <v>47</v>
          </cell>
          <cell r="AY122">
            <v>48</v>
          </cell>
          <cell r="AZ122">
            <v>49</v>
          </cell>
          <cell r="BA122">
            <v>50</v>
          </cell>
          <cell r="BB122">
            <v>51</v>
          </cell>
          <cell r="BC122">
            <v>52</v>
          </cell>
          <cell r="BD122">
            <v>53</v>
          </cell>
          <cell r="BE122">
            <v>54</v>
          </cell>
          <cell r="BF122">
            <v>55</v>
          </cell>
          <cell r="BG122">
            <v>56</v>
          </cell>
          <cell r="BH122">
            <v>57</v>
          </cell>
          <cell r="BI122">
            <v>58</v>
          </cell>
          <cell r="BJ122">
            <v>59</v>
          </cell>
          <cell r="BK122">
            <v>60</v>
          </cell>
          <cell r="BL122">
            <v>61</v>
          </cell>
          <cell r="BM122">
            <v>62</v>
          </cell>
          <cell r="BN122">
            <v>63</v>
          </cell>
          <cell r="BO122">
            <v>6</v>
          </cell>
          <cell r="BP122">
            <v>4</v>
          </cell>
          <cell r="BQ122">
            <v>5</v>
          </cell>
          <cell r="BR122">
            <v>67</v>
          </cell>
          <cell r="BS122">
            <v>68</v>
          </cell>
          <cell r="BT122">
            <v>69</v>
          </cell>
          <cell r="BU122">
            <v>70</v>
          </cell>
          <cell r="BV122">
            <v>71</v>
          </cell>
          <cell r="BW122">
            <v>72</v>
          </cell>
          <cell r="BX122">
            <v>73</v>
          </cell>
          <cell r="BY122">
            <v>74</v>
          </cell>
          <cell r="BZ122">
            <v>75</v>
          </cell>
          <cell r="CA122">
            <v>76</v>
          </cell>
          <cell r="CB122">
            <v>77</v>
          </cell>
          <cell r="CC122">
            <v>78</v>
          </cell>
          <cell r="CD122">
            <v>79</v>
          </cell>
          <cell r="CE122">
            <v>80</v>
          </cell>
          <cell r="CF122">
            <v>81</v>
          </cell>
          <cell r="CG122">
            <v>82</v>
          </cell>
          <cell r="CH122">
            <v>83</v>
          </cell>
          <cell r="CI122">
            <v>84</v>
          </cell>
          <cell r="CJ122">
            <v>85</v>
          </cell>
          <cell r="CK122">
            <v>86</v>
          </cell>
          <cell r="CL122">
            <v>87</v>
          </cell>
          <cell r="CM122">
            <v>88</v>
          </cell>
          <cell r="CN122">
            <v>89</v>
          </cell>
          <cell r="CO122">
            <v>0</v>
          </cell>
        </row>
        <row r="123">
          <cell r="A123" t="str">
            <v>Caractéristiques des animaux vendus</v>
          </cell>
          <cell r="C123">
            <v>2</v>
          </cell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  <cell r="AI123"/>
          <cell r="AJ123"/>
          <cell r="AK123"/>
          <cell r="AL123"/>
          <cell r="AM123"/>
          <cell r="AN123"/>
          <cell r="AO123"/>
          <cell r="AP123"/>
          <cell r="AQ123"/>
          <cell r="AR123"/>
          <cell r="AS123"/>
          <cell r="AT123"/>
          <cell r="AU123"/>
          <cell r="AV123"/>
          <cell r="AW123"/>
          <cell r="AY123"/>
          <cell r="AZ123"/>
          <cell r="BA123"/>
          <cell r="BB123"/>
          <cell r="BC123"/>
          <cell r="BF123"/>
          <cell r="BH123"/>
          <cell r="BI123"/>
          <cell r="BJ123"/>
          <cell r="BK123"/>
          <cell r="BL123"/>
          <cell r="BM123"/>
          <cell r="BN123"/>
          <cell r="BO123"/>
          <cell r="BR123"/>
          <cell r="BS123"/>
          <cell r="BT123"/>
          <cell r="BU123"/>
          <cell r="BV123"/>
          <cell r="BW123"/>
          <cell r="BX123"/>
          <cell r="BY123"/>
          <cell r="BZ123"/>
          <cell r="CA123"/>
          <cell r="CB123"/>
          <cell r="CC123"/>
          <cell r="CD123"/>
          <cell r="CE123"/>
          <cell r="CF123"/>
          <cell r="CG123"/>
          <cell r="CH123"/>
          <cell r="CI123"/>
          <cell r="CJ123"/>
          <cell r="CK123"/>
          <cell r="CL123"/>
          <cell r="CM123"/>
          <cell r="CN123"/>
          <cell r="CO123"/>
        </row>
        <row r="124">
          <cell r="A124"/>
          <cell r="C124">
            <v>3</v>
          </cell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  <cell r="AR124"/>
          <cell r="AS124"/>
          <cell r="AT124"/>
          <cell r="AU124"/>
          <cell r="AV124"/>
          <cell r="AW124"/>
          <cell r="AY124"/>
          <cell r="AZ124"/>
          <cell r="BA124"/>
          <cell r="BB124"/>
          <cell r="BC124"/>
          <cell r="BF124"/>
          <cell r="BH124"/>
          <cell r="BI124"/>
          <cell r="BJ124"/>
          <cell r="BK124"/>
          <cell r="BL124"/>
          <cell r="BM124"/>
          <cell r="BN124"/>
          <cell r="BO124"/>
          <cell r="BR124"/>
          <cell r="BS124"/>
          <cell r="BT124"/>
          <cell r="BU124"/>
          <cell r="BV124"/>
          <cell r="BW124"/>
          <cell r="BX124"/>
          <cell r="BY124"/>
          <cell r="BZ124"/>
          <cell r="CA124"/>
          <cell r="CB124"/>
          <cell r="CC124"/>
          <cell r="CD124"/>
          <cell r="CE124"/>
          <cell r="CF124"/>
          <cell r="CG124"/>
          <cell r="CH124"/>
          <cell r="CI124"/>
          <cell r="CJ124"/>
          <cell r="CK124"/>
          <cell r="CL124"/>
          <cell r="CM124"/>
          <cell r="CN124"/>
          <cell r="CO124"/>
        </row>
        <row r="125">
          <cell r="A125" t="str">
            <v>jeune mâle sevré</v>
          </cell>
          <cell r="B125" t="str">
            <v>Poids vif</v>
          </cell>
          <cell r="C125">
            <v>4</v>
          </cell>
          <cell r="D125"/>
          <cell r="E125"/>
          <cell r="F125"/>
          <cell r="G125"/>
          <cell r="H125">
            <v>207</v>
          </cell>
          <cell r="I125"/>
          <cell r="J125">
            <v>230</v>
          </cell>
          <cell r="K125"/>
          <cell r="L125">
            <v>230</v>
          </cell>
          <cell r="M125">
            <v>220</v>
          </cell>
          <cell r="N125">
            <v>240</v>
          </cell>
          <cell r="O125"/>
          <cell r="P125"/>
          <cell r="Q125"/>
          <cell r="R125"/>
          <cell r="S125">
            <v>230</v>
          </cell>
          <cell r="T125"/>
          <cell r="U125">
            <v>230</v>
          </cell>
          <cell r="V125"/>
          <cell r="W125">
            <v>230</v>
          </cell>
          <cell r="X125"/>
          <cell r="Y125">
            <v>230</v>
          </cell>
          <cell r="Z125">
            <v>220</v>
          </cell>
          <cell r="AA125"/>
          <cell r="AB125">
            <v>230</v>
          </cell>
          <cell r="AC125"/>
          <cell r="AD125">
            <v>240</v>
          </cell>
          <cell r="AE125"/>
          <cell r="AF125">
            <v>220</v>
          </cell>
          <cell r="AG125"/>
          <cell r="AH125"/>
          <cell r="AI125">
            <v>230</v>
          </cell>
          <cell r="AJ125"/>
          <cell r="AK125">
            <v>230</v>
          </cell>
          <cell r="AL125">
            <v>350</v>
          </cell>
          <cell r="AM125"/>
          <cell r="AN125">
            <v>230</v>
          </cell>
          <cell r="AO125"/>
          <cell r="AP125"/>
          <cell r="AQ125">
            <v>220</v>
          </cell>
          <cell r="AR125"/>
          <cell r="AS125">
            <v>230</v>
          </cell>
          <cell r="AT125">
            <v>240</v>
          </cell>
          <cell r="AU125">
            <v>240</v>
          </cell>
          <cell r="AV125"/>
          <cell r="AW125"/>
          <cell r="AX125"/>
          <cell r="AY125">
            <v>240</v>
          </cell>
          <cell r="AZ125"/>
          <cell r="BA125"/>
          <cell r="BB125"/>
          <cell r="BC125">
            <v>240</v>
          </cell>
          <cell r="BD125">
            <v>240</v>
          </cell>
          <cell r="BE125"/>
          <cell r="BF125"/>
          <cell r="BG125"/>
          <cell r="BH125"/>
          <cell r="BI125"/>
          <cell r="BJ125"/>
          <cell r="BK125"/>
          <cell r="BL125"/>
          <cell r="BM125"/>
          <cell r="BN125"/>
          <cell r="BO125"/>
          <cell r="BP125"/>
          <cell r="BQ125">
            <v>207</v>
          </cell>
          <cell r="BR125"/>
          <cell r="BS125"/>
          <cell r="BT125"/>
          <cell r="BU125"/>
          <cell r="BV125"/>
          <cell r="BW125"/>
          <cell r="BX125"/>
          <cell r="BY125"/>
          <cell r="BZ125"/>
          <cell r="CA125"/>
          <cell r="CB125"/>
          <cell r="CC125"/>
          <cell r="CD125"/>
          <cell r="CE125"/>
          <cell r="CF125"/>
          <cell r="CG125"/>
          <cell r="CH125"/>
          <cell r="CI125"/>
          <cell r="CJ125"/>
          <cell r="CK125"/>
          <cell r="CL125"/>
          <cell r="CM125"/>
          <cell r="CN125"/>
          <cell r="CO125"/>
        </row>
        <row r="126">
          <cell r="A126" t="str">
            <v>jeune mâle sevré</v>
          </cell>
          <cell r="B126" t="str">
            <v>Poids carcasse</v>
          </cell>
          <cell r="C126">
            <v>5</v>
          </cell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/>
          <cell r="BG126"/>
          <cell r="BH126"/>
          <cell r="BI126"/>
          <cell r="BJ126"/>
          <cell r="BK126"/>
          <cell r="BL126"/>
          <cell r="BM126"/>
          <cell r="BN126"/>
          <cell r="BO126"/>
          <cell r="BP126"/>
          <cell r="BQ126"/>
          <cell r="BR126"/>
          <cell r="BS126"/>
          <cell r="BT126"/>
          <cell r="BU126"/>
          <cell r="BV126"/>
          <cell r="BW126"/>
          <cell r="BX126"/>
          <cell r="BY126"/>
          <cell r="BZ126"/>
          <cell r="CA126"/>
          <cell r="CB126"/>
          <cell r="CC126"/>
          <cell r="CD126"/>
          <cell r="CE126"/>
          <cell r="CF126"/>
          <cell r="CG126"/>
          <cell r="CH126"/>
          <cell r="CI126"/>
          <cell r="CJ126"/>
          <cell r="CK126"/>
          <cell r="CL126"/>
          <cell r="CM126"/>
          <cell r="CN126"/>
          <cell r="CO126"/>
        </row>
        <row r="127">
          <cell r="A127" t="str">
            <v>jeune mâle sevré</v>
          </cell>
          <cell r="B127" t="str">
            <v>Prix kg  vif</v>
          </cell>
          <cell r="C127">
            <v>6</v>
          </cell>
          <cell r="D127"/>
          <cell r="E127"/>
          <cell r="F127"/>
          <cell r="G127"/>
          <cell r="H127"/>
          <cell r="I127"/>
          <cell r="J127"/>
          <cell r="K127"/>
          <cell r="L127"/>
          <cell r="M127">
            <v>3.8</v>
          </cell>
          <cell r="N127">
            <v>3.8</v>
          </cell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>
            <v>3.8</v>
          </cell>
          <cell r="AA127"/>
          <cell r="AB127"/>
          <cell r="AC127"/>
          <cell r="AD127">
            <v>3.8</v>
          </cell>
          <cell r="AE127"/>
          <cell r="AF127">
            <v>3.8</v>
          </cell>
          <cell r="AG127"/>
          <cell r="AH127"/>
          <cell r="AI127"/>
          <cell r="AJ127"/>
          <cell r="AK127"/>
          <cell r="AL127">
            <v>2.5</v>
          </cell>
          <cell r="AM127"/>
          <cell r="AN127"/>
          <cell r="AO127"/>
          <cell r="AP127"/>
          <cell r="AQ127">
            <v>3.8</v>
          </cell>
          <cell r="AR127"/>
          <cell r="AS127"/>
          <cell r="AT127">
            <v>3.8</v>
          </cell>
          <cell r="AU127">
            <v>3.8</v>
          </cell>
          <cell r="AV127"/>
          <cell r="AW127"/>
          <cell r="AX127"/>
          <cell r="AY127">
            <v>3.8</v>
          </cell>
          <cell r="AZ127"/>
          <cell r="BA127"/>
          <cell r="BB127"/>
          <cell r="BC127">
            <v>3.8</v>
          </cell>
          <cell r="BD127">
            <v>3.8</v>
          </cell>
          <cell r="BE127"/>
          <cell r="BF127"/>
          <cell r="BG127"/>
          <cell r="BH127"/>
          <cell r="BI127"/>
          <cell r="BJ127"/>
          <cell r="BK127"/>
          <cell r="BL127"/>
          <cell r="BM127"/>
          <cell r="BN127"/>
          <cell r="BO127"/>
          <cell r="BP127"/>
          <cell r="BQ127"/>
          <cell r="BR127"/>
          <cell r="BS127"/>
          <cell r="BT127"/>
          <cell r="BU127"/>
          <cell r="BV127"/>
          <cell r="BW127"/>
          <cell r="BX127"/>
          <cell r="BY127"/>
          <cell r="BZ127"/>
          <cell r="CA127"/>
          <cell r="CB127"/>
          <cell r="CC127"/>
          <cell r="CD127"/>
          <cell r="CE127"/>
          <cell r="CF127"/>
          <cell r="CG127"/>
          <cell r="CH127"/>
          <cell r="CI127"/>
          <cell r="CJ127"/>
          <cell r="CK127"/>
          <cell r="CL127"/>
          <cell r="CM127"/>
          <cell r="CN127"/>
          <cell r="CO127"/>
        </row>
        <row r="128">
          <cell r="A128" t="str">
            <v>jeune mâle sevré</v>
          </cell>
          <cell r="B128" t="str">
            <v>Prix kg carcasse</v>
          </cell>
          <cell r="C128">
            <v>7</v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/>
          <cell r="BG128"/>
          <cell r="BH128"/>
          <cell r="BI128"/>
          <cell r="BJ128"/>
          <cell r="BK128"/>
          <cell r="BL128"/>
          <cell r="BM128"/>
          <cell r="BN128"/>
          <cell r="BO128"/>
          <cell r="BP128"/>
          <cell r="BQ128"/>
          <cell r="BR128"/>
          <cell r="BS128"/>
          <cell r="BT128"/>
          <cell r="BU128"/>
          <cell r="BV128"/>
          <cell r="BW128"/>
          <cell r="BX128"/>
          <cell r="BY128"/>
          <cell r="BZ128"/>
          <cell r="CA128"/>
          <cell r="CB128"/>
          <cell r="CC128"/>
          <cell r="CD128"/>
          <cell r="CE128"/>
          <cell r="CF128"/>
          <cell r="CG128"/>
          <cell r="CH128"/>
          <cell r="CI128"/>
          <cell r="CJ128"/>
          <cell r="CK128"/>
          <cell r="CL128"/>
          <cell r="CM128"/>
          <cell r="CN128"/>
          <cell r="CO128"/>
        </row>
        <row r="129">
          <cell r="A129" t="str">
            <v>jeune mâle sevré</v>
          </cell>
          <cell r="B129" t="str">
            <v>Prix tête</v>
          </cell>
          <cell r="C129">
            <v>8</v>
          </cell>
          <cell r="D129">
            <v>38.950000000000003</v>
          </cell>
          <cell r="E129">
            <v>972</v>
          </cell>
          <cell r="F129">
            <v>93</v>
          </cell>
          <cell r="G129">
            <v>38.950000000000003</v>
          </cell>
          <cell r="H129">
            <v>874.80000000000007</v>
          </cell>
          <cell r="I129">
            <v>38.950000000000003</v>
          </cell>
          <cell r="J129">
            <v>972</v>
          </cell>
          <cell r="K129">
            <v>38.950000000000003</v>
          </cell>
          <cell r="L129">
            <v>972</v>
          </cell>
          <cell r="M129">
            <v>836</v>
          </cell>
          <cell r="N129">
            <v>912</v>
          </cell>
          <cell r="O129"/>
          <cell r="P129"/>
          <cell r="Q129"/>
          <cell r="R129">
            <v>38.950000000000003</v>
          </cell>
          <cell r="S129">
            <v>972</v>
          </cell>
          <cell r="T129">
            <v>38.950000000000003</v>
          </cell>
          <cell r="U129">
            <v>972</v>
          </cell>
          <cell r="V129">
            <v>38.950000000000003</v>
          </cell>
          <cell r="W129">
            <v>972</v>
          </cell>
          <cell r="X129">
            <v>38.950000000000003</v>
          </cell>
          <cell r="Y129">
            <v>972</v>
          </cell>
          <cell r="Z129">
            <v>836</v>
          </cell>
          <cell r="AA129">
            <v>38.950000000000003</v>
          </cell>
          <cell r="AB129">
            <v>972</v>
          </cell>
          <cell r="AC129">
            <v>38.950000000000003</v>
          </cell>
          <cell r="AD129">
            <v>912</v>
          </cell>
          <cell r="AE129"/>
          <cell r="AF129">
            <v>836</v>
          </cell>
          <cell r="AG129">
            <v>38.950000000000003</v>
          </cell>
          <cell r="AH129">
            <v>38.950000000000003</v>
          </cell>
          <cell r="AI129">
            <v>972</v>
          </cell>
          <cell r="AJ129">
            <v>38.950000000000003</v>
          </cell>
          <cell r="AK129">
            <v>972</v>
          </cell>
          <cell r="AL129">
            <v>875</v>
          </cell>
          <cell r="AM129">
            <v>38.950000000000003</v>
          </cell>
          <cell r="AN129">
            <v>972</v>
          </cell>
          <cell r="AO129"/>
          <cell r="AP129">
            <v>38.950000000000003</v>
          </cell>
          <cell r="AQ129">
            <v>836</v>
          </cell>
          <cell r="AR129">
            <v>38.950000000000003</v>
          </cell>
          <cell r="AS129">
            <v>972</v>
          </cell>
          <cell r="AT129">
            <v>912</v>
          </cell>
          <cell r="AU129">
            <v>912</v>
          </cell>
          <cell r="AV129">
            <v>38.950000000000003</v>
          </cell>
          <cell r="AW129">
            <v>38.950000000000003</v>
          </cell>
          <cell r="AX129">
            <v>38.950000000000003</v>
          </cell>
          <cell r="AY129">
            <v>912</v>
          </cell>
          <cell r="AZ129">
            <v>93</v>
          </cell>
          <cell r="BA129">
            <v>93</v>
          </cell>
          <cell r="BB129">
            <v>93</v>
          </cell>
          <cell r="BC129">
            <v>912</v>
          </cell>
          <cell r="BD129">
            <v>912</v>
          </cell>
          <cell r="BE129">
            <v>38.950000000000003</v>
          </cell>
          <cell r="BF129">
            <v>38.950000000000003</v>
          </cell>
          <cell r="BG129">
            <v>38.950000000000003</v>
          </cell>
          <cell r="BH129"/>
          <cell r="BI129"/>
          <cell r="BJ129"/>
          <cell r="BK129"/>
          <cell r="BL129"/>
          <cell r="BM129"/>
          <cell r="BN129"/>
          <cell r="BO129">
            <v>38.950000000000003</v>
          </cell>
          <cell r="BP129">
            <v>38.950000000000003</v>
          </cell>
          <cell r="BQ129">
            <v>874.80000000000007</v>
          </cell>
          <cell r="BR129"/>
          <cell r="BS129"/>
          <cell r="BT129"/>
          <cell r="BU129"/>
          <cell r="BV129"/>
          <cell r="BW129"/>
          <cell r="BX129"/>
          <cell r="BY129"/>
          <cell r="BZ129"/>
          <cell r="CA129"/>
          <cell r="CB129"/>
          <cell r="CC129"/>
          <cell r="CD129"/>
          <cell r="CE129"/>
          <cell r="CF129"/>
          <cell r="CG129"/>
          <cell r="CH129"/>
          <cell r="CI129"/>
          <cell r="CJ129"/>
          <cell r="CK129"/>
          <cell r="CL129"/>
          <cell r="CM129"/>
          <cell r="CN129"/>
          <cell r="CO129"/>
        </row>
        <row r="130">
          <cell r="A130" t="str">
            <v>jeune femelle sevrée</v>
          </cell>
          <cell r="B130" t="str">
            <v>Poids vif</v>
          </cell>
          <cell r="C130">
            <v>9</v>
          </cell>
          <cell r="D130"/>
          <cell r="E130"/>
          <cell r="F130">
            <v>60</v>
          </cell>
          <cell r="G130"/>
          <cell r="H130">
            <v>180</v>
          </cell>
          <cell r="I130"/>
          <cell r="J130">
            <v>200</v>
          </cell>
          <cell r="K130"/>
          <cell r="L130">
            <v>200</v>
          </cell>
          <cell r="M130">
            <v>200</v>
          </cell>
          <cell r="N130">
            <v>240</v>
          </cell>
          <cell r="O130"/>
          <cell r="P130"/>
          <cell r="Q130"/>
          <cell r="R130"/>
          <cell r="S130">
            <v>200</v>
          </cell>
          <cell r="T130"/>
          <cell r="U130">
            <v>200</v>
          </cell>
          <cell r="V130"/>
          <cell r="W130">
            <v>200</v>
          </cell>
          <cell r="X130"/>
          <cell r="Y130">
            <v>200</v>
          </cell>
          <cell r="Z130">
            <v>200</v>
          </cell>
          <cell r="AA130"/>
          <cell r="AB130">
            <v>200</v>
          </cell>
          <cell r="AC130"/>
          <cell r="AD130">
            <v>240</v>
          </cell>
          <cell r="AE130"/>
          <cell r="AF130">
            <v>200</v>
          </cell>
          <cell r="AG130"/>
          <cell r="AH130"/>
          <cell r="AI130">
            <v>200</v>
          </cell>
          <cell r="AJ130"/>
          <cell r="AK130">
            <v>200</v>
          </cell>
          <cell r="AL130">
            <v>350</v>
          </cell>
          <cell r="AM130"/>
          <cell r="AN130">
            <v>200</v>
          </cell>
          <cell r="AO130"/>
          <cell r="AP130"/>
          <cell r="AQ130">
            <v>200</v>
          </cell>
          <cell r="AR130"/>
          <cell r="AS130">
            <v>200</v>
          </cell>
          <cell r="AT130">
            <v>240</v>
          </cell>
          <cell r="AU130">
            <v>240</v>
          </cell>
          <cell r="AV130"/>
          <cell r="AW130"/>
          <cell r="AX130"/>
          <cell r="AY130">
            <v>240</v>
          </cell>
          <cell r="AZ130">
            <v>60</v>
          </cell>
          <cell r="BA130">
            <v>60</v>
          </cell>
          <cell r="BB130">
            <v>60</v>
          </cell>
          <cell r="BC130">
            <v>240</v>
          </cell>
          <cell r="BD130">
            <v>240</v>
          </cell>
          <cell r="BE130"/>
          <cell r="BF130"/>
          <cell r="BG130"/>
          <cell r="BH130"/>
          <cell r="BI130"/>
          <cell r="BJ130"/>
          <cell r="BK130"/>
          <cell r="BL130"/>
          <cell r="BM130"/>
          <cell r="BN130"/>
          <cell r="BO130"/>
          <cell r="BP130"/>
          <cell r="BQ130">
            <v>180</v>
          </cell>
          <cell r="BR130"/>
          <cell r="BS130"/>
          <cell r="BT130"/>
          <cell r="BU130"/>
          <cell r="BV130"/>
          <cell r="BW130"/>
          <cell r="BX130"/>
          <cell r="BY130"/>
          <cell r="BZ130"/>
          <cell r="CA130"/>
          <cell r="CB130"/>
          <cell r="CC130"/>
          <cell r="CD130"/>
          <cell r="CE130"/>
          <cell r="CF130"/>
          <cell r="CG130"/>
          <cell r="CH130"/>
          <cell r="CI130"/>
          <cell r="CJ130"/>
          <cell r="CK130"/>
          <cell r="CL130"/>
          <cell r="CM130"/>
          <cell r="CN130"/>
          <cell r="CO130"/>
        </row>
        <row r="131">
          <cell r="A131" t="str">
            <v>jeune femelle sevrée</v>
          </cell>
          <cell r="B131" t="str">
            <v>Poids carcasse</v>
          </cell>
          <cell r="C131">
            <v>10</v>
          </cell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  <cell r="AI131"/>
          <cell r="AJ131"/>
          <cell r="AK131"/>
          <cell r="AL131"/>
          <cell r="AM131"/>
          <cell r="AN131"/>
          <cell r="AO131"/>
          <cell r="AP131"/>
          <cell r="AQ131"/>
          <cell r="AR131"/>
          <cell r="AS131"/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/>
          <cell r="BG131"/>
          <cell r="BH131"/>
          <cell r="BI131"/>
          <cell r="BJ131"/>
          <cell r="BK131"/>
          <cell r="BL131"/>
          <cell r="BM131"/>
          <cell r="BN131"/>
          <cell r="BO131"/>
          <cell r="BP131"/>
          <cell r="BQ131"/>
          <cell r="BR131"/>
          <cell r="BS131"/>
          <cell r="BT131"/>
          <cell r="BU131"/>
          <cell r="BV131"/>
          <cell r="BW131"/>
          <cell r="BX131"/>
          <cell r="BY131"/>
          <cell r="BZ131"/>
          <cell r="CA131"/>
          <cell r="CB131"/>
          <cell r="CC131"/>
          <cell r="CD131"/>
          <cell r="CE131"/>
          <cell r="CF131"/>
          <cell r="CG131"/>
          <cell r="CH131"/>
          <cell r="CI131"/>
          <cell r="CJ131"/>
          <cell r="CK131"/>
          <cell r="CL131"/>
          <cell r="CM131"/>
          <cell r="CN131"/>
          <cell r="CO131"/>
        </row>
        <row r="132">
          <cell r="A132" t="str">
            <v>jeune femelle sevrée</v>
          </cell>
          <cell r="B132" t="str">
            <v>Prix kg  vif</v>
          </cell>
          <cell r="C132">
            <v>11</v>
          </cell>
          <cell r="D132"/>
          <cell r="E132"/>
          <cell r="F132">
            <v>1.02</v>
          </cell>
          <cell r="G132"/>
          <cell r="H132"/>
          <cell r="I132"/>
          <cell r="J132"/>
          <cell r="K132"/>
          <cell r="L132"/>
          <cell r="M132">
            <v>3.28</v>
          </cell>
          <cell r="N132">
            <v>3.28</v>
          </cell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>
            <v>3.28</v>
          </cell>
          <cell r="AA132"/>
          <cell r="AB132"/>
          <cell r="AC132"/>
          <cell r="AD132">
            <v>3.28</v>
          </cell>
          <cell r="AE132"/>
          <cell r="AF132">
            <v>3.28</v>
          </cell>
          <cell r="AG132"/>
          <cell r="AH132"/>
          <cell r="AI132"/>
          <cell r="AJ132"/>
          <cell r="AK132"/>
          <cell r="AL132">
            <v>2.5</v>
          </cell>
          <cell r="AM132"/>
          <cell r="AN132"/>
          <cell r="AO132"/>
          <cell r="AP132"/>
          <cell r="AQ132">
            <v>3.28</v>
          </cell>
          <cell r="AR132"/>
          <cell r="AS132"/>
          <cell r="AT132">
            <v>3.28</v>
          </cell>
          <cell r="AU132">
            <v>3.28</v>
          </cell>
          <cell r="AV132"/>
          <cell r="AW132"/>
          <cell r="AX132"/>
          <cell r="AY132">
            <v>3.28</v>
          </cell>
          <cell r="AZ132">
            <v>1.02</v>
          </cell>
          <cell r="BA132">
            <v>1.02</v>
          </cell>
          <cell r="BB132">
            <v>1.02</v>
          </cell>
          <cell r="BC132">
            <v>3.28</v>
          </cell>
          <cell r="BD132">
            <v>3.28</v>
          </cell>
          <cell r="BE132"/>
          <cell r="BF132"/>
          <cell r="BG132"/>
          <cell r="BH132"/>
          <cell r="BI132"/>
          <cell r="BJ132"/>
          <cell r="BK132"/>
          <cell r="BL132"/>
          <cell r="BM132"/>
          <cell r="BN132"/>
          <cell r="BO132"/>
          <cell r="BP132"/>
          <cell r="BQ132"/>
          <cell r="BR132"/>
          <cell r="BS132"/>
          <cell r="BT132"/>
          <cell r="BU132"/>
          <cell r="BV132"/>
          <cell r="BW132"/>
          <cell r="BX132"/>
          <cell r="BY132"/>
          <cell r="BZ132"/>
          <cell r="CA132"/>
          <cell r="CB132"/>
          <cell r="CC132"/>
          <cell r="CD132"/>
          <cell r="CE132"/>
          <cell r="CF132"/>
          <cell r="CG132"/>
          <cell r="CH132"/>
          <cell r="CI132"/>
          <cell r="CJ132"/>
          <cell r="CK132"/>
          <cell r="CL132"/>
          <cell r="CM132"/>
          <cell r="CN132"/>
          <cell r="CO132"/>
        </row>
        <row r="133">
          <cell r="A133" t="str">
            <v>jeune femelle sevrée</v>
          </cell>
          <cell r="B133" t="str">
            <v>Prix kg carcasse</v>
          </cell>
          <cell r="C133">
            <v>12</v>
          </cell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  <cell r="AI133"/>
          <cell r="AJ133"/>
          <cell r="AK133"/>
          <cell r="AL133"/>
          <cell r="AM133"/>
          <cell r="AN133"/>
          <cell r="AO133"/>
          <cell r="AP133"/>
          <cell r="AQ133"/>
          <cell r="AR133"/>
          <cell r="AS133"/>
          <cell r="AT133"/>
          <cell r="AU133"/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/>
          <cell r="BG133"/>
          <cell r="BH133"/>
          <cell r="BI133"/>
          <cell r="BJ133"/>
          <cell r="BK133"/>
          <cell r="BL133"/>
          <cell r="BM133"/>
          <cell r="BN133"/>
          <cell r="BO133"/>
          <cell r="BP133"/>
          <cell r="BQ133"/>
          <cell r="BR133"/>
          <cell r="BS133"/>
          <cell r="BT133"/>
          <cell r="BU133"/>
          <cell r="BV133"/>
          <cell r="BW133"/>
          <cell r="BX133"/>
          <cell r="BY133"/>
          <cell r="BZ133"/>
          <cell r="CA133"/>
          <cell r="CB133"/>
          <cell r="CC133"/>
          <cell r="CD133"/>
          <cell r="CE133"/>
          <cell r="CF133"/>
          <cell r="CG133"/>
          <cell r="CH133"/>
          <cell r="CI133"/>
          <cell r="CJ133"/>
          <cell r="CK133"/>
          <cell r="CL133"/>
          <cell r="CM133"/>
          <cell r="CN133"/>
          <cell r="CO133"/>
        </row>
        <row r="134">
          <cell r="A134" t="str">
            <v>jeune femelle sevrée</v>
          </cell>
          <cell r="B134" t="str">
            <v>Prix tête</v>
          </cell>
          <cell r="C134">
            <v>13</v>
          </cell>
          <cell r="D134">
            <v>38.950000000000003</v>
          </cell>
          <cell r="E134">
            <v>775</v>
          </cell>
          <cell r="F134">
            <v>61.2</v>
          </cell>
          <cell r="G134">
            <v>38.950000000000003</v>
          </cell>
          <cell r="H134">
            <v>697.5</v>
          </cell>
          <cell r="I134">
            <v>38.950000000000003</v>
          </cell>
          <cell r="J134">
            <v>775</v>
          </cell>
          <cell r="K134">
            <v>38.950000000000003</v>
          </cell>
          <cell r="L134">
            <v>775</v>
          </cell>
          <cell r="M134">
            <v>656</v>
          </cell>
          <cell r="N134">
            <v>787.19999999999993</v>
          </cell>
          <cell r="O134"/>
          <cell r="P134"/>
          <cell r="Q134"/>
          <cell r="R134">
            <v>38.950000000000003</v>
          </cell>
          <cell r="S134">
            <v>775</v>
          </cell>
          <cell r="T134">
            <v>38.950000000000003</v>
          </cell>
          <cell r="U134">
            <v>775</v>
          </cell>
          <cell r="V134">
            <v>38.950000000000003</v>
          </cell>
          <cell r="W134">
            <v>775</v>
          </cell>
          <cell r="X134">
            <v>38.950000000000003</v>
          </cell>
          <cell r="Y134">
            <v>775</v>
          </cell>
          <cell r="Z134">
            <v>656</v>
          </cell>
          <cell r="AA134">
            <v>38.950000000000003</v>
          </cell>
          <cell r="AB134">
            <v>775</v>
          </cell>
          <cell r="AC134">
            <v>38.950000000000003</v>
          </cell>
          <cell r="AD134">
            <v>787.19999999999993</v>
          </cell>
          <cell r="AE134"/>
          <cell r="AF134">
            <v>656</v>
          </cell>
          <cell r="AG134">
            <v>38.950000000000003</v>
          </cell>
          <cell r="AH134">
            <v>38.950000000000003</v>
          </cell>
          <cell r="AI134">
            <v>775</v>
          </cell>
          <cell r="AJ134">
            <v>38.950000000000003</v>
          </cell>
          <cell r="AK134">
            <v>775</v>
          </cell>
          <cell r="AL134">
            <v>875</v>
          </cell>
          <cell r="AM134">
            <v>38.950000000000003</v>
          </cell>
          <cell r="AN134">
            <v>775</v>
          </cell>
          <cell r="AO134"/>
          <cell r="AP134">
            <v>38.950000000000003</v>
          </cell>
          <cell r="AQ134">
            <v>656</v>
          </cell>
          <cell r="AR134">
            <v>38.950000000000003</v>
          </cell>
          <cell r="AS134">
            <v>775</v>
          </cell>
          <cell r="AT134">
            <v>787.19999999999993</v>
          </cell>
          <cell r="AU134">
            <v>787.19999999999993</v>
          </cell>
          <cell r="AV134">
            <v>38.950000000000003</v>
          </cell>
          <cell r="AW134">
            <v>38.950000000000003</v>
          </cell>
          <cell r="AX134">
            <v>38.950000000000003</v>
          </cell>
          <cell r="AY134">
            <v>787.19999999999993</v>
          </cell>
          <cell r="AZ134">
            <v>61.2</v>
          </cell>
          <cell r="BA134">
            <v>61.2</v>
          </cell>
          <cell r="BB134">
            <v>61.2</v>
          </cell>
          <cell r="BC134">
            <v>787.19999999999993</v>
          </cell>
          <cell r="BD134">
            <v>787.19999999999993</v>
          </cell>
          <cell r="BE134">
            <v>38.950000000000003</v>
          </cell>
          <cell r="BF134">
            <v>38.950000000000003</v>
          </cell>
          <cell r="BG134">
            <v>38.950000000000003</v>
          </cell>
          <cell r="BH134"/>
          <cell r="BI134"/>
          <cell r="BJ134"/>
          <cell r="BK134"/>
          <cell r="BL134"/>
          <cell r="BM134"/>
          <cell r="BN134"/>
          <cell r="BO134">
            <v>38.950000000000003</v>
          </cell>
          <cell r="BP134">
            <v>38.950000000000003</v>
          </cell>
          <cell r="BQ134">
            <v>697.5</v>
          </cell>
          <cell r="BR134"/>
          <cell r="BS134"/>
          <cell r="BT134"/>
          <cell r="BU134"/>
          <cell r="BV134"/>
          <cell r="BW134"/>
          <cell r="BX134"/>
          <cell r="BY134"/>
          <cell r="BZ134"/>
          <cell r="CA134"/>
          <cell r="CB134"/>
          <cell r="CC134"/>
          <cell r="CD134"/>
          <cell r="CE134"/>
          <cell r="CF134"/>
          <cell r="CG134"/>
          <cell r="CH134"/>
          <cell r="CI134"/>
          <cell r="CJ134"/>
          <cell r="CK134"/>
          <cell r="CL134"/>
          <cell r="CM134"/>
          <cell r="CN134"/>
          <cell r="CO134"/>
        </row>
        <row r="135">
          <cell r="A135" t="str">
            <v>mâle engraissé</v>
          </cell>
          <cell r="B135" t="str">
            <v>Poids vif</v>
          </cell>
          <cell r="C135">
            <v>14</v>
          </cell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  <cell r="AK135"/>
          <cell r="AL135"/>
          <cell r="AM135"/>
          <cell r="AN135"/>
          <cell r="AO135"/>
          <cell r="AP135"/>
          <cell r="AQ135"/>
          <cell r="AR135"/>
          <cell r="AS135"/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/>
          <cell r="BG135"/>
          <cell r="BH135"/>
          <cell r="BI135"/>
          <cell r="BJ135"/>
          <cell r="BK135"/>
          <cell r="BL135"/>
          <cell r="BM135"/>
          <cell r="BN135"/>
          <cell r="BO135"/>
          <cell r="BP135"/>
          <cell r="BQ135"/>
          <cell r="BR135"/>
          <cell r="BS135"/>
          <cell r="BT135"/>
          <cell r="BU135"/>
          <cell r="BV135"/>
          <cell r="BW135"/>
          <cell r="BX135"/>
          <cell r="BY135"/>
          <cell r="BZ135"/>
          <cell r="CA135"/>
          <cell r="CB135"/>
          <cell r="CC135"/>
          <cell r="CD135"/>
          <cell r="CE135"/>
          <cell r="CF135"/>
          <cell r="CG135"/>
          <cell r="CH135"/>
          <cell r="CI135"/>
          <cell r="CJ135"/>
          <cell r="CK135"/>
          <cell r="CL135"/>
          <cell r="CM135"/>
          <cell r="CN135"/>
          <cell r="CO135"/>
        </row>
        <row r="136">
          <cell r="A136" t="str">
            <v>mâle engraissé</v>
          </cell>
          <cell r="B136" t="str">
            <v>Poids carcasse</v>
          </cell>
          <cell r="C136">
            <v>15</v>
          </cell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>
            <v>410</v>
          </cell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>
            <v>410</v>
          </cell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/>
          <cell r="BG136"/>
          <cell r="BH136"/>
          <cell r="BI136"/>
          <cell r="BJ136"/>
          <cell r="BK136"/>
          <cell r="BL136"/>
          <cell r="BM136"/>
          <cell r="BN136"/>
          <cell r="BO136"/>
          <cell r="BP136"/>
          <cell r="BQ136"/>
          <cell r="BR136"/>
          <cell r="BS136"/>
          <cell r="BT136"/>
          <cell r="BU136"/>
          <cell r="BV136"/>
          <cell r="BW136"/>
          <cell r="BX136"/>
          <cell r="BY136"/>
          <cell r="BZ136"/>
          <cell r="CA136"/>
          <cell r="CB136"/>
          <cell r="CC136"/>
          <cell r="CD136"/>
          <cell r="CE136"/>
          <cell r="CF136"/>
          <cell r="CG136"/>
          <cell r="CH136"/>
          <cell r="CI136"/>
          <cell r="CJ136"/>
          <cell r="CK136"/>
          <cell r="CL136"/>
          <cell r="CM136"/>
          <cell r="CN136"/>
          <cell r="CO136"/>
        </row>
        <row r="137">
          <cell r="A137" t="str">
            <v>mâle engraissé</v>
          </cell>
          <cell r="B137" t="str">
            <v>Prix kg  vif</v>
          </cell>
          <cell r="C137">
            <v>16</v>
          </cell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  <cell r="AI137"/>
          <cell r="AJ137"/>
          <cell r="AK137"/>
          <cell r="AL137"/>
          <cell r="AM137"/>
          <cell r="AN137"/>
          <cell r="AO137"/>
          <cell r="AP137"/>
          <cell r="AQ137"/>
          <cell r="AR137"/>
          <cell r="AS137"/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/>
          <cell r="BG137"/>
          <cell r="BH137"/>
          <cell r="BI137"/>
          <cell r="BJ137"/>
          <cell r="BK137"/>
          <cell r="BL137"/>
          <cell r="BM137"/>
          <cell r="BN137"/>
          <cell r="BO137"/>
          <cell r="BP137"/>
          <cell r="BQ137"/>
          <cell r="BR137"/>
          <cell r="BS137"/>
          <cell r="BT137"/>
          <cell r="BU137"/>
          <cell r="BV137"/>
          <cell r="BW137"/>
          <cell r="BX137"/>
          <cell r="BY137"/>
          <cell r="BZ137"/>
          <cell r="CA137"/>
          <cell r="CB137"/>
          <cell r="CC137"/>
          <cell r="CD137"/>
          <cell r="CE137"/>
          <cell r="CF137"/>
          <cell r="CG137"/>
          <cell r="CH137"/>
          <cell r="CI137"/>
          <cell r="CJ137"/>
          <cell r="CK137"/>
          <cell r="CL137"/>
          <cell r="CM137"/>
          <cell r="CN137"/>
          <cell r="CO137"/>
        </row>
        <row r="138">
          <cell r="A138" t="str">
            <v>mâle engraissé</v>
          </cell>
          <cell r="B138" t="str">
            <v>Prix kg carcasse</v>
          </cell>
          <cell r="C138">
            <v>17</v>
          </cell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>
            <v>4.22</v>
          </cell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>
            <v>4.22</v>
          </cell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/>
          <cell r="BG138"/>
          <cell r="BH138"/>
          <cell r="BI138"/>
          <cell r="BJ138"/>
          <cell r="BK138"/>
          <cell r="BL138"/>
          <cell r="BM138"/>
          <cell r="BN138"/>
          <cell r="BO138"/>
          <cell r="BP138"/>
          <cell r="BQ138"/>
          <cell r="BR138"/>
          <cell r="BS138"/>
          <cell r="BT138"/>
          <cell r="BU138"/>
          <cell r="BV138"/>
          <cell r="BW138"/>
          <cell r="BX138"/>
          <cell r="BY138"/>
          <cell r="BZ138"/>
          <cell r="CA138"/>
          <cell r="CB138"/>
          <cell r="CC138"/>
          <cell r="CD138"/>
          <cell r="CE138"/>
          <cell r="CF138"/>
          <cell r="CG138"/>
          <cell r="CH138"/>
          <cell r="CI138"/>
          <cell r="CJ138"/>
          <cell r="CK138"/>
          <cell r="CL138"/>
          <cell r="CM138"/>
          <cell r="CN138"/>
          <cell r="CO138"/>
        </row>
        <row r="139">
          <cell r="A139" t="str">
            <v>mâle engraissé</v>
          </cell>
          <cell r="B139" t="str">
            <v>Prix tête</v>
          </cell>
          <cell r="C139">
            <v>18</v>
          </cell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>
            <v>1730.1999999999998</v>
          </cell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>
            <v>1730.1999999999998</v>
          </cell>
          <cell r="AF139"/>
          <cell r="AG139"/>
          <cell r="AH139"/>
          <cell r="AI139"/>
          <cell r="AJ139"/>
          <cell r="AK139"/>
          <cell r="AL139"/>
          <cell r="AM139"/>
          <cell r="AN139"/>
          <cell r="AO139"/>
          <cell r="AP139"/>
          <cell r="AQ139"/>
          <cell r="AR139"/>
          <cell r="AS139"/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/>
          <cell r="BG139"/>
          <cell r="BH139"/>
          <cell r="BI139"/>
          <cell r="BJ139"/>
          <cell r="BK139"/>
          <cell r="BL139"/>
          <cell r="BM139"/>
          <cell r="BN139"/>
          <cell r="BO139"/>
          <cell r="BP139"/>
          <cell r="BQ139"/>
          <cell r="BR139"/>
          <cell r="BS139"/>
          <cell r="BT139"/>
          <cell r="BU139"/>
          <cell r="BV139"/>
          <cell r="BW139"/>
          <cell r="BX139"/>
          <cell r="BY139"/>
          <cell r="BZ139"/>
          <cell r="CA139"/>
          <cell r="CB139"/>
          <cell r="CC139"/>
          <cell r="CD139"/>
          <cell r="CE139"/>
          <cell r="CF139"/>
          <cell r="CG139"/>
          <cell r="CH139"/>
          <cell r="CI139"/>
          <cell r="CJ139"/>
          <cell r="CK139"/>
          <cell r="CL139"/>
          <cell r="CM139"/>
          <cell r="CN139"/>
          <cell r="CO139"/>
        </row>
        <row r="140">
          <cell r="A140" t="str">
            <v>femelle engraissée</v>
          </cell>
          <cell r="B140" t="str">
            <v>Poids vif</v>
          </cell>
          <cell r="C140">
            <v>19</v>
          </cell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/>
          <cell r="BG140"/>
          <cell r="BH140"/>
          <cell r="BI140"/>
          <cell r="BJ140"/>
          <cell r="BK140"/>
          <cell r="BL140"/>
          <cell r="BM140"/>
          <cell r="BN140"/>
          <cell r="BO140"/>
          <cell r="BP140"/>
          <cell r="BQ140"/>
          <cell r="BR140"/>
          <cell r="BS140"/>
          <cell r="BT140"/>
          <cell r="BU140"/>
          <cell r="BV140"/>
          <cell r="BW140"/>
          <cell r="BX140"/>
          <cell r="BY140"/>
          <cell r="BZ140"/>
          <cell r="CA140"/>
          <cell r="CB140"/>
          <cell r="CC140"/>
          <cell r="CD140"/>
          <cell r="CE140"/>
          <cell r="CF140"/>
          <cell r="CG140"/>
          <cell r="CH140"/>
          <cell r="CI140"/>
          <cell r="CJ140"/>
          <cell r="CK140"/>
          <cell r="CL140"/>
          <cell r="CM140"/>
          <cell r="CN140"/>
          <cell r="CO140"/>
        </row>
        <row r="141">
          <cell r="A141" t="str">
            <v>femelle engraissée</v>
          </cell>
          <cell r="B141" t="str">
            <v>Poids carcasse</v>
          </cell>
          <cell r="C141">
            <v>20</v>
          </cell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>
            <v>440</v>
          </cell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>
            <v>440</v>
          </cell>
          <cell r="AF141"/>
          <cell r="AG141"/>
          <cell r="AH141"/>
          <cell r="AI141"/>
          <cell r="AJ141"/>
          <cell r="AK141"/>
          <cell r="AL141"/>
          <cell r="AM141"/>
          <cell r="AN141"/>
          <cell r="AO141"/>
          <cell r="AP141"/>
          <cell r="AQ141"/>
          <cell r="AR141"/>
          <cell r="AS141"/>
          <cell r="AT141"/>
          <cell r="AU141"/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/>
          <cell r="BG141"/>
          <cell r="BH141"/>
          <cell r="BI141"/>
          <cell r="BJ141"/>
          <cell r="BK141"/>
          <cell r="BL141"/>
          <cell r="BM141"/>
          <cell r="BN141"/>
          <cell r="BO141"/>
          <cell r="BP141"/>
          <cell r="BQ141"/>
          <cell r="BR141"/>
          <cell r="BS141"/>
          <cell r="BT141"/>
          <cell r="BU141"/>
          <cell r="BV141"/>
          <cell r="BW141"/>
          <cell r="BX141"/>
          <cell r="BY141"/>
          <cell r="BZ141"/>
          <cell r="CA141"/>
          <cell r="CB141"/>
          <cell r="CC141"/>
          <cell r="CD141"/>
          <cell r="CE141"/>
          <cell r="CF141"/>
          <cell r="CG141"/>
          <cell r="CH141"/>
          <cell r="CI141"/>
          <cell r="CJ141"/>
          <cell r="CK141"/>
          <cell r="CL141"/>
          <cell r="CM141"/>
          <cell r="CN141"/>
          <cell r="CO141"/>
        </row>
        <row r="142">
          <cell r="A142" t="str">
            <v>femelle engraissée</v>
          </cell>
          <cell r="B142" t="str">
            <v>Prix kg  vif</v>
          </cell>
          <cell r="C142">
            <v>21</v>
          </cell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/>
          <cell r="BG142"/>
          <cell r="BH142"/>
          <cell r="BI142"/>
          <cell r="BJ142"/>
          <cell r="BK142"/>
          <cell r="BL142"/>
          <cell r="BM142"/>
          <cell r="BN142"/>
          <cell r="BO142"/>
          <cell r="BP142"/>
          <cell r="BQ142"/>
          <cell r="BR142"/>
          <cell r="BS142"/>
          <cell r="BT142"/>
          <cell r="BU142"/>
          <cell r="BV142"/>
          <cell r="BW142"/>
          <cell r="BX142"/>
          <cell r="BY142"/>
          <cell r="BZ142"/>
          <cell r="CA142"/>
          <cell r="CB142"/>
          <cell r="CC142"/>
          <cell r="CD142"/>
          <cell r="CE142"/>
          <cell r="CF142"/>
          <cell r="CG142"/>
          <cell r="CH142"/>
          <cell r="CI142"/>
          <cell r="CJ142"/>
          <cell r="CK142"/>
          <cell r="CL142"/>
          <cell r="CM142"/>
          <cell r="CN142"/>
          <cell r="CO142"/>
        </row>
        <row r="143">
          <cell r="A143" t="str">
            <v>femelle engraissée</v>
          </cell>
          <cell r="B143" t="str">
            <v>Prix kg carcasse</v>
          </cell>
          <cell r="C143">
            <v>22</v>
          </cell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>
            <v>4.97</v>
          </cell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  <cell r="AE143">
            <v>4.97</v>
          </cell>
          <cell r="AF143"/>
          <cell r="AG143"/>
          <cell r="AH143"/>
          <cell r="AI143"/>
          <cell r="AJ143"/>
          <cell r="AK143"/>
          <cell r="AL143"/>
          <cell r="AM143"/>
          <cell r="AN143"/>
          <cell r="AO143"/>
          <cell r="AP143"/>
          <cell r="AQ143"/>
          <cell r="AR143"/>
          <cell r="AS143"/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/>
          <cell r="BG143"/>
          <cell r="BH143"/>
          <cell r="BI143"/>
          <cell r="BJ143"/>
          <cell r="BK143"/>
          <cell r="BL143"/>
          <cell r="BM143"/>
          <cell r="BN143"/>
          <cell r="BO143"/>
          <cell r="BP143"/>
          <cell r="BQ143"/>
          <cell r="BR143"/>
          <cell r="BS143"/>
          <cell r="BT143"/>
          <cell r="BU143"/>
          <cell r="BV143"/>
          <cell r="BW143"/>
          <cell r="BX143"/>
          <cell r="BY143"/>
          <cell r="BZ143"/>
          <cell r="CA143"/>
          <cell r="CB143"/>
          <cell r="CC143"/>
          <cell r="CD143"/>
          <cell r="CE143"/>
          <cell r="CF143"/>
          <cell r="CG143"/>
          <cell r="CH143"/>
          <cell r="CI143"/>
          <cell r="CJ143"/>
          <cell r="CK143"/>
          <cell r="CL143"/>
          <cell r="CM143"/>
          <cell r="CN143"/>
          <cell r="CO143"/>
        </row>
        <row r="144">
          <cell r="A144" t="str">
            <v>femelle engraissée</v>
          </cell>
          <cell r="B144" t="str">
            <v>Prix tête</v>
          </cell>
          <cell r="C144">
            <v>23</v>
          </cell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>
            <v>2186.7999999999997</v>
          </cell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>
            <v>2186.7999999999997</v>
          </cell>
          <cell r="AF144"/>
          <cell r="AG144"/>
          <cell r="AH144"/>
          <cell r="AI144"/>
          <cell r="AJ144"/>
          <cell r="AK144"/>
          <cell r="AL144"/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  <cell r="BC144"/>
          <cell r="BD144"/>
          <cell r="BE144"/>
          <cell r="BF144"/>
          <cell r="BG144"/>
          <cell r="BH144"/>
          <cell r="BI144"/>
          <cell r="BJ144"/>
          <cell r="BK144"/>
          <cell r="BL144"/>
          <cell r="BM144"/>
          <cell r="BN144"/>
          <cell r="BO144"/>
          <cell r="BP144"/>
          <cell r="BQ144"/>
          <cell r="BR144"/>
          <cell r="BS144"/>
          <cell r="BT144"/>
          <cell r="BU144"/>
          <cell r="BV144"/>
          <cell r="BW144"/>
          <cell r="BX144"/>
          <cell r="BY144"/>
          <cell r="BZ144"/>
          <cell r="CA144"/>
          <cell r="CB144"/>
          <cell r="CC144"/>
          <cell r="CD144"/>
          <cell r="CE144"/>
          <cell r="CF144"/>
          <cell r="CG144"/>
          <cell r="CH144"/>
          <cell r="CI144"/>
          <cell r="CJ144"/>
          <cell r="CK144"/>
          <cell r="CL144"/>
          <cell r="CM144"/>
          <cell r="CN144"/>
          <cell r="CO144"/>
        </row>
        <row r="145">
          <cell r="A145" t="str">
            <v>réforme maigre</v>
          </cell>
          <cell r="B145" t="str">
            <v>Poids vif</v>
          </cell>
          <cell r="C145">
            <v>24</v>
          </cell>
          <cell r="D145"/>
          <cell r="E145">
            <v>650</v>
          </cell>
          <cell r="F145"/>
          <cell r="G145"/>
          <cell r="H145">
            <v>700</v>
          </cell>
          <cell r="I145"/>
          <cell r="J145">
            <v>700</v>
          </cell>
          <cell r="K145"/>
          <cell r="L145">
            <v>650</v>
          </cell>
          <cell r="M145">
            <v>617.5</v>
          </cell>
          <cell r="N145">
            <v>680</v>
          </cell>
          <cell r="O145"/>
          <cell r="P145"/>
          <cell r="Q145"/>
          <cell r="R145"/>
          <cell r="S145">
            <v>700</v>
          </cell>
          <cell r="T145"/>
          <cell r="U145">
            <v>700</v>
          </cell>
          <cell r="V145"/>
          <cell r="W145">
            <v>700</v>
          </cell>
          <cell r="X145"/>
          <cell r="Y145">
            <v>700</v>
          </cell>
          <cell r="Z145">
            <v>650</v>
          </cell>
          <cell r="AA145"/>
          <cell r="AB145">
            <v>700</v>
          </cell>
          <cell r="AC145"/>
          <cell r="AD145">
            <v>680</v>
          </cell>
          <cell r="AE145"/>
          <cell r="AF145">
            <v>650</v>
          </cell>
          <cell r="AG145"/>
          <cell r="AH145"/>
          <cell r="AI145">
            <v>650</v>
          </cell>
          <cell r="AJ145"/>
          <cell r="AK145">
            <v>700</v>
          </cell>
          <cell r="AL145">
            <v>700</v>
          </cell>
          <cell r="AM145"/>
          <cell r="AN145">
            <v>700</v>
          </cell>
          <cell r="AO145"/>
          <cell r="AP145"/>
          <cell r="AQ145">
            <v>650</v>
          </cell>
          <cell r="AR145"/>
          <cell r="AS145">
            <v>700</v>
          </cell>
          <cell r="AT145">
            <v>680</v>
          </cell>
          <cell r="AU145">
            <v>680</v>
          </cell>
          <cell r="AV145"/>
          <cell r="AW145"/>
          <cell r="AX145"/>
          <cell r="AY145">
            <v>680</v>
          </cell>
          <cell r="AZ145"/>
          <cell r="BA145"/>
          <cell r="BB145"/>
          <cell r="BC145">
            <v>680</v>
          </cell>
          <cell r="BD145">
            <v>680</v>
          </cell>
          <cell r="BE145"/>
          <cell r="BF145"/>
          <cell r="BG145"/>
          <cell r="BH145"/>
          <cell r="BI145"/>
          <cell r="BJ145"/>
          <cell r="BK145"/>
          <cell r="BL145"/>
          <cell r="BM145"/>
          <cell r="BN145"/>
          <cell r="BO145"/>
          <cell r="BP145"/>
          <cell r="BQ145">
            <v>700</v>
          </cell>
          <cell r="BR145"/>
          <cell r="BS145"/>
          <cell r="BT145"/>
          <cell r="BU145"/>
          <cell r="BV145"/>
          <cell r="BW145"/>
          <cell r="BX145"/>
          <cell r="BY145"/>
          <cell r="BZ145"/>
          <cell r="CA145"/>
          <cell r="CB145"/>
          <cell r="CC145"/>
          <cell r="CD145"/>
          <cell r="CE145"/>
          <cell r="CF145"/>
          <cell r="CG145"/>
          <cell r="CH145"/>
          <cell r="CI145"/>
          <cell r="CJ145"/>
          <cell r="CK145"/>
          <cell r="CL145"/>
          <cell r="CM145"/>
          <cell r="CN145"/>
          <cell r="CO145"/>
        </row>
        <row r="146">
          <cell r="A146" t="str">
            <v>réforme maigre</v>
          </cell>
          <cell r="B146" t="str">
            <v>Poids carcasse</v>
          </cell>
          <cell r="C146">
            <v>25</v>
          </cell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  <cell r="AM146"/>
          <cell r="AN146"/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  <cell r="BC146"/>
          <cell r="BD146"/>
          <cell r="BE146"/>
          <cell r="BF146"/>
          <cell r="BG146"/>
          <cell r="BH146"/>
          <cell r="BI146"/>
          <cell r="BJ146"/>
          <cell r="BK146"/>
          <cell r="BL146"/>
          <cell r="BM146"/>
          <cell r="BN146"/>
          <cell r="BO146"/>
          <cell r="BP146"/>
          <cell r="BQ146"/>
          <cell r="BR146"/>
          <cell r="BS146"/>
          <cell r="BT146"/>
          <cell r="BU146"/>
          <cell r="BV146"/>
          <cell r="BW146"/>
          <cell r="BX146"/>
          <cell r="BY146"/>
          <cell r="BZ146"/>
          <cell r="CA146"/>
          <cell r="CB146"/>
          <cell r="CC146"/>
          <cell r="CD146"/>
          <cell r="CE146"/>
          <cell r="CF146"/>
          <cell r="CG146"/>
          <cell r="CH146"/>
          <cell r="CI146"/>
          <cell r="CJ146"/>
          <cell r="CK146"/>
          <cell r="CL146"/>
          <cell r="CM146"/>
          <cell r="CN146"/>
          <cell r="CO146"/>
        </row>
        <row r="147">
          <cell r="A147" t="str">
            <v>réforme maigre</v>
          </cell>
          <cell r="B147" t="str">
            <v>Prix kg  vif</v>
          </cell>
          <cell r="C147">
            <v>26</v>
          </cell>
          <cell r="D147"/>
          <cell r="E147"/>
          <cell r="F147"/>
          <cell r="G147"/>
          <cell r="H147"/>
          <cell r="I147"/>
          <cell r="J147"/>
          <cell r="K147"/>
          <cell r="L147"/>
          <cell r="M147">
            <v>1.84</v>
          </cell>
          <cell r="N147">
            <v>1.84</v>
          </cell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>
            <v>1.84</v>
          </cell>
          <cell r="AA147"/>
          <cell r="AB147"/>
          <cell r="AC147"/>
          <cell r="AD147">
            <v>1.84</v>
          </cell>
          <cell r="AE147"/>
          <cell r="AF147">
            <v>1.84</v>
          </cell>
          <cell r="AG147"/>
          <cell r="AH147"/>
          <cell r="AI147"/>
          <cell r="AJ147"/>
          <cell r="AK147"/>
          <cell r="AL147">
            <v>1.6</v>
          </cell>
          <cell r="AM147"/>
          <cell r="AN147"/>
          <cell r="AO147"/>
          <cell r="AP147"/>
          <cell r="AQ147">
            <v>1.84</v>
          </cell>
          <cell r="AR147"/>
          <cell r="AS147"/>
          <cell r="AT147">
            <v>1.84</v>
          </cell>
          <cell r="AU147">
            <v>1.84</v>
          </cell>
          <cell r="AV147"/>
          <cell r="AW147"/>
          <cell r="AX147"/>
          <cell r="AY147">
            <v>1.84</v>
          </cell>
          <cell r="AZ147"/>
          <cell r="BA147"/>
          <cell r="BB147"/>
          <cell r="BC147">
            <v>1.84</v>
          </cell>
          <cell r="BD147">
            <v>1.84</v>
          </cell>
          <cell r="BE147"/>
          <cell r="BF147"/>
          <cell r="BG147"/>
          <cell r="BH147"/>
          <cell r="BI147"/>
          <cell r="BJ147"/>
          <cell r="BK147"/>
          <cell r="BL147"/>
          <cell r="BM147"/>
          <cell r="BN147"/>
          <cell r="BO147"/>
          <cell r="BP147"/>
          <cell r="BQ147"/>
          <cell r="BR147"/>
          <cell r="BS147"/>
          <cell r="BT147"/>
          <cell r="BU147"/>
          <cell r="BV147"/>
          <cell r="BW147"/>
          <cell r="BX147"/>
          <cell r="BY147"/>
          <cell r="BZ147"/>
          <cell r="CA147"/>
          <cell r="CB147"/>
          <cell r="CC147"/>
          <cell r="CD147"/>
          <cell r="CE147"/>
          <cell r="CF147"/>
          <cell r="CG147"/>
          <cell r="CH147"/>
          <cell r="CI147"/>
          <cell r="CJ147"/>
          <cell r="CK147"/>
          <cell r="CL147"/>
          <cell r="CM147"/>
          <cell r="CN147"/>
          <cell r="CO147"/>
        </row>
        <row r="148">
          <cell r="A148" t="str">
            <v>réforme maigre</v>
          </cell>
          <cell r="B148" t="str">
            <v>Prix kg carcasse</v>
          </cell>
          <cell r="C148">
            <v>27</v>
          </cell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  <cell r="AI148"/>
          <cell r="AJ148"/>
          <cell r="AK148"/>
          <cell r="AL148"/>
          <cell r="AM148"/>
          <cell r="AN148"/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/>
          <cell r="BB148"/>
          <cell r="BC148"/>
          <cell r="BD148"/>
          <cell r="BE148"/>
          <cell r="BF148"/>
          <cell r="BG148"/>
          <cell r="BH148"/>
          <cell r="BI148"/>
          <cell r="BJ148"/>
          <cell r="BK148"/>
          <cell r="BL148"/>
          <cell r="BM148"/>
          <cell r="BN148"/>
          <cell r="BO148"/>
          <cell r="BP148"/>
          <cell r="BQ148"/>
          <cell r="BR148"/>
          <cell r="BS148"/>
          <cell r="BT148"/>
          <cell r="BU148"/>
          <cell r="BV148"/>
          <cell r="BW148"/>
          <cell r="BX148"/>
          <cell r="BY148"/>
          <cell r="BZ148"/>
          <cell r="CA148"/>
          <cell r="CB148"/>
          <cell r="CC148"/>
          <cell r="CD148"/>
          <cell r="CE148"/>
          <cell r="CF148"/>
          <cell r="CG148"/>
          <cell r="CH148"/>
          <cell r="CI148"/>
          <cell r="CJ148"/>
          <cell r="CK148"/>
          <cell r="CL148"/>
          <cell r="CM148"/>
          <cell r="CN148"/>
          <cell r="CO148"/>
        </row>
        <row r="149">
          <cell r="A149" t="str">
            <v>réforme maigre</v>
          </cell>
          <cell r="B149" t="str">
            <v>Prix tête</v>
          </cell>
          <cell r="C149">
            <v>28</v>
          </cell>
          <cell r="D149">
            <v>26.5</v>
          </cell>
          <cell r="E149">
            <v>1196</v>
          </cell>
          <cell r="F149"/>
          <cell r="G149">
            <v>26.5</v>
          </cell>
          <cell r="H149">
            <v>1028</v>
          </cell>
          <cell r="I149">
            <v>26.5</v>
          </cell>
          <cell r="J149">
            <v>1285</v>
          </cell>
          <cell r="K149">
            <v>26.5</v>
          </cell>
          <cell r="L149">
            <v>1196</v>
          </cell>
          <cell r="M149">
            <v>1136.2</v>
          </cell>
          <cell r="N149">
            <v>1251.2</v>
          </cell>
          <cell r="O149"/>
          <cell r="P149"/>
          <cell r="Q149"/>
          <cell r="R149">
            <v>26.5</v>
          </cell>
          <cell r="S149">
            <v>1285</v>
          </cell>
          <cell r="T149">
            <v>26.5</v>
          </cell>
          <cell r="U149">
            <v>1285</v>
          </cell>
          <cell r="V149">
            <v>26.5</v>
          </cell>
          <cell r="W149">
            <v>1285</v>
          </cell>
          <cell r="X149">
            <v>26.5</v>
          </cell>
          <cell r="Y149">
            <v>1285</v>
          </cell>
          <cell r="Z149">
            <v>1196</v>
          </cell>
          <cell r="AA149">
            <v>26.5</v>
          </cell>
          <cell r="AB149">
            <v>1285</v>
          </cell>
          <cell r="AC149">
            <v>26.5</v>
          </cell>
          <cell r="AD149">
            <v>1251.2</v>
          </cell>
          <cell r="AE149"/>
          <cell r="AF149">
            <v>1196</v>
          </cell>
          <cell r="AG149">
            <v>26.5</v>
          </cell>
          <cell r="AH149">
            <v>26.5</v>
          </cell>
          <cell r="AI149">
            <v>1196</v>
          </cell>
          <cell r="AJ149">
            <v>26.5</v>
          </cell>
          <cell r="AK149">
            <v>1285</v>
          </cell>
          <cell r="AL149">
            <v>1120</v>
          </cell>
          <cell r="AM149">
            <v>26.5</v>
          </cell>
          <cell r="AN149">
            <v>1285</v>
          </cell>
          <cell r="AO149"/>
          <cell r="AP149">
            <v>26.5</v>
          </cell>
          <cell r="AQ149">
            <v>1196</v>
          </cell>
          <cell r="AR149">
            <v>26.5</v>
          </cell>
          <cell r="AS149">
            <v>1285</v>
          </cell>
          <cell r="AT149">
            <v>1251.2</v>
          </cell>
          <cell r="AU149">
            <v>1251.2</v>
          </cell>
          <cell r="AV149">
            <v>26.5</v>
          </cell>
          <cell r="AW149">
            <v>26.5</v>
          </cell>
          <cell r="AX149">
            <v>26.5</v>
          </cell>
          <cell r="AY149">
            <v>1251.2</v>
          </cell>
          <cell r="AZ149"/>
          <cell r="BA149"/>
          <cell r="BB149"/>
          <cell r="BC149">
            <v>1251.2</v>
          </cell>
          <cell r="BD149">
            <v>1251.2</v>
          </cell>
          <cell r="BE149">
            <v>26.5</v>
          </cell>
          <cell r="BF149">
            <v>26.5</v>
          </cell>
          <cell r="BG149">
            <v>26.5</v>
          </cell>
          <cell r="BH149"/>
          <cell r="BI149"/>
          <cell r="BJ149"/>
          <cell r="BK149"/>
          <cell r="BL149"/>
          <cell r="BM149"/>
          <cell r="BN149"/>
          <cell r="BO149">
            <v>26.5</v>
          </cell>
          <cell r="BP149">
            <v>26.5</v>
          </cell>
          <cell r="BQ149">
            <v>1028</v>
          </cell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</row>
        <row r="150">
          <cell r="A150" t="str">
            <v>réforme grasse</v>
          </cell>
          <cell r="B150" t="str">
            <v>Poids vif</v>
          </cell>
          <cell r="C150">
            <v>29</v>
          </cell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</row>
        <row r="151">
          <cell r="A151" t="str">
            <v>réforme grasse</v>
          </cell>
          <cell r="B151" t="str">
            <v>Poids carcasse</v>
          </cell>
          <cell r="C151">
            <v>30</v>
          </cell>
          <cell r="D151"/>
          <cell r="E151"/>
          <cell r="F151">
            <v>310</v>
          </cell>
          <cell r="G151"/>
          <cell r="H151"/>
          <cell r="I151"/>
          <cell r="J151"/>
          <cell r="K151"/>
          <cell r="L151"/>
          <cell r="M151">
            <v>440</v>
          </cell>
          <cell r="N151">
            <v>440</v>
          </cell>
          <cell r="O151">
            <v>480</v>
          </cell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>
            <v>440</v>
          </cell>
          <cell r="AA151"/>
          <cell r="AB151"/>
          <cell r="AC151"/>
          <cell r="AD151">
            <v>440</v>
          </cell>
          <cell r="AE151">
            <v>480</v>
          </cell>
          <cell r="AF151">
            <v>440</v>
          </cell>
          <cell r="AG151"/>
          <cell r="AH151"/>
          <cell r="AI151"/>
          <cell r="AJ151"/>
          <cell r="AK151"/>
          <cell r="AL151"/>
          <cell r="AM151"/>
          <cell r="AN151"/>
          <cell r="AO151"/>
          <cell r="AP151"/>
          <cell r="AQ151">
            <v>440</v>
          </cell>
          <cell r="AR151"/>
          <cell r="AS151"/>
          <cell r="AT151">
            <v>440</v>
          </cell>
          <cell r="AU151">
            <v>440</v>
          </cell>
          <cell r="AV151"/>
          <cell r="AW151"/>
          <cell r="AX151"/>
          <cell r="AY151">
            <v>440</v>
          </cell>
          <cell r="AZ151">
            <v>310</v>
          </cell>
          <cell r="BA151">
            <v>310</v>
          </cell>
          <cell r="BB151">
            <v>310</v>
          </cell>
          <cell r="BC151">
            <v>440</v>
          </cell>
          <cell r="BD151">
            <v>440</v>
          </cell>
          <cell r="BE151"/>
          <cell r="BF151"/>
          <cell r="BG151"/>
          <cell r="BH151"/>
          <cell r="BI151"/>
          <cell r="BJ151"/>
          <cell r="BK151"/>
          <cell r="BL151"/>
          <cell r="BM151"/>
          <cell r="BN151"/>
          <cell r="BO151"/>
          <cell r="BP151"/>
          <cell r="BQ151"/>
          <cell r="BR151"/>
          <cell r="BS151"/>
          <cell r="BT151"/>
          <cell r="BU151"/>
          <cell r="BV151"/>
          <cell r="BW151"/>
          <cell r="BX151"/>
          <cell r="BY151"/>
          <cell r="BZ151"/>
          <cell r="CA151"/>
          <cell r="CB151"/>
          <cell r="CC151"/>
          <cell r="CD151"/>
          <cell r="CE151"/>
          <cell r="CF151"/>
          <cell r="CG151"/>
          <cell r="CH151"/>
          <cell r="CI151"/>
          <cell r="CJ151"/>
          <cell r="CK151"/>
          <cell r="CL151"/>
          <cell r="CM151"/>
          <cell r="CN151"/>
          <cell r="CO151"/>
        </row>
        <row r="152">
          <cell r="A152" t="str">
            <v>réforme grasse</v>
          </cell>
          <cell r="B152" t="str">
            <v>Prix kg  vif</v>
          </cell>
          <cell r="C152">
            <v>31</v>
          </cell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</row>
        <row r="153">
          <cell r="A153" t="str">
            <v>réforme grasse</v>
          </cell>
          <cell r="B153" t="str">
            <v>Prix kg carcasse</v>
          </cell>
          <cell r="C153">
            <v>32</v>
          </cell>
          <cell r="D153"/>
          <cell r="E153"/>
          <cell r="F153">
            <v>2.4700000000000002</v>
          </cell>
          <cell r="G153"/>
          <cell r="H153"/>
          <cell r="I153"/>
          <cell r="J153"/>
          <cell r="K153"/>
          <cell r="L153"/>
          <cell r="M153">
            <v>4.8899999999999997</v>
          </cell>
          <cell r="N153">
            <v>4.8899999999999997</v>
          </cell>
          <cell r="O153">
            <v>4.9800000000000004</v>
          </cell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>
            <v>4.8899999999999997</v>
          </cell>
          <cell r="AA153"/>
          <cell r="AB153"/>
          <cell r="AC153"/>
          <cell r="AD153">
            <v>4.8899999999999997</v>
          </cell>
          <cell r="AE153">
            <v>4.9800000000000004</v>
          </cell>
          <cell r="AF153">
            <v>4.8899999999999997</v>
          </cell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>
            <v>4.8899999999999997</v>
          </cell>
          <cell r="AR153"/>
          <cell r="AS153"/>
          <cell r="AT153">
            <v>4.8899999999999997</v>
          </cell>
          <cell r="AU153">
            <v>4.8899999999999997</v>
          </cell>
          <cell r="AV153"/>
          <cell r="AW153"/>
          <cell r="AX153"/>
          <cell r="AY153">
            <v>4.8899999999999997</v>
          </cell>
          <cell r="AZ153">
            <v>2.4700000000000002</v>
          </cell>
          <cell r="BA153">
            <v>2.4700000000000002</v>
          </cell>
          <cell r="BB153">
            <v>2.4700000000000002</v>
          </cell>
          <cell r="BC153">
            <v>4.8899999999999997</v>
          </cell>
          <cell r="BD153">
            <v>4.8899999999999997</v>
          </cell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/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</row>
        <row r="154">
          <cell r="A154" t="str">
            <v>réforme grasse</v>
          </cell>
          <cell r="B154" t="str">
            <v>Prix tête</v>
          </cell>
          <cell r="C154">
            <v>33</v>
          </cell>
          <cell r="D154"/>
          <cell r="E154"/>
          <cell r="F154">
            <v>765.7</v>
          </cell>
          <cell r="G154"/>
          <cell r="H154"/>
          <cell r="I154"/>
          <cell r="J154"/>
          <cell r="K154"/>
          <cell r="L154"/>
          <cell r="M154">
            <v>2151.6</v>
          </cell>
          <cell r="N154">
            <v>2151.6</v>
          </cell>
          <cell r="O154">
            <v>2390.4</v>
          </cell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>
            <v>2151.6</v>
          </cell>
          <cell r="AA154"/>
          <cell r="AB154"/>
          <cell r="AC154"/>
          <cell r="AD154">
            <v>2151.6</v>
          </cell>
          <cell r="AE154">
            <v>2390.4</v>
          </cell>
          <cell r="AF154">
            <v>2151.6</v>
          </cell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>
            <v>2151.6</v>
          </cell>
          <cell r="AR154"/>
          <cell r="AS154"/>
          <cell r="AT154">
            <v>2151.6</v>
          </cell>
          <cell r="AU154">
            <v>2151.6</v>
          </cell>
          <cell r="AV154"/>
          <cell r="AW154"/>
          <cell r="AX154"/>
          <cell r="AY154">
            <v>2151.6</v>
          </cell>
          <cell r="AZ154">
            <v>765.7</v>
          </cell>
          <cell r="BA154">
            <v>765.7</v>
          </cell>
          <cell r="BB154">
            <v>765.7</v>
          </cell>
          <cell r="BC154">
            <v>2151.6</v>
          </cell>
          <cell r="BD154">
            <v>2151.6</v>
          </cell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</row>
        <row r="155">
          <cell r="A155" t="str">
            <v>réforme mâle reproducteur</v>
          </cell>
          <cell r="B155" t="str">
            <v>Poids vif</v>
          </cell>
          <cell r="C155">
            <v>34</v>
          </cell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</row>
        <row r="156">
          <cell r="A156" t="str">
            <v>réforme mâle reproducteur</v>
          </cell>
          <cell r="B156" t="str">
            <v>Poids carcasse</v>
          </cell>
          <cell r="C156">
            <v>35</v>
          </cell>
          <cell r="D156"/>
          <cell r="E156">
            <v>600</v>
          </cell>
          <cell r="F156"/>
          <cell r="G156"/>
          <cell r="H156">
            <v>600</v>
          </cell>
          <cell r="I156"/>
          <cell r="J156">
            <v>600</v>
          </cell>
          <cell r="K156"/>
          <cell r="L156">
            <v>600</v>
          </cell>
          <cell r="M156">
            <v>600</v>
          </cell>
          <cell r="N156">
            <v>600</v>
          </cell>
          <cell r="O156">
            <v>600</v>
          </cell>
          <cell r="P156"/>
          <cell r="Q156"/>
          <cell r="R156"/>
          <cell r="S156">
            <v>600</v>
          </cell>
          <cell r="T156"/>
          <cell r="U156">
            <v>600</v>
          </cell>
          <cell r="V156"/>
          <cell r="W156">
            <v>600</v>
          </cell>
          <cell r="X156"/>
          <cell r="Y156">
            <v>600</v>
          </cell>
          <cell r="Z156">
            <v>600</v>
          </cell>
          <cell r="AA156"/>
          <cell r="AB156">
            <v>600</v>
          </cell>
          <cell r="AC156"/>
          <cell r="AD156">
            <v>600</v>
          </cell>
          <cell r="AE156">
            <v>600</v>
          </cell>
          <cell r="AF156">
            <v>600</v>
          </cell>
          <cell r="AG156"/>
          <cell r="AH156"/>
          <cell r="AI156">
            <v>600</v>
          </cell>
          <cell r="AJ156"/>
          <cell r="AK156">
            <v>600</v>
          </cell>
          <cell r="AL156"/>
          <cell r="AM156"/>
          <cell r="AN156">
            <v>600</v>
          </cell>
          <cell r="AO156"/>
          <cell r="AP156"/>
          <cell r="AQ156">
            <v>600</v>
          </cell>
          <cell r="AR156"/>
          <cell r="AS156">
            <v>600</v>
          </cell>
          <cell r="AT156">
            <v>600</v>
          </cell>
          <cell r="AU156">
            <v>600</v>
          </cell>
          <cell r="AV156"/>
          <cell r="AW156"/>
          <cell r="AX156"/>
          <cell r="AY156">
            <v>600</v>
          </cell>
          <cell r="AZ156"/>
          <cell r="BA156"/>
          <cell r="BB156"/>
          <cell r="BC156">
            <v>600</v>
          </cell>
          <cell r="BD156">
            <v>600</v>
          </cell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>
            <v>600</v>
          </cell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</row>
        <row r="157">
          <cell r="A157" t="str">
            <v>réforme mâle reproducteur</v>
          </cell>
          <cell r="B157" t="str">
            <v>Prix kg  vif</v>
          </cell>
          <cell r="C157">
            <v>36</v>
          </cell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</row>
        <row r="158">
          <cell r="A158" t="str">
            <v>réforme mâle reproducteur</v>
          </cell>
          <cell r="B158" t="str">
            <v>Prix kg carcasse</v>
          </cell>
          <cell r="C158">
            <v>37</v>
          </cell>
          <cell r="D158"/>
          <cell r="E158">
            <v>1.74</v>
          </cell>
          <cell r="F158"/>
          <cell r="G158"/>
          <cell r="H158">
            <v>1.74</v>
          </cell>
          <cell r="I158"/>
          <cell r="J158">
            <v>1.74</v>
          </cell>
          <cell r="K158"/>
          <cell r="L158">
            <v>1.74</v>
          </cell>
          <cell r="M158">
            <v>1.74</v>
          </cell>
          <cell r="N158">
            <v>2.74</v>
          </cell>
          <cell r="O158">
            <v>2.74</v>
          </cell>
          <cell r="P158"/>
          <cell r="Q158"/>
          <cell r="R158"/>
          <cell r="S158">
            <v>1.74</v>
          </cell>
          <cell r="T158"/>
          <cell r="U158">
            <v>1.74</v>
          </cell>
          <cell r="V158"/>
          <cell r="W158">
            <v>1.74</v>
          </cell>
          <cell r="X158"/>
          <cell r="Y158">
            <v>1.74</v>
          </cell>
          <cell r="Z158">
            <v>1.74</v>
          </cell>
          <cell r="AA158"/>
          <cell r="AB158">
            <v>1.74</v>
          </cell>
          <cell r="AC158"/>
          <cell r="AD158">
            <v>2.74</v>
          </cell>
          <cell r="AE158">
            <v>2.74</v>
          </cell>
          <cell r="AF158">
            <v>1.74</v>
          </cell>
          <cell r="AG158"/>
          <cell r="AH158"/>
          <cell r="AI158">
            <v>1.74</v>
          </cell>
          <cell r="AJ158"/>
          <cell r="AK158">
            <v>1.74</v>
          </cell>
          <cell r="AL158"/>
          <cell r="AM158"/>
          <cell r="AN158">
            <v>1.74</v>
          </cell>
          <cell r="AO158"/>
          <cell r="AP158"/>
          <cell r="AQ158">
            <v>1.74</v>
          </cell>
          <cell r="AR158"/>
          <cell r="AS158">
            <v>1.74</v>
          </cell>
          <cell r="AT158">
            <v>2.74</v>
          </cell>
          <cell r="AU158">
            <v>2.74</v>
          </cell>
          <cell r="AV158"/>
          <cell r="AW158"/>
          <cell r="AX158"/>
          <cell r="AY158">
            <v>2.74</v>
          </cell>
          <cell r="AZ158"/>
          <cell r="BA158"/>
          <cell r="BB158"/>
          <cell r="BC158">
            <v>2.74</v>
          </cell>
          <cell r="BD158">
            <v>2.74</v>
          </cell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>
            <v>1.74</v>
          </cell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</row>
        <row r="159">
          <cell r="A159" t="str">
            <v>réforme mâle reproducteur</v>
          </cell>
          <cell r="B159" t="str">
            <v>Prix tête</v>
          </cell>
          <cell r="C159">
            <v>38</v>
          </cell>
          <cell r="D159">
            <v>26.5</v>
          </cell>
          <cell r="E159">
            <v>1044</v>
          </cell>
          <cell r="F159"/>
          <cell r="G159">
            <v>26.5</v>
          </cell>
          <cell r="H159">
            <v>1044</v>
          </cell>
          <cell r="I159">
            <v>26.5</v>
          </cell>
          <cell r="J159">
            <v>1044</v>
          </cell>
          <cell r="K159">
            <v>26.5</v>
          </cell>
          <cell r="L159">
            <v>1044</v>
          </cell>
          <cell r="M159">
            <v>1044</v>
          </cell>
          <cell r="N159">
            <v>1644.0000000000002</v>
          </cell>
          <cell r="O159">
            <v>1644.0000000000002</v>
          </cell>
          <cell r="P159"/>
          <cell r="Q159"/>
          <cell r="R159">
            <v>26.5</v>
          </cell>
          <cell r="S159">
            <v>1044</v>
          </cell>
          <cell r="T159">
            <v>26.5</v>
          </cell>
          <cell r="U159">
            <v>1044</v>
          </cell>
          <cell r="V159">
            <v>26.5</v>
          </cell>
          <cell r="W159">
            <v>1044</v>
          </cell>
          <cell r="X159">
            <v>26.5</v>
          </cell>
          <cell r="Y159">
            <v>1044</v>
          </cell>
          <cell r="Z159">
            <v>1044</v>
          </cell>
          <cell r="AA159">
            <v>26.5</v>
          </cell>
          <cell r="AB159">
            <v>1044</v>
          </cell>
          <cell r="AC159">
            <v>26.5</v>
          </cell>
          <cell r="AD159">
            <v>1644.0000000000002</v>
          </cell>
          <cell r="AE159">
            <v>1644.0000000000002</v>
          </cell>
          <cell r="AF159">
            <v>1044</v>
          </cell>
          <cell r="AG159">
            <v>26.5</v>
          </cell>
          <cell r="AH159">
            <v>26.5</v>
          </cell>
          <cell r="AI159">
            <v>1044</v>
          </cell>
          <cell r="AJ159">
            <v>26.5</v>
          </cell>
          <cell r="AK159">
            <v>1044</v>
          </cell>
          <cell r="AL159"/>
          <cell r="AM159">
            <v>26.5</v>
          </cell>
          <cell r="AN159">
            <v>1044</v>
          </cell>
          <cell r="AO159"/>
          <cell r="AP159">
            <v>26.5</v>
          </cell>
          <cell r="AQ159">
            <v>1044</v>
          </cell>
          <cell r="AR159">
            <v>26.5</v>
          </cell>
          <cell r="AS159">
            <v>1044</v>
          </cell>
          <cell r="AT159">
            <v>1644.0000000000002</v>
          </cell>
          <cell r="AU159">
            <v>1644.0000000000002</v>
          </cell>
          <cell r="AV159">
            <v>26.5</v>
          </cell>
          <cell r="AW159">
            <v>26.5</v>
          </cell>
          <cell r="AX159">
            <v>26.5</v>
          </cell>
          <cell r="AY159">
            <v>1644.0000000000002</v>
          </cell>
          <cell r="AZ159"/>
          <cell r="BA159"/>
          <cell r="BB159"/>
          <cell r="BC159">
            <v>1644.0000000000002</v>
          </cell>
          <cell r="BD159">
            <v>1644.0000000000002</v>
          </cell>
          <cell r="BE159">
            <v>26.5</v>
          </cell>
          <cell r="BF159">
            <v>26.5</v>
          </cell>
          <cell r="BG159">
            <v>26.5</v>
          </cell>
          <cell r="BH159"/>
          <cell r="BI159"/>
          <cell r="BJ159"/>
          <cell r="BK159"/>
          <cell r="BL159"/>
          <cell r="BM159"/>
          <cell r="BN159"/>
          <cell r="BO159">
            <v>26.5</v>
          </cell>
          <cell r="BP159">
            <v>26.5</v>
          </cell>
          <cell r="BQ159">
            <v>1044</v>
          </cell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</row>
        <row r="160">
          <cell r="A160" t="str">
            <v>achat mâle reproducteur</v>
          </cell>
          <cell r="B160" t="str">
            <v>Poids vif</v>
          </cell>
          <cell r="C160">
            <v>39</v>
          </cell>
          <cell r="D160"/>
          <cell r="E160">
            <v>660</v>
          </cell>
          <cell r="F160"/>
          <cell r="G160"/>
          <cell r="H160">
            <v>660</v>
          </cell>
          <cell r="I160"/>
          <cell r="J160">
            <v>660</v>
          </cell>
          <cell r="K160"/>
          <cell r="L160">
            <v>660</v>
          </cell>
          <cell r="M160">
            <v>660</v>
          </cell>
          <cell r="N160">
            <v>660</v>
          </cell>
          <cell r="O160">
            <v>660</v>
          </cell>
          <cell r="P160"/>
          <cell r="Q160"/>
          <cell r="R160"/>
          <cell r="S160">
            <v>660</v>
          </cell>
          <cell r="T160"/>
          <cell r="U160">
            <v>660</v>
          </cell>
          <cell r="V160"/>
          <cell r="W160">
            <v>660</v>
          </cell>
          <cell r="X160"/>
          <cell r="Y160">
            <v>660</v>
          </cell>
          <cell r="Z160">
            <v>660</v>
          </cell>
          <cell r="AA160"/>
          <cell r="AB160">
            <v>660</v>
          </cell>
          <cell r="AC160"/>
          <cell r="AD160">
            <v>660</v>
          </cell>
          <cell r="AE160">
            <v>660</v>
          </cell>
          <cell r="AF160">
            <v>660</v>
          </cell>
          <cell r="AG160"/>
          <cell r="AH160"/>
          <cell r="AI160">
            <v>660</v>
          </cell>
          <cell r="AJ160"/>
          <cell r="AK160">
            <v>660</v>
          </cell>
          <cell r="AL160"/>
          <cell r="AM160"/>
          <cell r="AN160">
            <v>660</v>
          </cell>
          <cell r="AO160"/>
          <cell r="AP160"/>
          <cell r="AQ160">
            <v>660</v>
          </cell>
          <cell r="AR160"/>
          <cell r="AS160">
            <v>660</v>
          </cell>
          <cell r="AT160">
            <v>660</v>
          </cell>
          <cell r="AU160">
            <v>660</v>
          </cell>
          <cell r="AV160"/>
          <cell r="AW160"/>
          <cell r="AX160"/>
          <cell r="AY160">
            <v>660</v>
          </cell>
          <cell r="AZ160"/>
          <cell r="BA160"/>
          <cell r="BB160"/>
          <cell r="BC160">
            <v>660</v>
          </cell>
          <cell r="BD160">
            <v>660</v>
          </cell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>
            <v>660</v>
          </cell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</row>
        <row r="161">
          <cell r="A161" t="str">
            <v>achat mâle reproducteur</v>
          </cell>
          <cell r="B161" t="str">
            <v>Poids carcasse</v>
          </cell>
          <cell r="C161">
            <v>40</v>
          </cell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</row>
        <row r="162">
          <cell r="A162" t="str">
            <v>achat mâle reproducteur</v>
          </cell>
          <cell r="B162" t="str">
            <v>Prix kg  vif</v>
          </cell>
          <cell r="C162">
            <v>41</v>
          </cell>
          <cell r="D162"/>
          <cell r="E162">
            <v>3.83</v>
          </cell>
          <cell r="F162"/>
          <cell r="G162"/>
          <cell r="H162">
            <v>3.83</v>
          </cell>
          <cell r="I162"/>
          <cell r="J162">
            <v>3.83</v>
          </cell>
          <cell r="K162"/>
          <cell r="L162">
            <v>3.83</v>
          </cell>
          <cell r="M162">
            <v>3.83</v>
          </cell>
          <cell r="N162">
            <v>3.83</v>
          </cell>
          <cell r="O162">
            <v>3.83</v>
          </cell>
          <cell r="P162"/>
          <cell r="Q162"/>
          <cell r="R162"/>
          <cell r="S162">
            <v>3.83</v>
          </cell>
          <cell r="T162"/>
          <cell r="U162">
            <v>3.83</v>
          </cell>
          <cell r="V162"/>
          <cell r="W162">
            <v>3.83</v>
          </cell>
          <cell r="X162"/>
          <cell r="Y162">
            <v>3.83</v>
          </cell>
          <cell r="Z162">
            <v>3.83</v>
          </cell>
          <cell r="AA162"/>
          <cell r="AB162">
            <v>3.83</v>
          </cell>
          <cell r="AC162"/>
          <cell r="AD162">
            <v>3.83</v>
          </cell>
          <cell r="AE162">
            <v>3.83</v>
          </cell>
          <cell r="AF162">
            <v>3.83</v>
          </cell>
          <cell r="AG162"/>
          <cell r="AH162"/>
          <cell r="AI162">
            <v>3.83</v>
          </cell>
          <cell r="AJ162"/>
          <cell r="AK162">
            <v>3.83</v>
          </cell>
          <cell r="AL162"/>
          <cell r="AM162"/>
          <cell r="AN162">
            <v>3.83</v>
          </cell>
          <cell r="AO162"/>
          <cell r="AP162"/>
          <cell r="AQ162">
            <v>3.83</v>
          </cell>
          <cell r="AR162"/>
          <cell r="AS162">
            <v>3.83</v>
          </cell>
          <cell r="AT162">
            <v>3.83</v>
          </cell>
          <cell r="AU162">
            <v>3.83</v>
          </cell>
          <cell r="AV162"/>
          <cell r="AW162"/>
          <cell r="AX162"/>
          <cell r="AY162">
            <v>3.83</v>
          </cell>
          <cell r="AZ162"/>
          <cell r="BA162"/>
          <cell r="BB162"/>
          <cell r="BC162">
            <v>3.83</v>
          </cell>
          <cell r="BD162">
            <v>3.83</v>
          </cell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>
            <v>3.83</v>
          </cell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</row>
        <row r="163">
          <cell r="A163" t="str">
            <v>achat mâle reproducteur</v>
          </cell>
          <cell r="B163" t="str">
            <v>Prix kg carcasse</v>
          </cell>
          <cell r="C163">
            <v>42</v>
          </cell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</row>
        <row r="164">
          <cell r="A164" t="str">
            <v>achat mâle reproducteur</v>
          </cell>
          <cell r="B164" t="str">
            <v>Prix tête</v>
          </cell>
          <cell r="C164">
            <v>43</v>
          </cell>
          <cell r="D164">
            <v>-450</v>
          </cell>
          <cell r="E164">
            <v>-2527.8000000000002</v>
          </cell>
          <cell r="F164"/>
          <cell r="G164">
            <v>-500</v>
          </cell>
          <cell r="H164">
            <v>-2527.8000000000002</v>
          </cell>
          <cell r="I164">
            <v>-450</v>
          </cell>
          <cell r="J164">
            <v>-2527.8000000000002</v>
          </cell>
          <cell r="K164">
            <v>-350</v>
          </cell>
          <cell r="L164">
            <v>-2527.8000000000002</v>
          </cell>
          <cell r="M164">
            <v>-2527.8000000000002</v>
          </cell>
          <cell r="N164">
            <v>-2527.8000000000002</v>
          </cell>
          <cell r="O164">
            <v>-2527.8000000000002</v>
          </cell>
          <cell r="P164"/>
          <cell r="Q164"/>
          <cell r="R164">
            <v>450</v>
          </cell>
          <cell r="S164">
            <v>2527.8000000000002</v>
          </cell>
          <cell r="T164">
            <v>450</v>
          </cell>
          <cell r="U164">
            <v>2527.8000000000002</v>
          </cell>
          <cell r="V164">
            <v>500</v>
          </cell>
          <cell r="W164">
            <v>2527.8000000000002</v>
          </cell>
          <cell r="X164">
            <v>500</v>
          </cell>
          <cell r="Y164">
            <v>2527.8000000000002</v>
          </cell>
          <cell r="Z164">
            <v>2527.8000000000002</v>
          </cell>
          <cell r="AA164">
            <v>450</v>
          </cell>
          <cell r="AB164">
            <v>2527.8000000000002</v>
          </cell>
          <cell r="AC164">
            <v>450</v>
          </cell>
          <cell r="AD164">
            <v>2527.8000000000002</v>
          </cell>
          <cell r="AE164">
            <v>2527.8000000000002</v>
          </cell>
          <cell r="AF164">
            <v>2527.8000000000002</v>
          </cell>
          <cell r="AG164">
            <v>450</v>
          </cell>
          <cell r="AH164">
            <v>350</v>
          </cell>
          <cell r="AI164">
            <v>2527.8000000000002</v>
          </cell>
          <cell r="AJ164">
            <v>500</v>
          </cell>
          <cell r="AK164">
            <v>2527.8000000000002</v>
          </cell>
          <cell r="AL164"/>
          <cell r="AM164">
            <v>500</v>
          </cell>
          <cell r="AN164">
            <v>2527.8000000000002</v>
          </cell>
          <cell r="AO164"/>
          <cell r="AP164">
            <v>350</v>
          </cell>
          <cell r="AQ164">
            <v>2527.8000000000002</v>
          </cell>
          <cell r="AR164">
            <v>500</v>
          </cell>
          <cell r="AS164">
            <v>2527.8000000000002</v>
          </cell>
          <cell r="AT164">
            <v>2527.8000000000002</v>
          </cell>
          <cell r="AU164">
            <v>2527.8000000000002</v>
          </cell>
          <cell r="AV164">
            <v>450</v>
          </cell>
          <cell r="AW164">
            <v>450</v>
          </cell>
          <cell r="AX164">
            <v>450</v>
          </cell>
          <cell r="AY164">
            <v>2527.8000000000002</v>
          </cell>
          <cell r="AZ164"/>
          <cell r="BA164"/>
          <cell r="BB164"/>
          <cell r="BC164">
            <v>-2527.8000000000002</v>
          </cell>
          <cell r="BD164">
            <v>-2527.8000000000002</v>
          </cell>
          <cell r="BE164">
            <v>-450</v>
          </cell>
          <cell r="BF164">
            <v>-450</v>
          </cell>
          <cell r="BG164">
            <v>-500</v>
          </cell>
          <cell r="BH164"/>
          <cell r="BI164"/>
          <cell r="BJ164"/>
          <cell r="BK164"/>
          <cell r="BL164"/>
          <cell r="BM164"/>
          <cell r="BN164"/>
          <cell r="BO164">
            <v>450</v>
          </cell>
          <cell r="BP164">
            <v>-500</v>
          </cell>
          <cell r="BQ164">
            <v>-2527.8000000000002</v>
          </cell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</row>
        <row r="170">
          <cell r="C170">
            <v>0</v>
          </cell>
          <cell r="D170">
            <v>1</v>
          </cell>
          <cell r="E170">
            <v>2</v>
          </cell>
          <cell r="F170">
            <v>3</v>
          </cell>
          <cell r="G170">
            <v>4</v>
          </cell>
          <cell r="H170">
            <v>5</v>
          </cell>
          <cell r="I170">
            <v>6</v>
          </cell>
          <cell r="J170">
            <v>7</v>
          </cell>
          <cell r="K170">
            <v>8</v>
          </cell>
          <cell r="L170">
            <v>9</v>
          </cell>
          <cell r="M170">
            <v>10</v>
          </cell>
          <cell r="N170">
            <v>11</v>
          </cell>
          <cell r="O170">
            <v>12</v>
          </cell>
          <cell r="P170">
            <v>13</v>
          </cell>
          <cell r="Q170">
            <v>14</v>
          </cell>
          <cell r="R170">
            <v>15</v>
          </cell>
          <cell r="S170">
            <v>16</v>
          </cell>
          <cell r="T170">
            <v>17</v>
          </cell>
          <cell r="U170">
            <v>18</v>
          </cell>
          <cell r="V170">
            <v>19</v>
          </cell>
          <cell r="W170">
            <v>20</v>
          </cell>
          <cell r="X170">
            <v>21</v>
          </cell>
          <cell r="Y170">
            <v>22</v>
          </cell>
          <cell r="Z170">
            <v>10</v>
          </cell>
          <cell r="AA170">
            <v>24</v>
          </cell>
          <cell r="AB170">
            <v>25</v>
          </cell>
          <cell r="AC170">
            <v>26</v>
          </cell>
          <cell r="AD170">
            <v>27</v>
          </cell>
          <cell r="AE170">
            <v>28</v>
          </cell>
          <cell r="AF170">
            <v>29</v>
          </cell>
          <cell r="AG170">
            <v>30</v>
          </cell>
          <cell r="AH170">
            <v>31</v>
          </cell>
          <cell r="AI170">
            <v>32</v>
          </cell>
          <cell r="AJ170">
            <v>33</v>
          </cell>
          <cell r="AK170">
            <v>34</v>
          </cell>
          <cell r="AL170">
            <v>35</v>
          </cell>
          <cell r="AM170">
            <v>36</v>
          </cell>
          <cell r="AN170">
            <v>37</v>
          </cell>
          <cell r="AO170">
            <v>38</v>
          </cell>
          <cell r="AP170">
            <v>39</v>
          </cell>
          <cell r="AQ170">
            <v>10</v>
          </cell>
          <cell r="AR170">
            <v>41</v>
          </cell>
          <cell r="AS170">
            <v>42</v>
          </cell>
          <cell r="AT170">
            <v>43</v>
          </cell>
          <cell r="AU170">
            <v>44</v>
          </cell>
          <cell r="AV170">
            <v>45</v>
          </cell>
          <cell r="AW170">
            <v>46</v>
          </cell>
          <cell r="AX170">
            <v>47</v>
          </cell>
          <cell r="AY170">
            <v>48</v>
          </cell>
          <cell r="AZ170">
            <v>49</v>
          </cell>
          <cell r="BA170">
            <v>50</v>
          </cell>
          <cell r="BB170">
            <v>51</v>
          </cell>
          <cell r="BC170">
            <v>52</v>
          </cell>
          <cell r="BD170">
            <v>53</v>
          </cell>
          <cell r="BE170">
            <v>54</v>
          </cell>
          <cell r="BF170">
            <v>55</v>
          </cell>
          <cell r="BG170">
            <v>56</v>
          </cell>
          <cell r="BH170">
            <v>57</v>
          </cell>
          <cell r="BI170">
            <v>58</v>
          </cell>
          <cell r="BJ170">
            <v>59</v>
          </cell>
          <cell r="BK170">
            <v>60</v>
          </cell>
          <cell r="BL170">
            <v>61</v>
          </cell>
          <cell r="BM170">
            <v>62</v>
          </cell>
          <cell r="BN170">
            <v>63</v>
          </cell>
          <cell r="BO170">
            <v>6</v>
          </cell>
          <cell r="BP170">
            <v>4</v>
          </cell>
          <cell r="BQ170">
            <v>5</v>
          </cell>
          <cell r="BR170">
            <v>67</v>
          </cell>
          <cell r="BS170">
            <v>68</v>
          </cell>
          <cell r="BT170">
            <v>69</v>
          </cell>
          <cell r="BU170">
            <v>70</v>
          </cell>
          <cell r="BV170">
            <v>71</v>
          </cell>
          <cell r="BW170">
            <v>72</v>
          </cell>
          <cell r="BX170">
            <v>73</v>
          </cell>
          <cell r="BY170">
            <v>74</v>
          </cell>
          <cell r="BZ170">
            <v>75</v>
          </cell>
          <cell r="CA170">
            <v>76</v>
          </cell>
          <cell r="CB170">
            <v>77</v>
          </cell>
          <cell r="CC170">
            <v>78</v>
          </cell>
          <cell r="CD170">
            <v>79</v>
          </cell>
          <cell r="CE170">
            <v>80</v>
          </cell>
          <cell r="CF170">
            <v>81</v>
          </cell>
          <cell r="CG170">
            <v>82</v>
          </cell>
          <cell r="CH170">
            <v>83</v>
          </cell>
          <cell r="CI170">
            <v>84</v>
          </cell>
          <cell r="CJ170">
            <v>85</v>
          </cell>
          <cell r="CK170">
            <v>86</v>
          </cell>
          <cell r="CL170">
            <v>87</v>
          </cell>
          <cell r="CM170">
            <v>88</v>
          </cell>
          <cell r="CN170">
            <v>89</v>
          </cell>
          <cell r="CO170"/>
        </row>
        <row r="171">
          <cell r="A171" t="str">
            <v>CO troupeaux (par femelles présentes MB)</v>
          </cell>
          <cell r="C171">
            <v>2</v>
          </cell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  <cell r="BZ171"/>
          <cell r="CA171"/>
          <cell r="CB171"/>
          <cell r="CC171"/>
          <cell r="CD171"/>
          <cell r="CE171"/>
          <cell r="CF171"/>
          <cell r="CG171"/>
          <cell r="CH171"/>
          <cell r="CI171"/>
          <cell r="CJ171"/>
          <cell r="CK171"/>
          <cell r="CL171"/>
          <cell r="CM171"/>
          <cell r="CN171"/>
          <cell r="CO171"/>
        </row>
        <row r="172">
          <cell r="A172" t="str">
            <v>Frais vétérinaires (€ / femelles présentes à la MB)</v>
          </cell>
          <cell r="C172">
            <v>3</v>
          </cell>
          <cell r="D172">
            <v>8</v>
          </cell>
          <cell r="E172">
            <v>93.8</v>
          </cell>
          <cell r="F172">
            <v>97.2</v>
          </cell>
          <cell r="G172">
            <v>8</v>
          </cell>
          <cell r="H172">
            <v>111</v>
          </cell>
          <cell r="I172">
            <v>8</v>
          </cell>
          <cell r="J172">
            <v>112.55</v>
          </cell>
          <cell r="K172">
            <v>8</v>
          </cell>
          <cell r="L172">
            <v>97.6</v>
          </cell>
          <cell r="M172">
            <v>55</v>
          </cell>
          <cell r="N172">
            <v>48</v>
          </cell>
          <cell r="O172">
            <v>84</v>
          </cell>
          <cell r="P172"/>
          <cell r="Q172"/>
          <cell r="R172">
            <v>8</v>
          </cell>
          <cell r="S172">
            <v>112.55</v>
          </cell>
          <cell r="T172">
            <v>8</v>
          </cell>
          <cell r="U172">
            <v>112.55</v>
          </cell>
          <cell r="V172">
            <v>8</v>
          </cell>
          <cell r="W172">
            <v>111</v>
          </cell>
          <cell r="X172">
            <v>8</v>
          </cell>
          <cell r="Y172">
            <v>111</v>
          </cell>
          <cell r="Z172">
            <v>55</v>
          </cell>
          <cell r="AA172">
            <v>8</v>
          </cell>
          <cell r="AB172">
            <v>112.55</v>
          </cell>
          <cell r="AC172">
            <v>8</v>
          </cell>
          <cell r="AD172">
            <v>48</v>
          </cell>
          <cell r="AE172">
            <v>84</v>
          </cell>
          <cell r="AF172">
            <v>55</v>
          </cell>
          <cell r="AG172">
            <v>8</v>
          </cell>
          <cell r="AH172">
            <v>8</v>
          </cell>
          <cell r="AI172">
            <v>97.6</v>
          </cell>
          <cell r="AJ172">
            <v>8</v>
          </cell>
          <cell r="AK172">
            <v>111</v>
          </cell>
          <cell r="AL172">
            <v>72</v>
          </cell>
          <cell r="AM172">
            <v>8</v>
          </cell>
          <cell r="AN172">
            <v>111</v>
          </cell>
          <cell r="AO172"/>
          <cell r="AP172">
            <v>8</v>
          </cell>
          <cell r="AQ172">
            <v>55</v>
          </cell>
          <cell r="AR172">
            <v>8</v>
          </cell>
          <cell r="AS172">
            <v>111</v>
          </cell>
          <cell r="AT172">
            <v>48</v>
          </cell>
          <cell r="AU172">
            <v>48</v>
          </cell>
          <cell r="AV172">
            <v>9.6</v>
          </cell>
          <cell r="AW172">
            <v>9.6</v>
          </cell>
          <cell r="AX172">
            <v>8</v>
          </cell>
          <cell r="AY172">
            <v>48</v>
          </cell>
          <cell r="AZ172">
            <v>97.2</v>
          </cell>
          <cell r="BA172">
            <v>97.2</v>
          </cell>
          <cell r="BB172">
            <v>97.2</v>
          </cell>
          <cell r="BC172">
            <v>57.599999999999994</v>
          </cell>
          <cell r="BD172">
            <v>57.599999999999994</v>
          </cell>
          <cell r="BE172">
            <v>8</v>
          </cell>
          <cell r="BF172">
            <v>8</v>
          </cell>
          <cell r="BG172">
            <v>9.6</v>
          </cell>
          <cell r="BH172"/>
          <cell r="BI172"/>
          <cell r="BJ172"/>
          <cell r="BK172"/>
          <cell r="BL172"/>
          <cell r="BM172"/>
          <cell r="BN172"/>
          <cell r="BO172">
            <v>8</v>
          </cell>
          <cell r="BP172">
            <v>10</v>
          </cell>
          <cell r="BQ172">
            <v>133.19999999999999</v>
          </cell>
          <cell r="BR172"/>
          <cell r="BS172"/>
          <cell r="BT172"/>
          <cell r="BU172"/>
          <cell r="BV172"/>
          <cell r="BW172"/>
          <cell r="BX172"/>
          <cell r="BY172"/>
          <cell r="BZ172"/>
          <cell r="CA172"/>
          <cell r="CB172"/>
          <cell r="CC172"/>
          <cell r="CD172"/>
          <cell r="CE172"/>
          <cell r="CF172"/>
          <cell r="CG172"/>
          <cell r="CH172"/>
          <cell r="CI172"/>
          <cell r="CJ172"/>
          <cell r="CK172"/>
          <cell r="CL172"/>
          <cell r="CM172"/>
          <cell r="CN172"/>
          <cell r="CO172"/>
        </row>
        <row r="173">
          <cell r="A173" t="str">
            <v>Frais repro, identification, GDS, cont perf (€ / femelle)</v>
          </cell>
          <cell r="C173">
            <v>4</v>
          </cell>
          <cell r="D173">
            <v>17.809999999999999</v>
          </cell>
          <cell r="E173">
            <v>147.4</v>
          </cell>
          <cell r="F173">
            <v>256.5</v>
          </cell>
          <cell r="G173">
            <v>18.809999999999999</v>
          </cell>
          <cell r="H173">
            <v>153</v>
          </cell>
          <cell r="I173">
            <v>26.15</v>
          </cell>
          <cell r="J173">
            <v>160.80000000000001</v>
          </cell>
          <cell r="K173">
            <v>19.829999999999998</v>
          </cell>
          <cell r="L173">
            <v>140</v>
          </cell>
          <cell r="M173">
            <v>72</v>
          </cell>
          <cell r="N173">
            <v>28</v>
          </cell>
          <cell r="O173">
            <v>63</v>
          </cell>
          <cell r="P173"/>
          <cell r="Q173"/>
          <cell r="R173">
            <v>26.15</v>
          </cell>
          <cell r="S173">
            <v>160.80000000000001</v>
          </cell>
          <cell r="T173">
            <v>26.15</v>
          </cell>
          <cell r="U173">
            <v>160.80000000000001</v>
          </cell>
          <cell r="V173">
            <v>18.809999999999999</v>
          </cell>
          <cell r="W173">
            <v>153</v>
          </cell>
          <cell r="X173">
            <v>18.809999999999999</v>
          </cell>
          <cell r="Y173">
            <v>153</v>
          </cell>
          <cell r="Z173">
            <v>72</v>
          </cell>
          <cell r="AA173">
            <v>26.15</v>
          </cell>
          <cell r="AB173">
            <v>160.80000000000001</v>
          </cell>
          <cell r="AC173">
            <v>26.15</v>
          </cell>
          <cell r="AD173">
            <v>28</v>
          </cell>
          <cell r="AE173">
            <v>63</v>
          </cell>
          <cell r="AF173">
            <v>72</v>
          </cell>
          <cell r="AG173">
            <v>17.809999999999999</v>
          </cell>
          <cell r="AH173">
            <v>19.829999999999998</v>
          </cell>
          <cell r="AI173">
            <v>140</v>
          </cell>
          <cell r="AJ173">
            <v>18.809999999999999</v>
          </cell>
          <cell r="AK173">
            <v>153</v>
          </cell>
          <cell r="AL173">
            <v>120</v>
          </cell>
          <cell r="AM173">
            <v>18.809999999999999</v>
          </cell>
          <cell r="AN173">
            <v>153</v>
          </cell>
          <cell r="AO173"/>
          <cell r="AP173">
            <v>19.829999999999998</v>
          </cell>
          <cell r="AQ173">
            <v>72</v>
          </cell>
          <cell r="AR173">
            <v>18.809999999999999</v>
          </cell>
          <cell r="AS173">
            <v>153</v>
          </cell>
          <cell r="AT173">
            <v>28</v>
          </cell>
          <cell r="AU173">
            <v>28</v>
          </cell>
          <cell r="AV173">
            <v>31.379999999999995</v>
          </cell>
          <cell r="AW173">
            <v>31.379999999999995</v>
          </cell>
          <cell r="AX173">
            <v>26.15</v>
          </cell>
          <cell r="AY173">
            <v>28</v>
          </cell>
          <cell r="AZ173">
            <v>256.5</v>
          </cell>
          <cell r="BA173">
            <v>256.5</v>
          </cell>
          <cell r="BB173">
            <v>256.5</v>
          </cell>
          <cell r="BC173">
            <v>33.6</v>
          </cell>
          <cell r="BD173">
            <v>33.6</v>
          </cell>
          <cell r="BE173">
            <v>26.15</v>
          </cell>
          <cell r="BF173">
            <v>26.15</v>
          </cell>
          <cell r="BG173">
            <v>22.571999999999999</v>
          </cell>
          <cell r="BH173"/>
          <cell r="BI173"/>
          <cell r="BJ173"/>
          <cell r="BK173"/>
          <cell r="BL173"/>
          <cell r="BM173"/>
          <cell r="BN173"/>
          <cell r="BO173">
            <v>26.15</v>
          </cell>
          <cell r="BP173">
            <v>23.512499999999999</v>
          </cell>
          <cell r="BQ173">
            <v>183.6</v>
          </cell>
          <cell r="BR173"/>
          <cell r="BS173"/>
          <cell r="BT173"/>
          <cell r="BU173"/>
          <cell r="BV173"/>
          <cell r="BW173"/>
          <cell r="BX173"/>
          <cell r="BY173"/>
          <cell r="BZ173"/>
          <cell r="CA173"/>
          <cell r="CB173"/>
          <cell r="CC173"/>
          <cell r="CD173"/>
          <cell r="CE173"/>
          <cell r="CF173"/>
          <cell r="CG173"/>
          <cell r="CH173"/>
          <cell r="CI173"/>
          <cell r="CJ173"/>
          <cell r="CK173"/>
          <cell r="CL173"/>
          <cell r="CM173"/>
          <cell r="CN173"/>
          <cell r="CO173"/>
        </row>
        <row r="174">
          <cell r="A174" t="str">
            <v>frais transfo et commercialisation (€/LITRES)</v>
          </cell>
          <cell r="C174">
            <v>5</v>
          </cell>
          <cell r="D174"/>
          <cell r="E174"/>
          <cell r="F174"/>
          <cell r="G174"/>
          <cell r="H174"/>
          <cell r="I174"/>
          <cell r="J174"/>
          <cell r="K174">
            <v>8.5000000000000006E-2</v>
          </cell>
          <cell r="L174"/>
          <cell r="M174"/>
          <cell r="N174">
            <v>0</v>
          </cell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>
            <v>0</v>
          </cell>
          <cell r="AE174"/>
          <cell r="AF174"/>
          <cell r="AG174"/>
          <cell r="AH174">
            <v>8.5000000000000006E-2</v>
          </cell>
          <cell r="AI174"/>
          <cell r="AJ174"/>
          <cell r="AK174"/>
          <cell r="AL174"/>
          <cell r="AM174"/>
          <cell r="AN174"/>
          <cell r="AO174"/>
          <cell r="AP174">
            <v>8.5000000000000006E-2</v>
          </cell>
          <cell r="AQ174"/>
          <cell r="AR174"/>
          <cell r="AS174"/>
          <cell r="AT174">
            <v>0</v>
          </cell>
          <cell r="AU174">
            <v>0</v>
          </cell>
          <cell r="AV174"/>
          <cell r="AW174"/>
          <cell r="AX174"/>
          <cell r="AY174">
            <v>0</v>
          </cell>
          <cell r="AZ174"/>
          <cell r="BA174"/>
          <cell r="BB174"/>
          <cell r="BC174">
            <v>0</v>
          </cell>
          <cell r="BD174">
            <v>0</v>
          </cell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  <cell r="BZ174"/>
          <cell r="CA174"/>
          <cell r="CB174"/>
          <cell r="CC174"/>
          <cell r="CD174"/>
          <cell r="CE174"/>
          <cell r="CF174"/>
          <cell r="CG174"/>
          <cell r="CH174"/>
          <cell r="CI174"/>
          <cell r="CJ174"/>
          <cell r="CK174"/>
          <cell r="CL174"/>
          <cell r="CM174"/>
          <cell r="CN174"/>
          <cell r="CO174"/>
        </row>
        <row r="175">
          <cell r="A175" t="str">
            <v>CMV (€ / femelle)</v>
          </cell>
          <cell r="C175">
            <v>6</v>
          </cell>
          <cell r="D175">
            <v>3</v>
          </cell>
          <cell r="E175">
            <v>16.75</v>
          </cell>
          <cell r="F175">
            <v>90</v>
          </cell>
          <cell r="G175">
            <v>3</v>
          </cell>
          <cell r="H175">
            <v>20</v>
          </cell>
          <cell r="I175">
            <v>3</v>
          </cell>
          <cell r="J175">
            <v>20</v>
          </cell>
          <cell r="K175">
            <v>3</v>
          </cell>
          <cell r="L175">
            <v>17.399999999999999</v>
          </cell>
          <cell r="M175">
            <v>19</v>
          </cell>
          <cell r="N175">
            <v>19</v>
          </cell>
          <cell r="O175">
            <v>54</v>
          </cell>
          <cell r="P175"/>
          <cell r="Q175"/>
          <cell r="R175">
            <v>3</v>
          </cell>
          <cell r="S175">
            <v>20</v>
          </cell>
          <cell r="T175">
            <v>3</v>
          </cell>
          <cell r="U175">
            <v>20</v>
          </cell>
          <cell r="V175">
            <v>3</v>
          </cell>
          <cell r="W175">
            <v>20</v>
          </cell>
          <cell r="X175">
            <v>3</v>
          </cell>
          <cell r="Y175">
            <v>20</v>
          </cell>
          <cell r="Z175">
            <v>19</v>
          </cell>
          <cell r="AA175">
            <v>3</v>
          </cell>
          <cell r="AB175">
            <v>20</v>
          </cell>
          <cell r="AC175">
            <v>3</v>
          </cell>
          <cell r="AD175">
            <v>19</v>
          </cell>
          <cell r="AE175">
            <v>54</v>
          </cell>
          <cell r="AF175">
            <v>19</v>
          </cell>
          <cell r="AG175">
            <v>3</v>
          </cell>
          <cell r="AH175">
            <v>3</v>
          </cell>
          <cell r="AI175">
            <v>17.399999999999999</v>
          </cell>
          <cell r="AJ175">
            <v>3</v>
          </cell>
          <cell r="AK175">
            <v>20</v>
          </cell>
          <cell r="AL175">
            <v>10</v>
          </cell>
          <cell r="AM175">
            <v>3</v>
          </cell>
          <cell r="AN175">
            <v>20</v>
          </cell>
          <cell r="AO175"/>
          <cell r="AP175">
            <v>3</v>
          </cell>
          <cell r="AQ175">
            <v>19</v>
          </cell>
          <cell r="AR175">
            <v>3</v>
          </cell>
          <cell r="AS175">
            <v>20</v>
          </cell>
          <cell r="AT175">
            <v>19</v>
          </cell>
          <cell r="AU175">
            <v>19</v>
          </cell>
          <cell r="AV175">
            <v>3.5999999999999996</v>
          </cell>
          <cell r="AW175">
            <v>3.5999999999999996</v>
          </cell>
          <cell r="AX175">
            <v>3</v>
          </cell>
          <cell r="AY175">
            <v>19</v>
          </cell>
          <cell r="AZ175">
            <v>90</v>
          </cell>
          <cell r="BA175">
            <v>90</v>
          </cell>
          <cell r="BB175">
            <v>90</v>
          </cell>
          <cell r="BC175">
            <v>22.8</v>
          </cell>
          <cell r="BD175">
            <v>22.8</v>
          </cell>
          <cell r="BE175">
            <v>3</v>
          </cell>
          <cell r="BF175">
            <v>3</v>
          </cell>
          <cell r="BG175">
            <v>3.5999999999999996</v>
          </cell>
          <cell r="BH175"/>
          <cell r="BI175"/>
          <cell r="BJ175"/>
          <cell r="BK175"/>
          <cell r="BL175"/>
          <cell r="BM175"/>
          <cell r="BN175"/>
          <cell r="BO175">
            <v>3</v>
          </cell>
          <cell r="BP175">
            <v>3.75</v>
          </cell>
          <cell r="BQ175">
            <v>24</v>
          </cell>
          <cell r="BR175"/>
          <cell r="BS175"/>
          <cell r="BT175"/>
          <cell r="BU175"/>
          <cell r="BV175"/>
          <cell r="BW175"/>
          <cell r="BX175"/>
          <cell r="BY175"/>
          <cell r="BZ175"/>
          <cell r="CA175"/>
          <cell r="CB175"/>
          <cell r="CC175"/>
          <cell r="CD175"/>
          <cell r="CE175"/>
          <cell r="CF175"/>
          <cell r="CG175"/>
          <cell r="CH175"/>
          <cell r="CI175"/>
          <cell r="CJ175"/>
          <cell r="CK175"/>
          <cell r="CL175"/>
          <cell r="CM175"/>
          <cell r="CN175"/>
          <cell r="CO175"/>
        </row>
        <row r="176">
          <cell r="A176" t="str">
            <v>Frais estive (€ / femelle)</v>
          </cell>
          <cell r="C176">
            <v>7</v>
          </cell>
          <cell r="D176">
            <v>3.25</v>
          </cell>
          <cell r="E176">
            <v>50</v>
          </cell>
          <cell r="F176"/>
          <cell r="G176">
            <v>2</v>
          </cell>
          <cell r="H176">
            <v>14</v>
          </cell>
          <cell r="I176">
            <v>0</v>
          </cell>
          <cell r="J176">
            <v>0</v>
          </cell>
          <cell r="K176">
            <v>3.5</v>
          </cell>
          <cell r="L176">
            <v>55</v>
          </cell>
          <cell r="M176">
            <v>35</v>
          </cell>
          <cell r="N176">
            <v>0</v>
          </cell>
          <cell r="O176"/>
          <cell r="P176"/>
          <cell r="Q176"/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2</v>
          </cell>
          <cell r="W176">
            <v>14</v>
          </cell>
          <cell r="X176">
            <v>2</v>
          </cell>
          <cell r="Y176">
            <v>14</v>
          </cell>
          <cell r="Z176">
            <v>35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/>
          <cell r="AF176">
            <v>35</v>
          </cell>
          <cell r="AG176">
            <v>3.25</v>
          </cell>
          <cell r="AH176">
            <v>3.5</v>
          </cell>
          <cell r="AI176">
            <v>55</v>
          </cell>
          <cell r="AJ176">
            <v>2</v>
          </cell>
          <cell r="AK176">
            <v>14</v>
          </cell>
          <cell r="AL176">
            <v>35</v>
          </cell>
          <cell r="AM176">
            <v>2</v>
          </cell>
          <cell r="AN176">
            <v>14</v>
          </cell>
          <cell r="AO176"/>
          <cell r="AP176">
            <v>3.5</v>
          </cell>
          <cell r="AQ176">
            <v>35</v>
          </cell>
          <cell r="AR176">
            <v>2</v>
          </cell>
          <cell r="AS176">
            <v>14</v>
          </cell>
          <cell r="AT176">
            <v>0</v>
          </cell>
          <cell r="AU176">
            <v>0</v>
          </cell>
          <cell r="AV176">
            <v>0</v>
          </cell>
          <cell r="AW176">
            <v>3.25</v>
          </cell>
          <cell r="AX176">
            <v>0</v>
          </cell>
          <cell r="AY176">
            <v>0</v>
          </cell>
          <cell r="AZ176"/>
          <cell r="BA176"/>
          <cell r="BB176"/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4</v>
          </cell>
          <cell r="BH176"/>
          <cell r="BI176"/>
          <cell r="BJ176"/>
          <cell r="BK176"/>
          <cell r="BL176"/>
          <cell r="BM176"/>
          <cell r="BN176"/>
          <cell r="BO176">
            <v>0</v>
          </cell>
          <cell r="BP176">
            <v>2</v>
          </cell>
          <cell r="BQ176">
            <v>14</v>
          </cell>
          <cell r="BR176"/>
          <cell r="BS176"/>
          <cell r="BT176"/>
          <cell r="BU176"/>
          <cell r="BV176"/>
          <cell r="BW176"/>
          <cell r="BX176"/>
          <cell r="BY176"/>
          <cell r="BZ176"/>
          <cell r="CA176"/>
          <cell r="CB176"/>
          <cell r="CC176"/>
          <cell r="CD176"/>
          <cell r="CE176"/>
          <cell r="CF176"/>
          <cell r="CG176"/>
          <cell r="CH176"/>
          <cell r="CI176"/>
          <cell r="CJ176"/>
          <cell r="CK176"/>
          <cell r="CL176"/>
          <cell r="CM176"/>
          <cell r="CN176"/>
          <cell r="CO176"/>
        </row>
        <row r="177">
          <cell r="A177" t="str">
            <v>Frais mise en pension (par agnelle)</v>
          </cell>
          <cell r="C177">
            <v>8</v>
          </cell>
          <cell r="D177">
            <v>36</v>
          </cell>
          <cell r="E177"/>
          <cell r="F177"/>
          <cell r="G177"/>
          <cell r="H177"/>
          <cell r="I177"/>
          <cell r="J177"/>
          <cell r="K177"/>
          <cell r="L177"/>
          <cell r="M177">
            <v>0</v>
          </cell>
          <cell r="N177">
            <v>0</v>
          </cell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>
            <v>0</v>
          </cell>
          <cell r="AA177"/>
          <cell r="AB177"/>
          <cell r="AC177"/>
          <cell r="AD177">
            <v>0</v>
          </cell>
          <cell r="AE177"/>
          <cell r="AF177">
            <v>0</v>
          </cell>
          <cell r="AG177">
            <v>36</v>
          </cell>
          <cell r="AH177"/>
          <cell r="AI177"/>
          <cell r="AJ177"/>
          <cell r="AK177"/>
          <cell r="AL177"/>
          <cell r="AM177"/>
          <cell r="AN177"/>
          <cell r="AO177"/>
          <cell r="AP177"/>
          <cell r="AQ177">
            <v>0</v>
          </cell>
          <cell r="AR177"/>
          <cell r="AS177"/>
          <cell r="AT177">
            <v>0</v>
          </cell>
          <cell r="AU177">
            <v>0</v>
          </cell>
          <cell r="AV177"/>
          <cell r="AW177">
            <v>36</v>
          </cell>
          <cell r="AX177"/>
          <cell r="AY177">
            <v>0</v>
          </cell>
          <cell r="AZ177"/>
          <cell r="BA177"/>
          <cell r="BB177"/>
          <cell r="BC177">
            <v>0</v>
          </cell>
          <cell r="BD177">
            <v>0</v>
          </cell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  <cell r="BZ177"/>
          <cell r="CA177"/>
          <cell r="CB177"/>
          <cell r="CC177"/>
          <cell r="CD177"/>
          <cell r="CE177"/>
          <cell r="CF177"/>
          <cell r="CG177"/>
          <cell r="CH177"/>
          <cell r="CI177"/>
          <cell r="CJ177"/>
          <cell r="CK177"/>
          <cell r="CL177"/>
          <cell r="CM177"/>
          <cell r="CN177"/>
          <cell r="CO177"/>
        </row>
        <row r="178">
          <cell r="A178" t="str">
            <v>CO surfaces fourragères</v>
          </cell>
          <cell r="C178">
            <v>9</v>
          </cell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  <cell r="BZ178"/>
          <cell r="CA178"/>
          <cell r="CB178"/>
          <cell r="CC178"/>
          <cell r="CD178"/>
          <cell r="CE178"/>
          <cell r="CF178"/>
          <cell r="CG178"/>
          <cell r="CH178"/>
          <cell r="CI178"/>
          <cell r="CJ178"/>
          <cell r="CK178"/>
          <cell r="CL178"/>
          <cell r="CM178"/>
          <cell r="CN178"/>
          <cell r="CO178"/>
        </row>
        <row r="179">
          <cell r="A179" t="str">
            <v>PP pâturées</v>
          </cell>
          <cell r="C179">
            <v>10</v>
          </cell>
          <cell r="D179">
            <v>45</v>
          </cell>
          <cell r="E179"/>
          <cell r="F179">
            <v>80</v>
          </cell>
          <cell r="G179">
            <v>27</v>
          </cell>
          <cell r="H179"/>
          <cell r="I179">
            <v>30</v>
          </cell>
          <cell r="J179"/>
          <cell r="K179">
            <v>45</v>
          </cell>
          <cell r="L179"/>
          <cell r="M179">
            <v>45</v>
          </cell>
          <cell r="N179">
            <v>30</v>
          </cell>
          <cell r="O179">
            <v>80</v>
          </cell>
          <cell r="P179"/>
          <cell r="Q179"/>
          <cell r="R179">
            <v>30</v>
          </cell>
          <cell r="S179"/>
          <cell r="T179">
            <v>30</v>
          </cell>
          <cell r="U179"/>
          <cell r="V179">
            <v>30</v>
          </cell>
          <cell r="W179"/>
          <cell r="X179">
            <v>30</v>
          </cell>
          <cell r="Y179"/>
          <cell r="Z179">
            <v>45</v>
          </cell>
          <cell r="AA179">
            <v>30</v>
          </cell>
          <cell r="AB179"/>
          <cell r="AC179">
            <v>30</v>
          </cell>
          <cell r="AD179">
            <v>30</v>
          </cell>
          <cell r="AE179">
            <v>80</v>
          </cell>
          <cell r="AF179">
            <v>45</v>
          </cell>
          <cell r="AG179">
            <v>45</v>
          </cell>
          <cell r="AH179">
            <v>45</v>
          </cell>
          <cell r="AI179"/>
          <cell r="AJ179">
            <v>30</v>
          </cell>
          <cell r="AK179"/>
          <cell r="AL179"/>
          <cell r="AM179">
            <v>30</v>
          </cell>
          <cell r="AN179"/>
          <cell r="AO179"/>
          <cell r="AP179">
            <v>45</v>
          </cell>
          <cell r="AQ179">
            <v>45</v>
          </cell>
          <cell r="AR179">
            <v>30</v>
          </cell>
          <cell r="AS179"/>
          <cell r="AT179">
            <v>30</v>
          </cell>
          <cell r="AU179">
            <v>30</v>
          </cell>
          <cell r="AV179">
            <v>36</v>
          </cell>
          <cell r="AW179">
            <v>54</v>
          </cell>
          <cell r="AX179">
            <v>30</v>
          </cell>
          <cell r="AY179">
            <v>30</v>
          </cell>
          <cell r="AZ179">
            <v>30</v>
          </cell>
          <cell r="BA179">
            <v>30</v>
          </cell>
          <cell r="BB179">
            <v>30</v>
          </cell>
          <cell r="BC179">
            <v>36</v>
          </cell>
          <cell r="BD179">
            <v>36</v>
          </cell>
          <cell r="BE179">
            <v>30</v>
          </cell>
          <cell r="BF179">
            <v>30</v>
          </cell>
          <cell r="BG179">
            <v>36</v>
          </cell>
          <cell r="BH179"/>
          <cell r="BI179"/>
          <cell r="BJ179"/>
          <cell r="BK179"/>
          <cell r="BL179"/>
          <cell r="BM179"/>
          <cell r="BN179"/>
          <cell r="BO179">
            <v>30</v>
          </cell>
          <cell r="BP179">
            <v>37.5</v>
          </cell>
          <cell r="BQ179"/>
          <cell r="BR179"/>
          <cell r="BS179"/>
          <cell r="BT179"/>
          <cell r="BU179"/>
          <cell r="BV179"/>
          <cell r="BW179"/>
          <cell r="BX179"/>
          <cell r="BY179"/>
          <cell r="BZ179"/>
          <cell r="CA179"/>
          <cell r="CB179"/>
          <cell r="CC179"/>
          <cell r="CD179"/>
          <cell r="CE179"/>
          <cell r="CF179"/>
          <cell r="CG179"/>
          <cell r="CH179"/>
          <cell r="CI179"/>
          <cell r="CJ179"/>
          <cell r="CK179"/>
          <cell r="CL179"/>
          <cell r="CM179"/>
          <cell r="CN179"/>
          <cell r="CO179"/>
        </row>
        <row r="180">
          <cell r="A180" t="str">
            <v>PP 1 coupe</v>
          </cell>
          <cell r="C180">
            <v>11</v>
          </cell>
          <cell r="D180">
            <v>60.51</v>
          </cell>
          <cell r="E180"/>
          <cell r="F180">
            <v>139</v>
          </cell>
          <cell r="G180">
            <v>46.62</v>
          </cell>
          <cell r="H180"/>
          <cell r="I180">
            <v>51.8</v>
          </cell>
          <cell r="J180"/>
          <cell r="K180">
            <v>60.51</v>
          </cell>
          <cell r="L180"/>
          <cell r="M180">
            <v>60.51</v>
          </cell>
          <cell r="N180">
            <v>51.8</v>
          </cell>
          <cell r="O180">
            <v>139</v>
          </cell>
          <cell r="P180"/>
          <cell r="Q180"/>
          <cell r="R180">
            <v>51.8</v>
          </cell>
          <cell r="S180"/>
          <cell r="T180">
            <v>51.8</v>
          </cell>
          <cell r="U180"/>
          <cell r="V180">
            <v>51.8</v>
          </cell>
          <cell r="W180"/>
          <cell r="X180">
            <v>51.8</v>
          </cell>
          <cell r="Y180"/>
          <cell r="Z180">
            <v>60.51</v>
          </cell>
          <cell r="AA180">
            <v>51.8</v>
          </cell>
          <cell r="AB180"/>
          <cell r="AC180">
            <v>51.8</v>
          </cell>
          <cell r="AD180">
            <v>51.8</v>
          </cell>
          <cell r="AE180">
            <v>139</v>
          </cell>
          <cell r="AF180">
            <v>60.51</v>
          </cell>
          <cell r="AG180">
            <v>60.51</v>
          </cell>
          <cell r="AH180">
            <v>60.51</v>
          </cell>
          <cell r="AI180"/>
          <cell r="AJ180">
            <v>51.8</v>
          </cell>
          <cell r="AK180"/>
          <cell r="AL180"/>
          <cell r="AM180">
            <v>51.8</v>
          </cell>
          <cell r="AN180"/>
          <cell r="AO180"/>
          <cell r="AP180">
            <v>60.51</v>
          </cell>
          <cell r="AQ180">
            <v>60.51</v>
          </cell>
          <cell r="AR180">
            <v>51.8</v>
          </cell>
          <cell r="AS180"/>
          <cell r="AT180">
            <v>51.8</v>
          </cell>
          <cell r="AU180">
            <v>51.8</v>
          </cell>
          <cell r="AV180">
            <v>62.16</v>
          </cell>
          <cell r="AW180">
            <v>72.611999999999995</v>
          </cell>
          <cell r="AX180">
            <v>51.8</v>
          </cell>
          <cell r="AY180">
            <v>51.8</v>
          </cell>
          <cell r="AZ180">
            <v>51.8</v>
          </cell>
          <cell r="BA180">
            <v>51.8</v>
          </cell>
          <cell r="BB180">
            <v>51.8</v>
          </cell>
          <cell r="BC180">
            <v>62.16</v>
          </cell>
          <cell r="BD180">
            <v>62.16</v>
          </cell>
          <cell r="BE180">
            <v>51.8</v>
          </cell>
          <cell r="BF180">
            <v>51.8</v>
          </cell>
          <cell r="BG180">
            <v>62.16</v>
          </cell>
          <cell r="BH180"/>
          <cell r="BI180"/>
          <cell r="BJ180"/>
          <cell r="BK180"/>
          <cell r="BL180"/>
          <cell r="BM180"/>
          <cell r="BN180"/>
          <cell r="BO180">
            <v>51.8</v>
          </cell>
          <cell r="BP180">
            <v>64.75</v>
          </cell>
          <cell r="BQ180"/>
          <cell r="BR180"/>
          <cell r="BS180"/>
          <cell r="BT180"/>
          <cell r="BU180"/>
          <cell r="BV180"/>
          <cell r="BW180"/>
          <cell r="BX180"/>
          <cell r="BY180"/>
          <cell r="BZ180"/>
          <cell r="CA180"/>
          <cell r="CB180"/>
          <cell r="CC180"/>
          <cell r="CD180"/>
          <cell r="CE180"/>
          <cell r="CF180"/>
          <cell r="CG180"/>
          <cell r="CH180"/>
          <cell r="CI180"/>
          <cell r="CJ180"/>
          <cell r="CK180"/>
          <cell r="CL180"/>
          <cell r="CM180"/>
          <cell r="CN180"/>
          <cell r="CO180"/>
        </row>
        <row r="181">
          <cell r="A181" t="str">
            <v>PP 2 coupes et plus</v>
          </cell>
          <cell r="C181">
            <v>12</v>
          </cell>
          <cell r="D181">
            <v>67.75</v>
          </cell>
          <cell r="E181"/>
          <cell r="F181">
            <v>149</v>
          </cell>
          <cell r="G181">
            <v>50.13</v>
          </cell>
          <cell r="H181"/>
          <cell r="I181">
            <v>55.7</v>
          </cell>
          <cell r="J181"/>
          <cell r="K181">
            <v>67.75</v>
          </cell>
          <cell r="L181"/>
          <cell r="M181">
            <v>67.75</v>
          </cell>
          <cell r="N181">
            <v>55.7</v>
          </cell>
          <cell r="O181">
            <v>149</v>
          </cell>
          <cell r="P181"/>
          <cell r="Q181"/>
          <cell r="R181">
            <v>55.7</v>
          </cell>
          <cell r="S181"/>
          <cell r="T181">
            <v>55.7</v>
          </cell>
          <cell r="U181"/>
          <cell r="V181">
            <v>55.7</v>
          </cell>
          <cell r="W181"/>
          <cell r="X181">
            <v>55.7</v>
          </cell>
          <cell r="Y181"/>
          <cell r="Z181">
            <v>67.75</v>
          </cell>
          <cell r="AA181">
            <v>55.7</v>
          </cell>
          <cell r="AB181"/>
          <cell r="AC181">
            <v>55.7</v>
          </cell>
          <cell r="AD181">
            <v>55.7</v>
          </cell>
          <cell r="AE181">
            <v>149</v>
          </cell>
          <cell r="AF181">
            <v>67.75</v>
          </cell>
          <cell r="AG181">
            <v>67.75</v>
          </cell>
          <cell r="AH181">
            <v>67.75</v>
          </cell>
          <cell r="AI181"/>
          <cell r="AJ181">
            <v>55.7</v>
          </cell>
          <cell r="AK181"/>
          <cell r="AL181"/>
          <cell r="AM181">
            <v>55.7</v>
          </cell>
          <cell r="AN181"/>
          <cell r="AO181"/>
          <cell r="AP181">
            <v>67.75</v>
          </cell>
          <cell r="AQ181">
            <v>67.75</v>
          </cell>
          <cell r="AR181">
            <v>55.7</v>
          </cell>
          <cell r="AS181"/>
          <cell r="AT181">
            <v>55.7</v>
          </cell>
          <cell r="AU181">
            <v>55.7</v>
          </cell>
          <cell r="AV181">
            <v>66.84</v>
          </cell>
          <cell r="AW181">
            <v>81.3</v>
          </cell>
          <cell r="AX181">
            <v>55.7</v>
          </cell>
          <cell r="AY181">
            <v>55.7</v>
          </cell>
          <cell r="AZ181">
            <v>55.7</v>
          </cell>
          <cell r="BA181">
            <v>55.7</v>
          </cell>
          <cell r="BB181">
            <v>55.7</v>
          </cell>
          <cell r="BC181">
            <v>66.84</v>
          </cell>
          <cell r="BD181">
            <v>66.84</v>
          </cell>
          <cell r="BE181">
            <v>55.7</v>
          </cell>
          <cell r="BF181">
            <v>55.7</v>
          </cell>
          <cell r="BG181">
            <v>66.84</v>
          </cell>
          <cell r="BH181"/>
          <cell r="BI181"/>
          <cell r="BJ181"/>
          <cell r="BK181"/>
          <cell r="BL181"/>
          <cell r="BM181"/>
          <cell r="BN181"/>
          <cell r="BO181">
            <v>55.7</v>
          </cell>
          <cell r="BP181">
            <v>69.625</v>
          </cell>
          <cell r="BQ181"/>
          <cell r="BR181"/>
          <cell r="BS181"/>
          <cell r="BT181"/>
          <cell r="BU181"/>
          <cell r="BV181"/>
          <cell r="BW181"/>
          <cell r="BX181"/>
          <cell r="BY181"/>
          <cell r="BZ181"/>
          <cell r="CA181"/>
          <cell r="CB181"/>
          <cell r="CC181"/>
          <cell r="CD181"/>
          <cell r="CE181"/>
          <cell r="CF181"/>
          <cell r="CG181"/>
          <cell r="CH181"/>
          <cell r="CI181"/>
          <cell r="CJ181"/>
          <cell r="CK181"/>
          <cell r="CL181"/>
          <cell r="CM181"/>
          <cell r="CN181"/>
          <cell r="CO181"/>
        </row>
        <row r="182">
          <cell r="A182" t="str">
            <v>PT pâture</v>
          </cell>
          <cell r="C182">
            <v>13</v>
          </cell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  <cell r="BZ182"/>
          <cell r="CA182"/>
          <cell r="CB182"/>
          <cell r="CC182"/>
          <cell r="CD182"/>
          <cell r="CE182"/>
          <cell r="CF182"/>
          <cell r="CG182"/>
          <cell r="CH182"/>
          <cell r="CI182"/>
          <cell r="CJ182"/>
          <cell r="CK182"/>
          <cell r="CL182"/>
          <cell r="CM182"/>
          <cell r="CN182"/>
          <cell r="CO182"/>
        </row>
        <row r="183">
          <cell r="A183" t="str">
            <v>PT 1 coupe</v>
          </cell>
          <cell r="C183">
            <v>14</v>
          </cell>
          <cell r="D183"/>
          <cell r="E183"/>
          <cell r="F183">
            <v>195</v>
          </cell>
          <cell r="G183">
            <v>88.92</v>
          </cell>
          <cell r="H183"/>
          <cell r="I183">
            <v>1.2</v>
          </cell>
          <cell r="J183"/>
          <cell r="K183"/>
          <cell r="L183"/>
          <cell r="M183">
            <v>98.8</v>
          </cell>
          <cell r="N183">
            <v>98.8</v>
          </cell>
          <cell r="O183">
            <v>195</v>
          </cell>
          <cell r="P183"/>
          <cell r="Q183"/>
          <cell r="R183">
            <v>98.8</v>
          </cell>
          <cell r="S183"/>
          <cell r="T183">
            <v>98.8</v>
          </cell>
          <cell r="U183"/>
          <cell r="V183">
            <v>98.8</v>
          </cell>
          <cell r="W183"/>
          <cell r="X183">
            <v>98.8</v>
          </cell>
          <cell r="Y183"/>
          <cell r="Z183">
            <v>98.8</v>
          </cell>
          <cell r="AA183">
            <v>98.8</v>
          </cell>
          <cell r="AB183"/>
          <cell r="AC183">
            <v>98.8</v>
          </cell>
          <cell r="AD183">
            <v>98.8</v>
          </cell>
          <cell r="AE183">
            <v>195</v>
          </cell>
          <cell r="AF183">
            <v>98.8</v>
          </cell>
          <cell r="AG183"/>
          <cell r="AH183"/>
          <cell r="AI183"/>
          <cell r="AJ183">
            <v>98.8</v>
          </cell>
          <cell r="AK183"/>
          <cell r="AL183"/>
          <cell r="AM183">
            <v>98.8</v>
          </cell>
          <cell r="AN183"/>
          <cell r="AO183"/>
          <cell r="AP183"/>
          <cell r="AQ183">
            <v>98.8</v>
          </cell>
          <cell r="AR183">
            <v>98.8</v>
          </cell>
          <cell r="AS183"/>
          <cell r="AT183">
            <v>98.8</v>
          </cell>
          <cell r="AU183">
            <v>98.8</v>
          </cell>
          <cell r="AV183">
            <v>118.55999999999999</v>
          </cell>
          <cell r="AW183"/>
          <cell r="AX183">
            <v>98.8</v>
          </cell>
          <cell r="AY183">
            <v>98.8</v>
          </cell>
          <cell r="AZ183">
            <v>98.8</v>
          </cell>
          <cell r="BA183">
            <v>98.8</v>
          </cell>
          <cell r="BB183">
            <v>98.8</v>
          </cell>
          <cell r="BC183">
            <v>118.55999999999999</v>
          </cell>
          <cell r="BD183">
            <v>118.55999999999999</v>
          </cell>
          <cell r="BE183">
            <v>98.8</v>
          </cell>
          <cell r="BF183">
            <v>98.8</v>
          </cell>
          <cell r="BG183">
            <v>118.55999999999999</v>
          </cell>
          <cell r="BH183"/>
          <cell r="BI183"/>
          <cell r="BJ183"/>
          <cell r="BK183"/>
          <cell r="BL183"/>
          <cell r="BM183"/>
          <cell r="BN183"/>
          <cell r="BO183">
            <v>98.8</v>
          </cell>
          <cell r="BP183">
            <v>123.5</v>
          </cell>
          <cell r="BQ183"/>
          <cell r="BR183"/>
          <cell r="BS183"/>
          <cell r="BT183"/>
          <cell r="BU183"/>
          <cell r="BV183"/>
          <cell r="BW183"/>
          <cell r="BX183"/>
          <cell r="BY183"/>
          <cell r="BZ183"/>
          <cell r="CA183"/>
          <cell r="CB183"/>
          <cell r="CC183"/>
          <cell r="CD183"/>
          <cell r="CE183"/>
          <cell r="CF183"/>
          <cell r="CG183"/>
          <cell r="CH183"/>
          <cell r="CI183"/>
          <cell r="CJ183"/>
          <cell r="CK183"/>
          <cell r="CL183"/>
          <cell r="CM183"/>
          <cell r="CN183"/>
          <cell r="CO183"/>
        </row>
        <row r="184">
          <cell r="A184" t="str">
            <v>PT 2 coupes et plus</v>
          </cell>
          <cell r="C184">
            <v>15</v>
          </cell>
          <cell r="D184"/>
          <cell r="E184"/>
          <cell r="F184">
            <v>208</v>
          </cell>
          <cell r="G184">
            <v>112.68</v>
          </cell>
          <cell r="H184"/>
          <cell r="I184">
            <v>125.2</v>
          </cell>
          <cell r="J184"/>
          <cell r="K184">
            <v>125.2</v>
          </cell>
          <cell r="L184"/>
          <cell r="M184">
            <v>125.2</v>
          </cell>
          <cell r="N184">
            <v>125.2</v>
          </cell>
          <cell r="O184">
            <v>208</v>
          </cell>
          <cell r="P184"/>
          <cell r="Q184"/>
          <cell r="R184">
            <v>125.2</v>
          </cell>
          <cell r="S184"/>
          <cell r="T184">
            <v>125.2</v>
          </cell>
          <cell r="U184"/>
          <cell r="V184">
            <v>125.2</v>
          </cell>
          <cell r="W184"/>
          <cell r="X184">
            <v>125.2</v>
          </cell>
          <cell r="Y184"/>
          <cell r="Z184">
            <v>125.2</v>
          </cell>
          <cell r="AA184">
            <v>125.2</v>
          </cell>
          <cell r="AB184"/>
          <cell r="AC184">
            <v>125.2</v>
          </cell>
          <cell r="AD184">
            <v>125.2</v>
          </cell>
          <cell r="AE184">
            <v>208</v>
          </cell>
          <cell r="AF184">
            <v>125.2</v>
          </cell>
          <cell r="AG184"/>
          <cell r="AH184">
            <v>125.2</v>
          </cell>
          <cell r="AI184"/>
          <cell r="AJ184">
            <v>125.2</v>
          </cell>
          <cell r="AK184"/>
          <cell r="AL184"/>
          <cell r="AM184">
            <v>125.2</v>
          </cell>
          <cell r="AN184"/>
          <cell r="AO184"/>
          <cell r="AP184">
            <v>125.2</v>
          </cell>
          <cell r="AQ184">
            <v>125.2</v>
          </cell>
          <cell r="AR184">
            <v>125.2</v>
          </cell>
          <cell r="AS184"/>
          <cell r="AT184">
            <v>125.2</v>
          </cell>
          <cell r="AU184">
            <v>125.2</v>
          </cell>
          <cell r="AV184">
            <v>150.24</v>
          </cell>
          <cell r="AW184"/>
          <cell r="AX184">
            <v>125.2</v>
          </cell>
          <cell r="AY184">
            <v>125.2</v>
          </cell>
          <cell r="AZ184">
            <v>125.2</v>
          </cell>
          <cell r="BA184">
            <v>125.2</v>
          </cell>
          <cell r="BB184">
            <v>125.2</v>
          </cell>
          <cell r="BC184">
            <v>150.24</v>
          </cell>
          <cell r="BD184">
            <v>150.24</v>
          </cell>
          <cell r="BE184">
            <v>125.2</v>
          </cell>
          <cell r="BF184">
            <v>125.2</v>
          </cell>
          <cell r="BG184">
            <v>150.24</v>
          </cell>
          <cell r="BH184"/>
          <cell r="BI184"/>
          <cell r="BJ184"/>
          <cell r="BK184"/>
          <cell r="BL184"/>
          <cell r="BM184"/>
          <cell r="BN184"/>
          <cell r="BO184">
            <v>125.2</v>
          </cell>
          <cell r="BP184">
            <v>156.5</v>
          </cell>
          <cell r="BQ184"/>
          <cell r="BR184"/>
          <cell r="BS184"/>
          <cell r="BT184"/>
          <cell r="BU184"/>
          <cell r="BV184"/>
          <cell r="BW184"/>
          <cell r="BX184"/>
          <cell r="BY184"/>
          <cell r="BZ184"/>
          <cell r="CA184"/>
          <cell r="CB184"/>
          <cell r="CC184"/>
          <cell r="CD184"/>
          <cell r="CE184"/>
          <cell r="CF184"/>
          <cell r="CG184"/>
          <cell r="CH184"/>
          <cell r="CI184"/>
          <cell r="CJ184"/>
          <cell r="CK184"/>
          <cell r="CL184"/>
          <cell r="CM184"/>
          <cell r="CN184"/>
          <cell r="CO184"/>
        </row>
        <row r="185">
          <cell r="A185" t="str">
            <v>Dérobées (1ère année)</v>
          </cell>
          <cell r="C185">
            <v>16</v>
          </cell>
          <cell r="D185"/>
          <cell r="E185"/>
          <cell r="F185">
            <v>349</v>
          </cell>
          <cell r="G185">
            <v>175.5</v>
          </cell>
          <cell r="H185"/>
          <cell r="I185">
            <v>122.5</v>
          </cell>
          <cell r="J185"/>
          <cell r="K185"/>
          <cell r="L185"/>
          <cell r="M185">
            <v>122.5</v>
          </cell>
          <cell r="N185">
            <v>122.5</v>
          </cell>
          <cell r="O185">
            <v>349</v>
          </cell>
          <cell r="P185"/>
          <cell r="Q185"/>
          <cell r="R185">
            <v>122.5</v>
          </cell>
          <cell r="S185"/>
          <cell r="T185">
            <v>122.5</v>
          </cell>
          <cell r="U185"/>
          <cell r="V185">
            <v>195</v>
          </cell>
          <cell r="W185"/>
          <cell r="X185">
            <v>195</v>
          </cell>
          <cell r="Y185"/>
          <cell r="Z185">
            <v>122.5</v>
          </cell>
          <cell r="AA185">
            <v>122.5</v>
          </cell>
          <cell r="AB185"/>
          <cell r="AC185">
            <v>122.5</v>
          </cell>
          <cell r="AD185">
            <v>122.5</v>
          </cell>
          <cell r="AE185">
            <v>349</v>
          </cell>
          <cell r="AF185">
            <v>122.5</v>
          </cell>
          <cell r="AG185"/>
          <cell r="AH185"/>
          <cell r="AI185"/>
          <cell r="AJ185">
            <v>195</v>
          </cell>
          <cell r="AK185"/>
          <cell r="AL185"/>
          <cell r="AM185">
            <v>195</v>
          </cell>
          <cell r="AN185"/>
          <cell r="AO185"/>
          <cell r="AP185"/>
          <cell r="AQ185">
            <v>122.5</v>
          </cell>
          <cell r="AR185">
            <v>195</v>
          </cell>
          <cell r="AS185"/>
          <cell r="AT185">
            <v>122.5</v>
          </cell>
          <cell r="AU185">
            <v>122.5</v>
          </cell>
          <cell r="AV185">
            <v>147</v>
          </cell>
          <cell r="AW185"/>
          <cell r="AX185">
            <v>122.5</v>
          </cell>
          <cell r="AY185">
            <v>122.5</v>
          </cell>
          <cell r="AZ185">
            <v>122.5</v>
          </cell>
          <cell r="BA185">
            <v>122.5</v>
          </cell>
          <cell r="BB185">
            <v>122.5</v>
          </cell>
          <cell r="BC185">
            <v>147</v>
          </cell>
          <cell r="BD185">
            <v>147</v>
          </cell>
          <cell r="BE185">
            <v>122.5</v>
          </cell>
          <cell r="BF185">
            <v>122.5</v>
          </cell>
          <cell r="BG185">
            <v>234</v>
          </cell>
          <cell r="BH185"/>
          <cell r="BI185"/>
          <cell r="BJ185"/>
          <cell r="BK185"/>
          <cell r="BL185"/>
          <cell r="BM185"/>
          <cell r="BN185"/>
          <cell r="BO185">
            <v>122.5</v>
          </cell>
          <cell r="BP185">
            <v>243.75</v>
          </cell>
          <cell r="BQ185"/>
          <cell r="BR185"/>
          <cell r="BS185"/>
          <cell r="BT185"/>
          <cell r="BU185"/>
          <cell r="BV185"/>
          <cell r="BW185"/>
          <cell r="BX185"/>
          <cell r="BY185"/>
          <cell r="BZ185"/>
          <cell r="CA185"/>
          <cell r="CB185"/>
          <cell r="CC185"/>
          <cell r="CD185"/>
          <cell r="CE185"/>
          <cell r="CF185"/>
          <cell r="CG185"/>
          <cell r="CH185"/>
          <cell r="CI185"/>
          <cell r="CJ185"/>
          <cell r="CK185"/>
          <cell r="CL185"/>
          <cell r="CM185"/>
          <cell r="CN185"/>
          <cell r="CO185"/>
        </row>
        <row r="186">
          <cell r="A186"/>
          <cell r="C186">
            <v>17</v>
          </cell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  <cell r="BZ186"/>
          <cell r="CA186"/>
          <cell r="CB186"/>
          <cell r="CC186"/>
          <cell r="CD186"/>
          <cell r="CE186"/>
          <cell r="CF186"/>
          <cell r="CG186"/>
          <cell r="CH186"/>
          <cell r="CI186"/>
          <cell r="CJ186"/>
          <cell r="CK186"/>
          <cell r="CL186"/>
          <cell r="CM186"/>
          <cell r="CN186"/>
          <cell r="CO186"/>
        </row>
        <row r="187">
          <cell r="A187" t="str">
            <v>Charges de structure</v>
          </cell>
          <cell r="C187">
            <v>18</v>
          </cell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  <cell r="BZ187"/>
          <cell r="CA187"/>
          <cell r="CB187"/>
          <cell r="CC187"/>
          <cell r="CD187"/>
          <cell r="CE187"/>
          <cell r="CF187"/>
          <cell r="CG187"/>
          <cell r="CH187"/>
          <cell r="CI187"/>
          <cell r="CJ187"/>
          <cell r="CK187"/>
          <cell r="CL187"/>
          <cell r="CM187"/>
          <cell r="CN187"/>
          <cell r="CO187"/>
        </row>
        <row r="188">
          <cell r="A188" t="str">
            <v>Foncier (fermage, impôt foncier, entretien) (par ha ST)</v>
          </cell>
          <cell r="C188">
            <v>19</v>
          </cell>
          <cell r="D188">
            <v>51.48</v>
          </cell>
          <cell r="E188"/>
          <cell r="F188">
            <v>126</v>
          </cell>
          <cell r="G188">
            <v>86.5</v>
          </cell>
          <cell r="H188"/>
          <cell r="I188">
            <v>50</v>
          </cell>
          <cell r="J188"/>
          <cell r="K188">
            <v>32.6</v>
          </cell>
          <cell r="L188"/>
          <cell r="M188">
            <v>107</v>
          </cell>
          <cell r="N188">
            <v>107</v>
          </cell>
          <cell r="O188">
            <v>107</v>
          </cell>
          <cell r="P188"/>
          <cell r="Q188"/>
          <cell r="R188">
            <v>50</v>
          </cell>
          <cell r="S188"/>
          <cell r="T188">
            <v>50</v>
          </cell>
          <cell r="U188"/>
          <cell r="V188">
            <v>86.5</v>
          </cell>
          <cell r="W188"/>
          <cell r="X188">
            <v>86.5</v>
          </cell>
          <cell r="Y188"/>
          <cell r="Z188">
            <v>107</v>
          </cell>
          <cell r="AA188">
            <v>50</v>
          </cell>
          <cell r="AB188"/>
          <cell r="AC188">
            <v>50</v>
          </cell>
          <cell r="AD188">
            <v>107</v>
          </cell>
          <cell r="AE188">
            <v>107</v>
          </cell>
          <cell r="AF188">
            <v>107</v>
          </cell>
          <cell r="AG188">
            <v>51.48</v>
          </cell>
          <cell r="AH188">
            <v>32.6</v>
          </cell>
          <cell r="AI188"/>
          <cell r="AJ188">
            <v>86.5</v>
          </cell>
          <cell r="AK188"/>
          <cell r="AL188"/>
          <cell r="AM188">
            <v>86.5</v>
          </cell>
          <cell r="AN188"/>
          <cell r="AO188"/>
          <cell r="AP188">
            <v>32.6</v>
          </cell>
          <cell r="AQ188">
            <v>107</v>
          </cell>
          <cell r="AR188">
            <v>86.5</v>
          </cell>
          <cell r="AS188"/>
          <cell r="AT188">
            <v>107</v>
          </cell>
          <cell r="AU188">
            <v>107</v>
          </cell>
          <cell r="AV188">
            <v>50</v>
          </cell>
          <cell r="AW188">
            <v>51.48</v>
          </cell>
          <cell r="AX188">
            <v>50</v>
          </cell>
          <cell r="AY188">
            <v>107</v>
          </cell>
          <cell r="AZ188">
            <v>126</v>
          </cell>
          <cell r="BA188">
            <v>126</v>
          </cell>
          <cell r="BB188">
            <v>126</v>
          </cell>
          <cell r="BC188">
            <v>107</v>
          </cell>
          <cell r="BD188">
            <v>107</v>
          </cell>
          <cell r="BE188">
            <v>50</v>
          </cell>
          <cell r="BF188">
            <v>50</v>
          </cell>
          <cell r="BG188">
            <v>86.5</v>
          </cell>
          <cell r="BH188"/>
          <cell r="BI188"/>
          <cell r="BJ188"/>
          <cell r="BK188"/>
          <cell r="BL188"/>
          <cell r="BM188"/>
          <cell r="BN188"/>
          <cell r="BO188">
            <v>50</v>
          </cell>
          <cell r="BP188">
            <v>86.5</v>
          </cell>
          <cell r="BQ188"/>
          <cell r="BR188"/>
          <cell r="BS188"/>
          <cell r="BT188"/>
          <cell r="BU188"/>
          <cell r="BV188"/>
          <cell r="BW188"/>
          <cell r="BX188"/>
          <cell r="BY188"/>
          <cell r="BZ188"/>
          <cell r="CA188"/>
          <cell r="CB188"/>
          <cell r="CC188"/>
          <cell r="CD188"/>
          <cell r="CE188"/>
          <cell r="CF188"/>
          <cell r="CG188"/>
          <cell r="CH188"/>
          <cell r="CI188"/>
          <cell r="CJ188"/>
          <cell r="CK188"/>
          <cell r="CL188"/>
          <cell r="CM188"/>
          <cell r="CN188"/>
          <cell r="CO188"/>
        </row>
        <row r="189">
          <cell r="A189" t="str">
            <v>Bâtiment (forfait pour l'élevage)</v>
          </cell>
          <cell r="C189">
            <v>20</v>
          </cell>
          <cell r="D189">
            <v>1200</v>
          </cell>
          <cell r="E189"/>
          <cell r="F189">
            <v>3460</v>
          </cell>
          <cell r="G189">
            <v>750</v>
          </cell>
          <cell r="H189"/>
          <cell r="I189">
            <v>1500</v>
          </cell>
          <cell r="J189"/>
          <cell r="K189">
            <v>1500</v>
          </cell>
          <cell r="L189"/>
          <cell r="M189">
            <v>1085</v>
          </cell>
          <cell r="N189">
            <v>1085</v>
          </cell>
          <cell r="O189">
            <v>1470</v>
          </cell>
          <cell r="P189"/>
          <cell r="Q189"/>
          <cell r="R189">
            <v>1500</v>
          </cell>
          <cell r="S189"/>
          <cell r="T189">
            <v>1500</v>
          </cell>
          <cell r="U189"/>
          <cell r="V189">
            <v>750</v>
          </cell>
          <cell r="W189"/>
          <cell r="X189">
            <v>750</v>
          </cell>
          <cell r="Y189"/>
          <cell r="Z189">
            <v>1085</v>
          </cell>
          <cell r="AA189">
            <v>1500</v>
          </cell>
          <cell r="AB189"/>
          <cell r="AC189">
            <v>1500</v>
          </cell>
          <cell r="AD189">
            <v>1085</v>
          </cell>
          <cell r="AE189">
            <v>1470</v>
          </cell>
          <cell r="AF189">
            <v>1085</v>
          </cell>
          <cell r="AG189">
            <v>1200</v>
          </cell>
          <cell r="AH189">
            <v>1500</v>
          </cell>
          <cell r="AI189"/>
          <cell r="AJ189">
            <v>750</v>
          </cell>
          <cell r="AK189"/>
          <cell r="AL189"/>
          <cell r="AM189">
            <v>750</v>
          </cell>
          <cell r="AN189"/>
          <cell r="AO189"/>
          <cell r="AP189">
            <v>1500</v>
          </cell>
          <cell r="AQ189">
            <v>1085</v>
          </cell>
          <cell r="AR189">
            <v>750</v>
          </cell>
          <cell r="AS189"/>
          <cell r="AT189">
            <v>1085</v>
          </cell>
          <cell r="AU189">
            <v>1085</v>
          </cell>
          <cell r="AV189">
            <v>1000</v>
          </cell>
          <cell r="AW189">
            <v>600</v>
          </cell>
          <cell r="AX189">
            <v>1500</v>
          </cell>
          <cell r="AY189">
            <v>1085</v>
          </cell>
          <cell r="AZ189">
            <v>2360</v>
          </cell>
          <cell r="BA189">
            <v>3460</v>
          </cell>
          <cell r="BB189">
            <v>2800</v>
          </cell>
          <cell r="BC189">
            <v>2000</v>
          </cell>
          <cell r="BD189">
            <v>1085</v>
          </cell>
          <cell r="BE189">
            <v>1500</v>
          </cell>
          <cell r="BF189">
            <v>1500</v>
          </cell>
          <cell r="BG189">
            <v>750</v>
          </cell>
          <cell r="BH189"/>
          <cell r="BI189"/>
          <cell r="BJ189"/>
          <cell r="BK189"/>
          <cell r="BL189"/>
          <cell r="BM189"/>
          <cell r="BN189"/>
          <cell r="BO189">
            <v>1500</v>
          </cell>
          <cell r="BP189">
            <v>750</v>
          </cell>
          <cell r="BQ189"/>
          <cell r="BR189"/>
          <cell r="BS189"/>
          <cell r="BT189"/>
          <cell r="BU189"/>
          <cell r="BV189"/>
          <cell r="BW189"/>
          <cell r="BX189"/>
          <cell r="BY189"/>
          <cell r="BZ189"/>
          <cell r="CA189"/>
          <cell r="CB189"/>
          <cell r="CC189"/>
          <cell r="CD189"/>
          <cell r="CE189"/>
          <cell r="CF189"/>
          <cell r="CG189"/>
          <cell r="CH189"/>
          <cell r="CI189"/>
          <cell r="CJ189"/>
          <cell r="CK189"/>
          <cell r="CL189"/>
          <cell r="CM189"/>
          <cell r="CN189"/>
          <cell r="CO189"/>
        </row>
        <row r="190">
          <cell r="A190" t="str">
            <v>Forfait MSA (MO familiale) par ferme</v>
          </cell>
          <cell r="C190">
            <v>21</v>
          </cell>
          <cell r="D190">
            <v>4990</v>
          </cell>
          <cell r="E190"/>
          <cell r="F190">
            <v>16610</v>
          </cell>
          <cell r="G190">
            <v>5400</v>
          </cell>
          <cell r="H190"/>
          <cell r="I190">
            <v>5727</v>
          </cell>
          <cell r="J190"/>
          <cell r="K190">
            <v>19182</v>
          </cell>
          <cell r="L190"/>
          <cell r="M190">
            <v>2880</v>
          </cell>
          <cell r="N190">
            <v>2880</v>
          </cell>
          <cell r="O190">
            <v>4025</v>
          </cell>
          <cell r="P190"/>
          <cell r="Q190"/>
          <cell r="R190">
            <v>5727</v>
          </cell>
          <cell r="S190"/>
          <cell r="T190">
            <v>5727</v>
          </cell>
          <cell r="U190"/>
          <cell r="V190">
            <v>5400</v>
          </cell>
          <cell r="W190"/>
          <cell r="X190">
            <v>5400</v>
          </cell>
          <cell r="Y190"/>
          <cell r="Z190">
            <v>2880</v>
          </cell>
          <cell r="AA190">
            <v>5727</v>
          </cell>
          <cell r="AB190"/>
          <cell r="AC190">
            <v>5727</v>
          </cell>
          <cell r="AD190">
            <v>5683</v>
          </cell>
          <cell r="AE190">
            <v>4025</v>
          </cell>
          <cell r="AF190">
            <v>2880</v>
          </cell>
          <cell r="AG190">
            <v>4990</v>
          </cell>
          <cell r="AH190">
            <v>19182</v>
          </cell>
          <cell r="AI190"/>
          <cell r="AJ190">
            <v>5400</v>
          </cell>
          <cell r="AK190"/>
          <cell r="AL190"/>
          <cell r="AM190">
            <v>5400</v>
          </cell>
          <cell r="AN190"/>
          <cell r="AO190"/>
          <cell r="AP190">
            <v>14386.5</v>
          </cell>
          <cell r="AQ190">
            <v>2880</v>
          </cell>
          <cell r="AR190">
            <v>5400</v>
          </cell>
          <cell r="AS190"/>
          <cell r="AT190">
            <v>5683</v>
          </cell>
          <cell r="AU190">
            <v>5683</v>
          </cell>
          <cell r="AV190">
            <v>5727</v>
          </cell>
          <cell r="AW190">
            <v>3500</v>
          </cell>
          <cell r="AX190">
            <v>5727</v>
          </cell>
          <cell r="AY190">
            <v>5683</v>
          </cell>
          <cell r="AZ190">
            <v>10000</v>
          </cell>
          <cell r="BA190">
            <v>16610</v>
          </cell>
          <cell r="BB190">
            <v>16610</v>
          </cell>
          <cell r="BC190">
            <v>5683</v>
          </cell>
          <cell r="BD190">
            <v>5683</v>
          </cell>
          <cell r="BE190">
            <v>5727</v>
          </cell>
          <cell r="BF190">
            <v>5727</v>
          </cell>
          <cell r="BG190">
            <v>5400</v>
          </cell>
          <cell r="BH190"/>
          <cell r="BI190"/>
          <cell r="BJ190"/>
          <cell r="BK190"/>
          <cell r="BL190"/>
          <cell r="BM190"/>
          <cell r="BN190"/>
          <cell r="BO190">
            <v>5727</v>
          </cell>
          <cell r="BP190">
            <v>5400</v>
          </cell>
          <cell r="BQ190"/>
          <cell r="BR190"/>
          <cell r="BS190"/>
          <cell r="BT190"/>
          <cell r="BU190"/>
          <cell r="BV190"/>
          <cell r="BW190"/>
          <cell r="BX190"/>
          <cell r="BY190"/>
          <cell r="BZ190"/>
          <cell r="CA190"/>
          <cell r="CB190"/>
          <cell r="CC190"/>
          <cell r="CD190"/>
          <cell r="CE190"/>
          <cell r="CF190"/>
          <cell r="CG190"/>
          <cell r="CH190"/>
          <cell r="CI190"/>
          <cell r="CJ190"/>
          <cell r="CK190"/>
          <cell r="CL190"/>
          <cell r="CM190"/>
          <cell r="CN190"/>
          <cell r="CO190"/>
        </row>
        <row r="191">
          <cell r="A191" t="str">
            <v>Salaires (situation initiale) (par UMO salariée)</v>
          </cell>
          <cell r="C191">
            <v>22</v>
          </cell>
          <cell r="D191">
            <v>0</v>
          </cell>
          <cell r="E191"/>
          <cell r="F191">
            <v>23300</v>
          </cell>
          <cell r="G191">
            <v>0</v>
          </cell>
          <cell r="H191"/>
          <cell r="I191">
            <v>0</v>
          </cell>
          <cell r="J191"/>
          <cell r="K191">
            <v>23300</v>
          </cell>
          <cell r="L191"/>
          <cell r="M191">
            <v>0</v>
          </cell>
          <cell r="N191">
            <v>0</v>
          </cell>
          <cell r="O191">
            <v>0</v>
          </cell>
          <cell r="P191"/>
          <cell r="Q191"/>
          <cell r="R191">
            <v>0</v>
          </cell>
          <cell r="S191"/>
          <cell r="T191">
            <v>0</v>
          </cell>
          <cell r="U191"/>
          <cell r="V191">
            <v>0</v>
          </cell>
          <cell r="W191"/>
          <cell r="X191">
            <v>0</v>
          </cell>
          <cell r="Y191"/>
          <cell r="Z191">
            <v>0</v>
          </cell>
          <cell r="AA191">
            <v>0</v>
          </cell>
          <cell r="AB191"/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23300</v>
          </cell>
          <cell r="AI191"/>
          <cell r="AJ191">
            <v>0</v>
          </cell>
          <cell r="AK191"/>
          <cell r="AL191"/>
          <cell r="AM191">
            <v>0</v>
          </cell>
          <cell r="AN191"/>
          <cell r="AO191"/>
          <cell r="AP191">
            <v>23300</v>
          </cell>
          <cell r="AQ191">
            <v>0</v>
          </cell>
          <cell r="AR191">
            <v>0</v>
          </cell>
          <cell r="AS191"/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23300</v>
          </cell>
          <cell r="BA191">
            <v>23300</v>
          </cell>
          <cell r="BB191">
            <v>23300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/>
          <cell r="BI191"/>
          <cell r="BJ191"/>
          <cell r="BK191"/>
          <cell r="BL191"/>
          <cell r="BM191"/>
          <cell r="BN191"/>
          <cell r="BO191">
            <v>0</v>
          </cell>
          <cell r="BP191">
            <v>0</v>
          </cell>
          <cell r="BQ191"/>
          <cell r="BR191"/>
          <cell r="BS191"/>
          <cell r="BT191"/>
          <cell r="BU191"/>
          <cell r="BV191"/>
          <cell r="BW191"/>
          <cell r="BX191"/>
          <cell r="BY191"/>
          <cell r="BZ191"/>
          <cell r="CA191"/>
          <cell r="CB191"/>
          <cell r="CC191"/>
          <cell r="CD191"/>
          <cell r="CE191"/>
          <cell r="CF191"/>
          <cell r="CG191"/>
          <cell r="CH191"/>
          <cell r="CI191"/>
          <cell r="CJ191"/>
          <cell r="CK191"/>
          <cell r="CL191"/>
          <cell r="CM191"/>
          <cell r="CN191"/>
          <cell r="CO191"/>
        </row>
        <row r="192">
          <cell r="A192" t="str">
            <v>Autres charges de structure (par ferme)</v>
          </cell>
          <cell r="C192">
            <v>23</v>
          </cell>
          <cell r="D192">
            <v>11988</v>
          </cell>
          <cell r="E192"/>
          <cell r="F192">
            <v>23693</v>
          </cell>
          <cell r="G192">
            <v>12964</v>
          </cell>
          <cell r="H192"/>
          <cell r="I192">
            <v>13787</v>
          </cell>
          <cell r="J192"/>
          <cell r="K192">
            <v>16000</v>
          </cell>
          <cell r="L192"/>
          <cell r="M192">
            <v>11000</v>
          </cell>
          <cell r="N192">
            <v>10873</v>
          </cell>
          <cell r="O192">
            <v>13000</v>
          </cell>
          <cell r="P192"/>
          <cell r="Q192"/>
          <cell r="R192">
            <v>9587</v>
          </cell>
          <cell r="S192"/>
          <cell r="T192">
            <v>11988</v>
          </cell>
          <cell r="U192"/>
          <cell r="V192">
            <v>12964</v>
          </cell>
          <cell r="W192"/>
          <cell r="X192">
            <v>12964</v>
          </cell>
          <cell r="Y192"/>
          <cell r="Z192">
            <v>11000</v>
          </cell>
          <cell r="AA192">
            <v>13787</v>
          </cell>
          <cell r="AB192"/>
          <cell r="AC192">
            <v>13787</v>
          </cell>
          <cell r="AD192">
            <v>10873</v>
          </cell>
          <cell r="AE192">
            <v>13000</v>
          </cell>
          <cell r="AF192">
            <v>8434</v>
          </cell>
          <cell r="AG192">
            <v>11988</v>
          </cell>
          <cell r="AH192">
            <v>19531</v>
          </cell>
          <cell r="AI192"/>
          <cell r="AJ192">
            <v>12964</v>
          </cell>
          <cell r="AK192"/>
          <cell r="AL192"/>
          <cell r="AM192">
            <v>12964</v>
          </cell>
          <cell r="AN192"/>
          <cell r="AO192"/>
          <cell r="AP192">
            <v>15531</v>
          </cell>
          <cell r="AQ192">
            <v>8434</v>
          </cell>
          <cell r="AR192">
            <v>12964</v>
          </cell>
          <cell r="AS192"/>
          <cell r="AT192">
            <v>10873</v>
          </cell>
          <cell r="AU192">
            <v>10873</v>
          </cell>
          <cell r="AV192">
            <v>9587</v>
          </cell>
          <cell r="AW192">
            <v>7600</v>
          </cell>
          <cell r="AX192">
            <v>9587</v>
          </cell>
          <cell r="AY192">
            <v>10873</v>
          </cell>
          <cell r="AZ192">
            <v>10000</v>
          </cell>
          <cell r="BA192">
            <v>21300</v>
          </cell>
          <cell r="BB192">
            <v>20150</v>
          </cell>
          <cell r="BC192">
            <v>10873</v>
          </cell>
          <cell r="BD192">
            <v>10873</v>
          </cell>
          <cell r="BE192">
            <v>13787</v>
          </cell>
          <cell r="BF192">
            <v>13787</v>
          </cell>
          <cell r="BG192">
            <v>12964</v>
          </cell>
          <cell r="BH192"/>
          <cell r="BI192"/>
          <cell r="BJ192"/>
          <cell r="BK192"/>
          <cell r="BL192"/>
          <cell r="BM192"/>
          <cell r="BN192"/>
          <cell r="BO192">
            <v>13787</v>
          </cell>
          <cell r="BP192">
            <v>12964</v>
          </cell>
          <cell r="BQ192"/>
          <cell r="BR192"/>
          <cell r="BS192"/>
          <cell r="BT192"/>
          <cell r="BU192"/>
          <cell r="BV192"/>
          <cell r="BW192"/>
          <cell r="BX192"/>
          <cell r="BY192"/>
          <cell r="BZ192"/>
          <cell r="CA192"/>
          <cell r="CB192"/>
          <cell r="CC192"/>
          <cell r="CD192"/>
          <cell r="CE192"/>
          <cell r="CF192"/>
          <cell r="CG192"/>
          <cell r="CH192"/>
          <cell r="CI192"/>
          <cell r="CJ192"/>
          <cell r="CK192"/>
          <cell r="CL192"/>
          <cell r="CM192"/>
          <cell r="CN192"/>
          <cell r="CO192"/>
        </row>
        <row r="193">
          <cell r="A193" t="str">
            <v>Mécanisation (par ha ST sans les landes)</v>
          </cell>
          <cell r="C193">
            <v>24</v>
          </cell>
          <cell r="D193">
            <v>240</v>
          </cell>
          <cell r="E193"/>
          <cell r="F193">
            <v>491</v>
          </cell>
          <cell r="G193">
            <v>290.7</v>
          </cell>
          <cell r="H193"/>
          <cell r="I193">
            <v>345</v>
          </cell>
          <cell r="J193"/>
          <cell r="K193">
            <v>290.7</v>
          </cell>
          <cell r="L193"/>
          <cell r="M193">
            <v>307</v>
          </cell>
          <cell r="N193">
            <v>142</v>
          </cell>
          <cell r="O193">
            <v>197</v>
          </cell>
          <cell r="P193"/>
          <cell r="Q193"/>
          <cell r="R193">
            <v>345</v>
          </cell>
          <cell r="S193"/>
          <cell r="T193">
            <v>345</v>
          </cell>
          <cell r="U193"/>
          <cell r="V193">
            <v>323</v>
          </cell>
          <cell r="W193"/>
          <cell r="X193">
            <v>323</v>
          </cell>
          <cell r="Y193"/>
          <cell r="Z193">
            <v>307</v>
          </cell>
          <cell r="AA193">
            <v>345</v>
          </cell>
          <cell r="AB193"/>
          <cell r="AC193">
            <v>345</v>
          </cell>
          <cell r="AD193">
            <v>142</v>
          </cell>
          <cell r="AE193">
            <v>197</v>
          </cell>
          <cell r="AF193">
            <v>307</v>
          </cell>
          <cell r="AG193">
            <v>240</v>
          </cell>
          <cell r="AH193">
            <v>336</v>
          </cell>
          <cell r="AI193"/>
          <cell r="AJ193">
            <v>323</v>
          </cell>
          <cell r="AK193"/>
          <cell r="AL193"/>
          <cell r="AM193">
            <v>323</v>
          </cell>
          <cell r="AN193"/>
          <cell r="AO193"/>
          <cell r="AP193">
            <v>336</v>
          </cell>
          <cell r="AQ193">
            <v>307</v>
          </cell>
          <cell r="AR193">
            <v>323</v>
          </cell>
          <cell r="AS193"/>
          <cell r="AT193">
            <v>142</v>
          </cell>
          <cell r="AU193">
            <v>142</v>
          </cell>
          <cell r="AV193">
            <v>345</v>
          </cell>
          <cell r="AW193">
            <v>240</v>
          </cell>
          <cell r="AX193">
            <v>345</v>
          </cell>
          <cell r="AY193">
            <v>142</v>
          </cell>
          <cell r="AZ193">
            <v>365</v>
          </cell>
          <cell r="BA193">
            <v>491</v>
          </cell>
          <cell r="BB193">
            <v>491</v>
          </cell>
          <cell r="BC193">
            <v>142</v>
          </cell>
          <cell r="BD193">
            <v>250</v>
          </cell>
          <cell r="BE193">
            <v>345</v>
          </cell>
          <cell r="BF193">
            <v>345</v>
          </cell>
          <cell r="BG193">
            <v>387.59999999999997</v>
          </cell>
          <cell r="BH193"/>
          <cell r="BI193"/>
          <cell r="BJ193"/>
          <cell r="BK193"/>
          <cell r="BL193"/>
          <cell r="BM193"/>
          <cell r="BN193"/>
          <cell r="BO193">
            <v>345</v>
          </cell>
          <cell r="BP193">
            <v>323</v>
          </cell>
          <cell r="BQ193"/>
          <cell r="BR193"/>
          <cell r="BS193"/>
          <cell r="BT193"/>
          <cell r="BU193"/>
          <cell r="BV193"/>
          <cell r="BW193"/>
          <cell r="BX193"/>
          <cell r="BY193"/>
          <cell r="BZ193"/>
          <cell r="CA193"/>
          <cell r="CB193"/>
          <cell r="CC193"/>
          <cell r="CD193"/>
          <cell r="CE193"/>
          <cell r="CF193"/>
          <cell r="CG193"/>
          <cell r="CH193"/>
          <cell r="CI193"/>
          <cell r="CJ193"/>
          <cell r="CK193"/>
          <cell r="CL193"/>
          <cell r="CM193"/>
          <cell r="CN193"/>
          <cell r="CO193"/>
        </row>
        <row r="194">
          <cell r="A194" t="str">
            <v>dont carburant / lubrifiant (situation initiale)</v>
          </cell>
          <cell r="C194">
            <v>25</v>
          </cell>
          <cell r="D194">
            <v>60</v>
          </cell>
          <cell r="E194"/>
          <cell r="F194">
            <v>100</v>
          </cell>
          <cell r="G194">
            <v>60</v>
          </cell>
          <cell r="H194"/>
          <cell r="I194">
            <v>58</v>
          </cell>
          <cell r="J194"/>
          <cell r="K194">
            <v>60</v>
          </cell>
          <cell r="L194"/>
          <cell r="M194">
            <v>66</v>
          </cell>
          <cell r="N194">
            <v>66</v>
          </cell>
          <cell r="O194">
            <v>88</v>
          </cell>
          <cell r="P194"/>
          <cell r="Q194"/>
          <cell r="R194">
            <v>58</v>
          </cell>
          <cell r="S194"/>
          <cell r="T194">
            <v>58</v>
          </cell>
          <cell r="U194"/>
          <cell r="V194">
            <v>66</v>
          </cell>
          <cell r="W194"/>
          <cell r="X194">
            <v>66</v>
          </cell>
          <cell r="Y194"/>
          <cell r="Z194">
            <v>66</v>
          </cell>
          <cell r="AA194">
            <v>58</v>
          </cell>
          <cell r="AB194"/>
          <cell r="AC194">
            <v>58</v>
          </cell>
          <cell r="AD194">
            <v>66</v>
          </cell>
          <cell r="AE194">
            <v>88</v>
          </cell>
          <cell r="AF194">
            <v>66</v>
          </cell>
          <cell r="AG194">
            <v>100</v>
          </cell>
          <cell r="AH194">
            <v>100</v>
          </cell>
          <cell r="AI194"/>
          <cell r="AJ194">
            <v>66</v>
          </cell>
          <cell r="AK194"/>
          <cell r="AL194"/>
          <cell r="AM194">
            <v>66</v>
          </cell>
          <cell r="AN194"/>
          <cell r="AO194"/>
          <cell r="AP194">
            <v>100</v>
          </cell>
          <cell r="AQ194">
            <v>66</v>
          </cell>
          <cell r="AR194">
            <v>66</v>
          </cell>
          <cell r="AS194"/>
          <cell r="AT194">
            <v>66</v>
          </cell>
          <cell r="AU194">
            <v>66</v>
          </cell>
          <cell r="AV194">
            <v>58</v>
          </cell>
          <cell r="AW194">
            <v>100</v>
          </cell>
          <cell r="AX194">
            <v>58</v>
          </cell>
          <cell r="AY194">
            <v>66</v>
          </cell>
          <cell r="AZ194">
            <v>70</v>
          </cell>
          <cell r="BA194">
            <v>100</v>
          </cell>
          <cell r="BB194">
            <v>100</v>
          </cell>
          <cell r="BC194">
            <v>66</v>
          </cell>
          <cell r="BD194">
            <v>75</v>
          </cell>
          <cell r="BE194">
            <v>58</v>
          </cell>
          <cell r="BF194">
            <v>58</v>
          </cell>
          <cell r="BG194">
            <v>75</v>
          </cell>
          <cell r="BH194"/>
          <cell r="BI194"/>
          <cell r="BJ194"/>
          <cell r="BK194"/>
          <cell r="BL194"/>
          <cell r="BM194"/>
          <cell r="BN194"/>
          <cell r="BO194">
            <v>58</v>
          </cell>
          <cell r="BP194">
            <v>66</v>
          </cell>
          <cell r="BQ194"/>
          <cell r="BR194"/>
          <cell r="BS194"/>
          <cell r="BT194"/>
          <cell r="BU194"/>
          <cell r="BV194"/>
          <cell r="BW194"/>
          <cell r="BX194"/>
          <cell r="BY194"/>
          <cell r="BZ194"/>
          <cell r="CA194"/>
          <cell r="CB194"/>
          <cell r="CC194"/>
          <cell r="CD194"/>
          <cell r="CE194"/>
          <cell r="CF194"/>
          <cell r="CG194"/>
          <cell r="CH194"/>
          <cell r="CI194"/>
          <cell r="CJ194"/>
          <cell r="CK194"/>
          <cell r="CL194"/>
          <cell r="CM194"/>
          <cell r="CN194"/>
          <cell r="CO194"/>
        </row>
        <row r="195">
          <cell r="C195">
            <v>26</v>
          </cell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  <cell r="BZ195"/>
          <cell r="CA195"/>
          <cell r="CB195"/>
          <cell r="CC195"/>
          <cell r="CD195"/>
          <cell r="CE195"/>
          <cell r="CF195"/>
          <cell r="CG195"/>
          <cell r="CH195"/>
          <cell r="CI195"/>
          <cell r="CJ195"/>
          <cell r="CK195"/>
          <cell r="CL195"/>
          <cell r="CM195"/>
          <cell r="CN195"/>
          <cell r="CO195"/>
        </row>
        <row r="196">
          <cell r="A196" t="str">
            <v>Annuités (par exploitation)</v>
          </cell>
          <cell r="C196">
            <v>27</v>
          </cell>
          <cell r="D196">
            <v>11000</v>
          </cell>
          <cell r="E196"/>
          <cell r="F196">
            <v>28300</v>
          </cell>
          <cell r="G196">
            <v>11400</v>
          </cell>
          <cell r="H196"/>
          <cell r="I196">
            <v>16000</v>
          </cell>
          <cell r="J196"/>
          <cell r="K196">
            <v>11000</v>
          </cell>
          <cell r="L196"/>
          <cell r="M196">
            <v>4750</v>
          </cell>
          <cell r="N196">
            <v>4750</v>
          </cell>
          <cell r="O196">
            <v>9970</v>
          </cell>
          <cell r="P196"/>
          <cell r="Q196"/>
          <cell r="R196">
            <v>13000</v>
          </cell>
          <cell r="S196"/>
          <cell r="T196">
            <v>14000</v>
          </cell>
          <cell r="U196"/>
          <cell r="V196">
            <v>17000</v>
          </cell>
          <cell r="W196"/>
          <cell r="X196">
            <v>17000</v>
          </cell>
          <cell r="Y196"/>
          <cell r="Z196">
            <v>4750</v>
          </cell>
          <cell r="AA196">
            <v>18000</v>
          </cell>
          <cell r="AB196"/>
          <cell r="AC196">
            <v>18000</v>
          </cell>
          <cell r="AD196">
            <v>4750</v>
          </cell>
          <cell r="AE196">
            <v>9970</v>
          </cell>
          <cell r="AF196">
            <v>4750</v>
          </cell>
          <cell r="AG196">
            <v>14000</v>
          </cell>
          <cell r="AH196">
            <v>11000</v>
          </cell>
          <cell r="AI196"/>
          <cell r="AJ196">
            <v>17000</v>
          </cell>
          <cell r="AK196"/>
          <cell r="AL196"/>
          <cell r="AM196">
            <v>17000</v>
          </cell>
          <cell r="AN196"/>
          <cell r="AO196"/>
          <cell r="AP196">
            <v>6000</v>
          </cell>
          <cell r="AQ196">
            <v>4750</v>
          </cell>
          <cell r="AR196">
            <v>17000</v>
          </cell>
          <cell r="AS196"/>
          <cell r="AT196">
            <v>4750</v>
          </cell>
          <cell r="AU196">
            <v>4750</v>
          </cell>
          <cell r="AV196">
            <v>11000</v>
          </cell>
          <cell r="AW196">
            <v>8000</v>
          </cell>
          <cell r="AX196">
            <v>18000</v>
          </cell>
          <cell r="AY196">
            <v>4750</v>
          </cell>
          <cell r="AZ196">
            <v>19000</v>
          </cell>
          <cell r="BA196">
            <v>28300</v>
          </cell>
          <cell r="BB196">
            <v>24000</v>
          </cell>
          <cell r="BC196">
            <v>6000</v>
          </cell>
          <cell r="BD196">
            <v>10000</v>
          </cell>
          <cell r="BE196">
            <v>15000</v>
          </cell>
          <cell r="BF196">
            <v>15000</v>
          </cell>
          <cell r="BG196">
            <v>13000</v>
          </cell>
          <cell r="BH196"/>
          <cell r="BI196"/>
          <cell r="BJ196"/>
          <cell r="BK196"/>
          <cell r="BL196"/>
          <cell r="BM196"/>
          <cell r="BN196"/>
          <cell r="BO196">
            <v>18000</v>
          </cell>
          <cell r="BP196">
            <v>11400</v>
          </cell>
          <cell r="BQ196"/>
          <cell r="BR196"/>
          <cell r="BS196"/>
          <cell r="BT196"/>
          <cell r="BU196"/>
          <cell r="BV196"/>
          <cell r="BW196"/>
          <cell r="BX196"/>
          <cell r="BY196"/>
          <cell r="BZ196"/>
          <cell r="CA196"/>
          <cell r="CB196"/>
          <cell r="CC196"/>
          <cell r="CD196"/>
          <cell r="CE196"/>
          <cell r="CF196"/>
          <cell r="CG196"/>
          <cell r="CH196"/>
          <cell r="CI196"/>
          <cell r="CJ196"/>
          <cell r="CK196"/>
          <cell r="CL196"/>
          <cell r="CM196"/>
          <cell r="CN196"/>
          <cell r="CO196"/>
        </row>
        <row r="197">
          <cell r="C197">
            <v>28</v>
          </cell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Y197"/>
          <cell r="AZ197"/>
          <cell r="BA197"/>
          <cell r="BB197"/>
          <cell r="BC197"/>
          <cell r="BF197"/>
          <cell r="BH197"/>
          <cell r="BI197"/>
          <cell r="BJ197"/>
          <cell r="BK197"/>
          <cell r="BL197"/>
          <cell r="BM197"/>
          <cell r="BN197"/>
          <cell r="BO197"/>
          <cell r="BR197"/>
          <cell r="BS197"/>
          <cell r="BT197"/>
          <cell r="BU197"/>
          <cell r="BV197"/>
          <cell r="BW197"/>
          <cell r="BX197"/>
          <cell r="BY197"/>
          <cell r="BZ197"/>
          <cell r="CA197"/>
          <cell r="CB197"/>
          <cell r="CC197"/>
          <cell r="CD197"/>
          <cell r="CE197"/>
          <cell r="CF197"/>
          <cell r="CG197"/>
          <cell r="CH197"/>
          <cell r="CI197"/>
          <cell r="CJ197"/>
          <cell r="CK197"/>
          <cell r="CL197"/>
          <cell r="CM197"/>
          <cell r="CN197"/>
          <cell r="CO197"/>
        </row>
        <row r="198">
          <cell r="A198" t="str">
            <v>Engraissement des vaches de réformes</v>
          </cell>
          <cell r="C198">
            <v>29</v>
          </cell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Y198"/>
          <cell r="AZ198"/>
          <cell r="BA198"/>
          <cell r="BB198"/>
          <cell r="BC198"/>
          <cell r="BF198"/>
          <cell r="BH198"/>
          <cell r="BI198"/>
          <cell r="BJ198"/>
          <cell r="BK198"/>
          <cell r="BL198"/>
          <cell r="BM198"/>
          <cell r="BN198"/>
          <cell r="BO198"/>
          <cell r="BR198"/>
          <cell r="BS198"/>
          <cell r="BT198"/>
          <cell r="BU198"/>
          <cell r="BV198"/>
          <cell r="BW198"/>
          <cell r="BX198"/>
          <cell r="BY198"/>
          <cell r="BZ198"/>
          <cell r="CA198"/>
          <cell r="CB198"/>
          <cell r="CC198"/>
          <cell r="CD198"/>
          <cell r="CE198"/>
          <cell r="CF198"/>
          <cell r="CG198"/>
          <cell r="CH198"/>
          <cell r="CI198"/>
          <cell r="CJ198"/>
          <cell r="CK198"/>
          <cell r="CL198"/>
          <cell r="CM198"/>
          <cell r="CN198"/>
          <cell r="CO198"/>
        </row>
        <row r="199">
          <cell r="A199" t="str">
            <v>besoin concentrés 1 vaches réformes engraissés</v>
          </cell>
          <cell r="B199" t="str">
            <v>besoin pour la période d'engraissement</v>
          </cell>
          <cell r="C199">
            <v>30</v>
          </cell>
          <cell r="D199"/>
          <cell r="E199"/>
          <cell r="F199"/>
          <cell r="G199"/>
          <cell r="H199"/>
          <cell r="I199"/>
          <cell r="J199"/>
          <cell r="K199"/>
          <cell r="L199"/>
          <cell r="M199">
            <v>1125</v>
          </cell>
          <cell r="N199">
            <v>1125</v>
          </cell>
          <cell r="O199">
            <v>600</v>
          </cell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>
            <v>1125</v>
          </cell>
          <cell r="AA199"/>
          <cell r="AB199"/>
          <cell r="AC199"/>
          <cell r="AD199">
            <v>1125</v>
          </cell>
          <cell r="AE199">
            <v>600</v>
          </cell>
          <cell r="AF199">
            <v>1125</v>
          </cell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>
            <v>1125</v>
          </cell>
          <cell r="AR199"/>
          <cell r="AS199"/>
          <cell r="AT199">
            <v>1125</v>
          </cell>
          <cell r="AU199">
            <v>1125</v>
          </cell>
          <cell r="AV199"/>
          <cell r="AW199"/>
          <cell r="AX199"/>
          <cell r="AY199">
            <v>1125</v>
          </cell>
          <cell r="AZ199"/>
          <cell r="BA199"/>
          <cell r="BB199"/>
          <cell r="BC199">
            <v>1125</v>
          </cell>
          <cell r="BD199">
            <v>1125</v>
          </cell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  <cell r="BZ199"/>
          <cell r="CA199"/>
          <cell r="CB199"/>
          <cell r="CC199"/>
          <cell r="CD199"/>
          <cell r="CE199"/>
          <cell r="CF199"/>
          <cell r="CG199"/>
          <cell r="CH199"/>
          <cell r="CI199"/>
          <cell r="CJ199"/>
          <cell r="CK199"/>
          <cell r="CL199"/>
          <cell r="CM199"/>
          <cell r="CN199"/>
          <cell r="CO199"/>
        </row>
        <row r="200">
          <cell r="A200" t="str">
            <v>besoin concentrés 1 vaches réformes engraissés</v>
          </cell>
          <cell r="B200" t="str">
            <v>besoin pour la période d'engraissement</v>
          </cell>
          <cell r="C200">
            <v>31</v>
          </cell>
          <cell r="D200"/>
          <cell r="E200"/>
          <cell r="F200"/>
          <cell r="G200"/>
          <cell r="H200"/>
          <cell r="I200"/>
          <cell r="J200"/>
          <cell r="K200"/>
          <cell r="L200"/>
          <cell r="M200">
            <v>300</v>
          </cell>
          <cell r="N200">
            <v>300</v>
          </cell>
          <cell r="O200">
            <v>300</v>
          </cell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>
            <v>300</v>
          </cell>
          <cell r="AA200"/>
          <cell r="AB200"/>
          <cell r="AC200"/>
          <cell r="AD200">
            <v>300</v>
          </cell>
          <cell r="AE200">
            <v>300</v>
          </cell>
          <cell r="AF200">
            <v>300</v>
          </cell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>
            <v>300</v>
          </cell>
          <cell r="AR200"/>
          <cell r="AS200"/>
          <cell r="AT200">
            <v>300</v>
          </cell>
          <cell r="AU200">
            <v>300</v>
          </cell>
          <cell r="AV200"/>
          <cell r="AW200"/>
          <cell r="AX200"/>
          <cell r="AY200">
            <v>300</v>
          </cell>
          <cell r="AZ200"/>
          <cell r="BA200"/>
          <cell r="BB200"/>
          <cell r="BC200">
            <v>300</v>
          </cell>
          <cell r="BD200">
            <v>300</v>
          </cell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  <cell r="BZ200"/>
          <cell r="CA200"/>
          <cell r="CB200"/>
          <cell r="CC200"/>
          <cell r="CD200"/>
          <cell r="CE200"/>
          <cell r="CF200"/>
          <cell r="CG200"/>
          <cell r="CH200"/>
          <cell r="CI200"/>
          <cell r="CJ200"/>
          <cell r="CK200"/>
          <cell r="CL200"/>
          <cell r="CM200"/>
          <cell r="CN200"/>
          <cell r="CO200"/>
        </row>
        <row r="201">
          <cell r="A201" t="str">
            <v>besoin concentrés 1 vaches réformes engraissés</v>
          </cell>
          <cell r="B201" t="str">
            <v>besoin pour la période d'engraissement</v>
          </cell>
          <cell r="C201">
            <v>32</v>
          </cell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  <cell r="BZ201"/>
          <cell r="CA201"/>
          <cell r="CB201"/>
          <cell r="CC201"/>
          <cell r="CD201"/>
          <cell r="CE201"/>
          <cell r="CF201"/>
          <cell r="CG201"/>
          <cell r="CH201"/>
          <cell r="CI201"/>
          <cell r="CJ201"/>
          <cell r="CK201"/>
          <cell r="CL201"/>
          <cell r="CM201"/>
          <cell r="CN201"/>
          <cell r="CO201"/>
        </row>
        <row r="202">
          <cell r="A202" t="str">
            <v>besoin concentrés 1 vaches réformes engraissés</v>
          </cell>
          <cell r="B202" t="str">
            <v>besoin pour la période d'engraissement</v>
          </cell>
          <cell r="C202">
            <v>33</v>
          </cell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  <cell r="BZ202"/>
          <cell r="CA202"/>
          <cell r="CB202"/>
          <cell r="CC202"/>
          <cell r="CD202"/>
          <cell r="CE202"/>
          <cell r="CF202"/>
          <cell r="CG202"/>
          <cell r="CH202"/>
          <cell r="CI202"/>
          <cell r="CJ202"/>
          <cell r="CK202"/>
          <cell r="CL202"/>
          <cell r="CM202"/>
          <cell r="CN202"/>
          <cell r="CO202"/>
        </row>
        <row r="203">
          <cell r="A203" t="str">
            <v>besoin concentrés 1 vaches réformes engraissés</v>
          </cell>
          <cell r="B203" t="str">
            <v>besoin pour la période d'engraissement</v>
          </cell>
          <cell r="C203">
            <v>34</v>
          </cell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  <cell r="BZ203"/>
          <cell r="CA203"/>
          <cell r="CB203"/>
          <cell r="CC203"/>
          <cell r="CD203"/>
          <cell r="CE203"/>
          <cell r="CF203"/>
          <cell r="CG203"/>
          <cell r="CH203"/>
          <cell r="CI203"/>
          <cell r="CJ203"/>
          <cell r="CK203"/>
          <cell r="CL203"/>
          <cell r="CM203"/>
          <cell r="CN203"/>
          <cell r="CO203"/>
        </row>
        <row r="204">
          <cell r="C204">
            <v>35</v>
          </cell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Y204"/>
          <cell r="AZ204"/>
          <cell r="BA204"/>
          <cell r="BB204"/>
          <cell r="BC204"/>
          <cell r="BF204"/>
          <cell r="BH204"/>
          <cell r="BI204"/>
          <cell r="BJ204"/>
          <cell r="BK204"/>
          <cell r="BL204"/>
          <cell r="BM204"/>
          <cell r="BN204"/>
          <cell r="BO204"/>
          <cell r="BR204"/>
          <cell r="BS204"/>
          <cell r="BT204"/>
          <cell r="BU204"/>
          <cell r="BV204"/>
          <cell r="BW204"/>
          <cell r="BX204"/>
          <cell r="BY204"/>
          <cell r="BZ204"/>
          <cell r="CA204"/>
          <cell r="CB204"/>
          <cell r="CC204"/>
          <cell r="CD204"/>
          <cell r="CE204"/>
          <cell r="CF204"/>
          <cell r="CG204"/>
          <cell r="CH204"/>
          <cell r="CI204"/>
          <cell r="CJ204"/>
          <cell r="CK204"/>
          <cell r="CL204"/>
          <cell r="CM204"/>
          <cell r="CN204"/>
          <cell r="CO204"/>
        </row>
        <row r="205">
          <cell r="A205" t="str">
            <v>type concentrés 1 vaches réformes engraissés</v>
          </cell>
          <cell r="C205">
            <v>36</v>
          </cell>
          <cell r="D205"/>
          <cell r="E205"/>
          <cell r="F205"/>
          <cell r="G205"/>
          <cell r="H205"/>
          <cell r="I205"/>
          <cell r="J205"/>
          <cell r="K205"/>
          <cell r="L205"/>
          <cell r="M205" t="str">
            <v>2 -grain céréales à paille</v>
          </cell>
          <cell r="N205" t="str">
            <v>1 -maïs-grain</v>
          </cell>
          <cell r="O205" t="str">
            <v>1 -maïs-grain</v>
          </cell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 t="str">
            <v>2 -grain céréales à paille</v>
          </cell>
          <cell r="AA205"/>
          <cell r="AB205"/>
          <cell r="AC205"/>
          <cell r="AD205" t="str">
            <v>1 -maïs-grain</v>
          </cell>
          <cell r="AE205" t="str">
            <v>1 -maïs-grain</v>
          </cell>
          <cell r="AF205" t="str">
            <v>2 -grain céréales à paille</v>
          </cell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 t="str">
            <v>2 -grain céréales à paille</v>
          </cell>
          <cell r="AR205"/>
          <cell r="AS205"/>
          <cell r="AT205" t="str">
            <v>1 -maïs-grain</v>
          </cell>
          <cell r="AU205" t="str">
            <v>1 -maïs-grain</v>
          </cell>
          <cell r="AV205"/>
          <cell r="AW205"/>
          <cell r="AX205"/>
          <cell r="AY205" t="str">
            <v>1 -maïs-grain</v>
          </cell>
          <cell r="AZ205"/>
          <cell r="BA205"/>
          <cell r="BB205"/>
          <cell r="BC205" t="str">
            <v>1 -maïs-grain</v>
          </cell>
          <cell r="BD205" t="str">
            <v>1 -maïs-grain</v>
          </cell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  <cell r="BZ205"/>
          <cell r="CA205"/>
          <cell r="CB205"/>
          <cell r="CC205"/>
          <cell r="CD205"/>
          <cell r="CE205"/>
          <cell r="CF205"/>
          <cell r="CG205"/>
          <cell r="CH205"/>
          <cell r="CI205"/>
          <cell r="CJ205"/>
          <cell r="CK205"/>
          <cell r="CL205"/>
          <cell r="CM205"/>
          <cell r="CN205"/>
          <cell r="CO205"/>
        </row>
        <row r="206">
          <cell r="A206" t="str">
            <v>type concentrés 1 vaches réformes engraissés</v>
          </cell>
          <cell r="C206">
            <v>37</v>
          </cell>
          <cell r="D206"/>
          <cell r="E206"/>
          <cell r="F206"/>
          <cell r="G206"/>
          <cell r="H206"/>
          <cell r="I206"/>
          <cell r="J206"/>
          <cell r="K206"/>
          <cell r="L206"/>
          <cell r="M206" t="str">
            <v>6 -tourteaux soja</v>
          </cell>
          <cell r="N206" t="str">
            <v>6 -tourteaux soja</v>
          </cell>
          <cell r="O206" t="str">
            <v>6 -tourteaux soja</v>
          </cell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 t="str">
            <v>6 -tourteaux soja</v>
          </cell>
          <cell r="AA206"/>
          <cell r="AB206"/>
          <cell r="AC206"/>
          <cell r="AD206" t="str">
            <v>6 -tourteaux soja</v>
          </cell>
          <cell r="AE206" t="str">
            <v>6 -tourteaux soja</v>
          </cell>
          <cell r="AF206" t="str">
            <v>6 -tourteaux soja</v>
          </cell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 t="str">
            <v>6 -tourteaux soja</v>
          </cell>
          <cell r="AR206"/>
          <cell r="AS206"/>
          <cell r="AT206" t="str">
            <v>6 -tourteaux soja</v>
          </cell>
          <cell r="AU206" t="str">
            <v>6 -tourteaux soja</v>
          </cell>
          <cell r="AV206"/>
          <cell r="AW206"/>
          <cell r="AX206"/>
          <cell r="AY206" t="str">
            <v>6 -tourteaux soja</v>
          </cell>
          <cell r="AZ206"/>
          <cell r="BA206"/>
          <cell r="BB206"/>
          <cell r="BC206" t="str">
            <v>6 -tourteaux soja</v>
          </cell>
          <cell r="BD206" t="str">
            <v>6 -tourteaux soja</v>
          </cell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  <cell r="BZ206"/>
          <cell r="CA206"/>
          <cell r="CB206"/>
          <cell r="CC206"/>
          <cell r="CD206"/>
          <cell r="CE206"/>
          <cell r="CF206"/>
          <cell r="CG206"/>
          <cell r="CH206"/>
          <cell r="CI206"/>
          <cell r="CJ206"/>
          <cell r="CK206"/>
          <cell r="CL206"/>
          <cell r="CM206"/>
          <cell r="CN206"/>
          <cell r="CO206"/>
        </row>
        <row r="207">
          <cell r="A207" t="str">
            <v>type concentrés 1 vaches réformes engraissés</v>
          </cell>
          <cell r="C207">
            <v>38</v>
          </cell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  <cell r="BZ207"/>
          <cell r="CA207"/>
          <cell r="CB207"/>
          <cell r="CC207"/>
          <cell r="CD207"/>
          <cell r="CE207"/>
          <cell r="CF207"/>
          <cell r="CG207"/>
          <cell r="CH207"/>
          <cell r="CI207"/>
          <cell r="CJ207"/>
          <cell r="CK207"/>
          <cell r="CL207"/>
          <cell r="CM207"/>
          <cell r="CN207"/>
          <cell r="CO207"/>
        </row>
        <row r="208">
          <cell r="A208" t="str">
            <v>type  concentrés 1 vaches réformes engraissés</v>
          </cell>
          <cell r="C208">
            <v>39</v>
          </cell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  <cell r="BZ208"/>
          <cell r="CA208"/>
          <cell r="CB208"/>
          <cell r="CC208"/>
          <cell r="CD208"/>
          <cell r="CE208"/>
          <cell r="CF208"/>
          <cell r="CG208"/>
          <cell r="CH208"/>
          <cell r="CI208"/>
          <cell r="CJ208"/>
          <cell r="CK208"/>
          <cell r="CL208"/>
          <cell r="CM208"/>
          <cell r="CN208"/>
          <cell r="CO208"/>
        </row>
        <row r="209">
          <cell r="A209" t="str">
            <v>type concentrés 1 vaches réformes engraissés</v>
          </cell>
          <cell r="C209">
            <v>40</v>
          </cell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  <cell r="BZ209"/>
          <cell r="CA209"/>
          <cell r="CB209"/>
          <cell r="CC209"/>
          <cell r="CD209"/>
          <cell r="CE209"/>
          <cell r="CF209"/>
          <cell r="CG209"/>
          <cell r="CH209"/>
          <cell r="CI209"/>
          <cell r="CJ209"/>
          <cell r="CK209"/>
          <cell r="CL209"/>
          <cell r="CM209"/>
          <cell r="CN209"/>
          <cell r="CO209"/>
        </row>
        <row r="210"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Y210"/>
          <cell r="AZ210"/>
          <cell r="BA210"/>
          <cell r="BB210"/>
          <cell r="BC210"/>
          <cell r="BF210"/>
          <cell r="BH210"/>
          <cell r="BI210"/>
          <cell r="BJ210"/>
          <cell r="BK210"/>
          <cell r="BL210"/>
          <cell r="BM210"/>
          <cell r="BN210"/>
          <cell r="BO210"/>
          <cell r="BR210"/>
          <cell r="BS210"/>
          <cell r="BT210"/>
          <cell r="BU210"/>
          <cell r="BV210"/>
          <cell r="BW210"/>
          <cell r="BX210"/>
          <cell r="BY210"/>
          <cell r="BZ210"/>
          <cell r="CA210"/>
          <cell r="CB210"/>
          <cell r="CC210"/>
          <cell r="CD210"/>
          <cell r="CE210"/>
          <cell r="CF210"/>
          <cell r="CG210"/>
          <cell r="CH210"/>
          <cell r="CI210"/>
          <cell r="CJ210"/>
          <cell r="CK210"/>
          <cell r="CL210"/>
          <cell r="CM210"/>
          <cell r="CN210"/>
          <cell r="CO210"/>
        </row>
        <row r="211">
          <cell r="A211" t="str">
            <v>CO cultures (y.c. maïs-ensilage)</v>
          </cell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Y211"/>
          <cell r="AZ211"/>
          <cell r="BA211"/>
          <cell r="BB211"/>
          <cell r="BC211"/>
          <cell r="BF211"/>
          <cell r="BH211"/>
          <cell r="BI211"/>
          <cell r="BJ211"/>
          <cell r="BK211"/>
          <cell r="BL211"/>
          <cell r="BM211"/>
          <cell r="BN211"/>
          <cell r="BO211"/>
          <cell r="BR211"/>
          <cell r="BS211"/>
          <cell r="BT211"/>
          <cell r="BU211"/>
          <cell r="BV211"/>
          <cell r="BW211"/>
          <cell r="BX211"/>
          <cell r="BY211"/>
          <cell r="BZ211"/>
          <cell r="CA211"/>
          <cell r="CB211"/>
          <cell r="CC211"/>
          <cell r="CD211"/>
          <cell r="CE211"/>
          <cell r="CF211"/>
          <cell r="CG211"/>
          <cell r="CH211"/>
          <cell r="CI211"/>
          <cell r="CJ211"/>
          <cell r="CK211"/>
          <cell r="CL211"/>
          <cell r="CM211"/>
          <cell r="CN211"/>
          <cell r="CO211"/>
        </row>
        <row r="212">
          <cell r="A212" t="str">
            <v>blé tendre</v>
          </cell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>
            <v>374</v>
          </cell>
          <cell r="O212">
            <v>449</v>
          </cell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>
            <v>374</v>
          </cell>
          <cell r="AE212">
            <v>449</v>
          </cell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>
            <v>374</v>
          </cell>
          <cell r="AU212">
            <v>374</v>
          </cell>
          <cell r="AV212"/>
          <cell r="AW212"/>
          <cell r="AX212"/>
          <cell r="AY212">
            <v>374</v>
          </cell>
          <cell r="AZ212"/>
          <cell r="BA212"/>
          <cell r="BB212"/>
          <cell r="BC212">
            <v>374</v>
          </cell>
          <cell r="BD212">
            <v>374</v>
          </cell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  <cell r="BZ212"/>
          <cell r="CA212"/>
          <cell r="CB212"/>
          <cell r="CC212"/>
          <cell r="CD212"/>
          <cell r="CE212"/>
          <cell r="CF212"/>
          <cell r="CG212"/>
          <cell r="CH212"/>
          <cell r="CI212"/>
          <cell r="CJ212"/>
          <cell r="CK212"/>
          <cell r="CL212"/>
          <cell r="CM212"/>
          <cell r="CN212"/>
          <cell r="CO212"/>
        </row>
        <row r="213">
          <cell r="A213" t="str">
            <v>maïs ensil</v>
          </cell>
          <cell r="C213"/>
          <cell r="D213"/>
          <cell r="E213"/>
          <cell r="F213">
            <v>505</v>
          </cell>
          <cell r="G213">
            <v>464</v>
          </cell>
          <cell r="H213"/>
          <cell r="I213">
            <v>449</v>
          </cell>
          <cell r="J213"/>
          <cell r="K213">
            <v>464</v>
          </cell>
          <cell r="L213"/>
          <cell r="M213">
            <v>562</v>
          </cell>
          <cell r="N213">
            <v>562</v>
          </cell>
          <cell r="O213">
            <v>586</v>
          </cell>
          <cell r="P213"/>
          <cell r="Q213"/>
          <cell r="R213">
            <v>449</v>
          </cell>
          <cell r="S213"/>
          <cell r="T213">
            <v>449</v>
          </cell>
          <cell r="U213"/>
          <cell r="V213">
            <v>464</v>
          </cell>
          <cell r="W213"/>
          <cell r="X213">
            <v>464</v>
          </cell>
          <cell r="Y213"/>
          <cell r="Z213">
            <v>562</v>
          </cell>
          <cell r="AA213">
            <v>449</v>
          </cell>
          <cell r="AB213"/>
          <cell r="AC213">
            <v>449</v>
          </cell>
          <cell r="AD213">
            <v>562</v>
          </cell>
          <cell r="AE213">
            <v>586</v>
          </cell>
          <cell r="AF213">
            <v>562</v>
          </cell>
          <cell r="AG213"/>
          <cell r="AH213">
            <v>464</v>
          </cell>
          <cell r="AI213"/>
          <cell r="AJ213">
            <v>464</v>
          </cell>
          <cell r="AK213"/>
          <cell r="AL213"/>
          <cell r="AM213">
            <v>464</v>
          </cell>
          <cell r="AN213"/>
          <cell r="AO213"/>
          <cell r="AP213">
            <v>464</v>
          </cell>
          <cell r="AQ213">
            <v>562</v>
          </cell>
          <cell r="AR213">
            <v>464</v>
          </cell>
          <cell r="AS213"/>
          <cell r="AT213">
            <v>562</v>
          </cell>
          <cell r="AU213">
            <v>562</v>
          </cell>
          <cell r="AV213">
            <v>449</v>
          </cell>
          <cell r="AW213"/>
          <cell r="AX213">
            <v>449</v>
          </cell>
          <cell r="AY213">
            <v>562</v>
          </cell>
          <cell r="AZ213">
            <v>380</v>
          </cell>
          <cell r="BA213">
            <v>380</v>
          </cell>
          <cell r="BB213">
            <v>380</v>
          </cell>
          <cell r="BC213">
            <v>562</v>
          </cell>
          <cell r="BD213">
            <v>562</v>
          </cell>
          <cell r="BE213">
            <v>449</v>
          </cell>
          <cell r="BF213">
            <v>449</v>
          </cell>
          <cell r="BG213">
            <v>464</v>
          </cell>
          <cell r="BH213"/>
          <cell r="BI213"/>
          <cell r="BJ213"/>
          <cell r="BK213"/>
          <cell r="BL213"/>
          <cell r="BM213"/>
          <cell r="BN213"/>
          <cell r="BO213">
            <v>449</v>
          </cell>
          <cell r="BP213">
            <v>464</v>
          </cell>
          <cell r="BQ213"/>
          <cell r="BR213"/>
          <cell r="BS213"/>
          <cell r="BT213"/>
          <cell r="BU213"/>
          <cell r="BV213"/>
          <cell r="BW213"/>
          <cell r="BX213"/>
          <cell r="BY213"/>
          <cell r="BZ213"/>
          <cell r="CA213"/>
          <cell r="CB213"/>
          <cell r="CC213"/>
          <cell r="CD213"/>
          <cell r="CE213"/>
          <cell r="CF213"/>
          <cell r="CG213"/>
          <cell r="CH213"/>
          <cell r="CI213"/>
          <cell r="CJ213"/>
          <cell r="CK213"/>
          <cell r="CL213"/>
          <cell r="CM213"/>
          <cell r="CN213"/>
          <cell r="CO213"/>
        </row>
        <row r="214">
          <cell r="A214" t="str">
            <v>maïs grain</v>
          </cell>
          <cell r="C214"/>
          <cell r="D214"/>
          <cell r="E214"/>
          <cell r="F214">
            <v>425</v>
          </cell>
          <cell r="G214">
            <v>376</v>
          </cell>
          <cell r="H214"/>
          <cell r="I214">
            <v>362</v>
          </cell>
          <cell r="J214"/>
          <cell r="K214">
            <v>376</v>
          </cell>
          <cell r="L214"/>
          <cell r="M214">
            <v>669</v>
          </cell>
          <cell r="N214">
            <v>669</v>
          </cell>
          <cell r="O214">
            <v>727</v>
          </cell>
          <cell r="P214"/>
          <cell r="Q214"/>
          <cell r="R214">
            <v>362</v>
          </cell>
          <cell r="S214"/>
          <cell r="T214">
            <v>362</v>
          </cell>
          <cell r="U214"/>
          <cell r="V214">
            <v>376</v>
          </cell>
          <cell r="W214"/>
          <cell r="X214">
            <v>376</v>
          </cell>
          <cell r="Y214"/>
          <cell r="Z214">
            <v>669</v>
          </cell>
          <cell r="AA214">
            <v>362</v>
          </cell>
          <cell r="AB214"/>
          <cell r="AC214">
            <v>362</v>
          </cell>
          <cell r="AD214">
            <v>669</v>
          </cell>
          <cell r="AE214">
            <v>727</v>
          </cell>
          <cell r="AF214">
            <v>669</v>
          </cell>
          <cell r="AG214"/>
          <cell r="AH214">
            <v>376</v>
          </cell>
          <cell r="AI214"/>
          <cell r="AJ214">
            <v>376</v>
          </cell>
          <cell r="AK214"/>
          <cell r="AL214"/>
          <cell r="AM214">
            <v>376</v>
          </cell>
          <cell r="AN214"/>
          <cell r="AO214"/>
          <cell r="AP214">
            <v>376</v>
          </cell>
          <cell r="AQ214">
            <v>669</v>
          </cell>
          <cell r="AR214">
            <v>376</v>
          </cell>
          <cell r="AS214"/>
          <cell r="AT214">
            <v>669</v>
          </cell>
          <cell r="AU214">
            <v>669</v>
          </cell>
          <cell r="AV214">
            <v>362</v>
          </cell>
          <cell r="AW214"/>
          <cell r="AX214">
            <v>362</v>
          </cell>
          <cell r="AY214">
            <v>669</v>
          </cell>
          <cell r="AZ214">
            <v>550</v>
          </cell>
          <cell r="BA214">
            <v>550</v>
          </cell>
          <cell r="BB214">
            <v>550</v>
          </cell>
          <cell r="BC214">
            <v>669</v>
          </cell>
          <cell r="BD214">
            <v>669</v>
          </cell>
          <cell r="BE214">
            <v>362</v>
          </cell>
          <cell r="BF214">
            <v>362</v>
          </cell>
          <cell r="BG214">
            <v>376</v>
          </cell>
          <cell r="BH214"/>
          <cell r="BI214"/>
          <cell r="BJ214"/>
          <cell r="BK214"/>
          <cell r="BL214"/>
          <cell r="BM214"/>
          <cell r="BN214"/>
          <cell r="BO214">
            <v>362</v>
          </cell>
          <cell r="BP214">
            <v>376</v>
          </cell>
          <cell r="BQ214"/>
          <cell r="BR214"/>
          <cell r="BS214"/>
          <cell r="BT214"/>
          <cell r="BU214"/>
          <cell r="BV214"/>
          <cell r="BW214"/>
          <cell r="BX214"/>
          <cell r="BY214"/>
          <cell r="BZ214"/>
          <cell r="CA214"/>
          <cell r="CB214"/>
          <cell r="CC214"/>
          <cell r="CD214"/>
          <cell r="CE214"/>
          <cell r="CF214"/>
          <cell r="CG214"/>
          <cell r="CH214"/>
          <cell r="CI214"/>
          <cell r="CJ214"/>
          <cell r="CK214"/>
          <cell r="CL214"/>
          <cell r="CM214"/>
          <cell r="CN214"/>
          <cell r="CO214"/>
        </row>
        <row r="215">
          <cell r="A215" t="str">
            <v>maïs humid</v>
          </cell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>
            <v>562</v>
          </cell>
          <cell r="O215">
            <v>586</v>
          </cell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>
            <v>562</v>
          </cell>
          <cell r="AE215">
            <v>586</v>
          </cell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>
            <v>562</v>
          </cell>
          <cell r="AU215">
            <v>562</v>
          </cell>
          <cell r="AV215"/>
          <cell r="AW215"/>
          <cell r="AX215"/>
          <cell r="AY215">
            <v>562</v>
          </cell>
          <cell r="AZ215"/>
          <cell r="BA215"/>
          <cell r="BB215"/>
          <cell r="BC215">
            <v>562</v>
          </cell>
          <cell r="BD215">
            <v>562</v>
          </cell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  <cell r="BZ215"/>
          <cell r="CA215"/>
          <cell r="CB215"/>
          <cell r="CC215"/>
          <cell r="CD215"/>
          <cell r="CE215"/>
          <cell r="CF215"/>
          <cell r="CG215"/>
          <cell r="CH215"/>
          <cell r="CI215"/>
          <cell r="CJ215"/>
          <cell r="CK215"/>
          <cell r="CL215"/>
          <cell r="CM215"/>
          <cell r="CN215"/>
          <cell r="CO215"/>
        </row>
        <row r="216">
          <cell r="A216" t="str">
            <v>orge hiver</v>
          </cell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>
            <v>374</v>
          </cell>
          <cell r="O216">
            <v>449</v>
          </cell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>
            <v>374</v>
          </cell>
          <cell r="AE216">
            <v>449</v>
          </cell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>
            <v>374</v>
          </cell>
          <cell r="AU216">
            <v>374</v>
          </cell>
          <cell r="AV216"/>
          <cell r="AW216"/>
          <cell r="AX216"/>
          <cell r="AY216">
            <v>374</v>
          </cell>
          <cell r="AZ216"/>
          <cell r="BA216"/>
          <cell r="BB216"/>
          <cell r="BC216">
            <v>374</v>
          </cell>
          <cell r="BD216">
            <v>374</v>
          </cell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  <cell r="BZ216"/>
          <cell r="CA216"/>
          <cell r="CB216"/>
          <cell r="CC216"/>
          <cell r="CD216"/>
          <cell r="CE216"/>
          <cell r="CF216"/>
          <cell r="CG216"/>
          <cell r="CH216"/>
          <cell r="CI216"/>
          <cell r="CJ216"/>
          <cell r="CK216"/>
          <cell r="CL216"/>
          <cell r="CM216"/>
          <cell r="CN216"/>
          <cell r="CO216"/>
        </row>
        <row r="217">
          <cell r="A217" t="str">
            <v xml:space="preserve">soja zone </v>
          </cell>
          <cell r="C217"/>
          <cell r="D217"/>
          <cell r="E217"/>
          <cell r="F217">
            <v>420</v>
          </cell>
          <cell r="G217"/>
          <cell r="H217"/>
          <cell r="I217"/>
          <cell r="J217"/>
          <cell r="K217"/>
          <cell r="L217"/>
          <cell r="M217"/>
          <cell r="N217">
            <v>424</v>
          </cell>
          <cell r="O217">
            <v>420</v>
          </cell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>
            <v>424</v>
          </cell>
          <cell r="AE217">
            <v>420</v>
          </cell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>
            <v>424</v>
          </cell>
          <cell r="AU217">
            <v>424</v>
          </cell>
          <cell r="AV217"/>
          <cell r="AW217"/>
          <cell r="AX217"/>
          <cell r="AY217">
            <v>424</v>
          </cell>
          <cell r="AZ217">
            <v>420</v>
          </cell>
          <cell r="BA217">
            <v>420</v>
          </cell>
          <cell r="BB217">
            <v>420</v>
          </cell>
          <cell r="BC217">
            <v>424</v>
          </cell>
          <cell r="BD217">
            <v>424</v>
          </cell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  <cell r="BZ217"/>
          <cell r="CA217"/>
          <cell r="CB217"/>
          <cell r="CC217"/>
          <cell r="CD217"/>
          <cell r="CE217"/>
          <cell r="CF217"/>
          <cell r="CG217"/>
          <cell r="CH217"/>
          <cell r="CI217"/>
          <cell r="CJ217"/>
          <cell r="CK217"/>
          <cell r="CL217"/>
          <cell r="CM217"/>
          <cell r="CN217"/>
          <cell r="CO217"/>
        </row>
        <row r="218">
          <cell r="A218" t="str">
            <v>triticale</v>
          </cell>
          <cell r="C218"/>
          <cell r="D218"/>
          <cell r="E218"/>
          <cell r="F218"/>
          <cell r="G218"/>
          <cell r="H218"/>
          <cell r="I218">
            <v>137</v>
          </cell>
          <cell r="J218"/>
          <cell r="K218"/>
          <cell r="L218"/>
          <cell r="M218"/>
          <cell r="N218">
            <v>374</v>
          </cell>
          <cell r="O218">
            <v>449</v>
          </cell>
          <cell r="P218"/>
          <cell r="Q218"/>
          <cell r="R218">
            <v>137</v>
          </cell>
          <cell r="S218"/>
          <cell r="T218">
            <v>137</v>
          </cell>
          <cell r="U218"/>
          <cell r="V218"/>
          <cell r="W218"/>
          <cell r="X218"/>
          <cell r="Y218"/>
          <cell r="Z218"/>
          <cell r="AA218">
            <v>137</v>
          </cell>
          <cell r="AB218"/>
          <cell r="AC218">
            <v>137</v>
          </cell>
          <cell r="AD218">
            <v>374</v>
          </cell>
          <cell r="AE218">
            <v>449</v>
          </cell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>
            <v>374</v>
          </cell>
          <cell r="AU218">
            <v>374</v>
          </cell>
          <cell r="AV218">
            <v>137</v>
          </cell>
          <cell r="AW218"/>
          <cell r="AX218">
            <v>137</v>
          </cell>
          <cell r="AY218">
            <v>374</v>
          </cell>
          <cell r="AZ218"/>
          <cell r="BA218"/>
          <cell r="BB218"/>
          <cell r="BC218">
            <v>374</v>
          </cell>
          <cell r="BD218">
            <v>374</v>
          </cell>
          <cell r="BE218">
            <v>137</v>
          </cell>
          <cell r="BF218">
            <v>137</v>
          </cell>
          <cell r="BG218"/>
          <cell r="BH218"/>
          <cell r="BI218"/>
          <cell r="BJ218"/>
          <cell r="BK218"/>
          <cell r="BL218"/>
          <cell r="BM218"/>
          <cell r="BN218"/>
          <cell r="BO218">
            <v>137</v>
          </cell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  <cell r="BZ218"/>
          <cell r="CA218"/>
          <cell r="CB218"/>
          <cell r="CC218"/>
          <cell r="CD218"/>
          <cell r="CE218"/>
          <cell r="CF218"/>
          <cell r="CG218"/>
          <cell r="CH218"/>
          <cell r="CI218"/>
          <cell r="CJ218"/>
          <cell r="CK218"/>
          <cell r="CL218"/>
          <cell r="CM218"/>
          <cell r="CN218"/>
          <cell r="CO218"/>
        </row>
        <row r="219">
          <cell r="AT219"/>
          <cell r="AU219"/>
          <cell r="BF219"/>
        </row>
        <row r="220">
          <cell r="A220" t="str">
            <v>engraissement des vaches de réforme (%)</v>
          </cell>
          <cell r="C220"/>
          <cell r="D220"/>
          <cell r="E220">
            <v>0</v>
          </cell>
          <cell r="F220">
            <v>100</v>
          </cell>
          <cell r="G220"/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20</v>
          </cell>
          <cell r="N220">
            <v>50</v>
          </cell>
          <cell r="O220">
            <v>100</v>
          </cell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>
            <v>20</v>
          </cell>
          <cell r="AA220"/>
          <cell r="AB220"/>
          <cell r="AC220"/>
          <cell r="AD220">
            <v>50</v>
          </cell>
          <cell r="AE220">
            <v>100</v>
          </cell>
          <cell r="AF220">
            <v>20</v>
          </cell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>
            <v>50</v>
          </cell>
          <cell r="AU220">
            <v>50</v>
          </cell>
          <cell r="AV220"/>
          <cell r="AW220"/>
          <cell r="AX220"/>
          <cell r="AY220">
            <v>50</v>
          </cell>
          <cell r="AZ220">
            <v>100</v>
          </cell>
          <cell r="BA220">
            <v>100</v>
          </cell>
          <cell r="BB220">
            <v>100</v>
          </cell>
          <cell r="BC220">
            <v>50</v>
          </cell>
          <cell r="BD220">
            <v>50</v>
          </cell>
          <cell r="BE220">
            <v>0</v>
          </cell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>
            <v>0</v>
          </cell>
          <cell r="BP220"/>
          <cell r="BQ220">
            <v>0</v>
          </cell>
          <cell r="BR220"/>
          <cell r="BS220"/>
          <cell r="BT220"/>
          <cell r="BU220"/>
          <cell r="BV220"/>
          <cell r="BW220"/>
          <cell r="BX220"/>
          <cell r="BY220"/>
          <cell r="BZ220"/>
          <cell r="CA220"/>
          <cell r="CB220"/>
          <cell r="CC220"/>
          <cell r="CD220"/>
          <cell r="CE220"/>
          <cell r="CF220"/>
          <cell r="CG220"/>
          <cell r="CH220"/>
          <cell r="CI220"/>
          <cell r="CJ220"/>
          <cell r="CK220"/>
          <cell r="CL220"/>
          <cell r="CM220"/>
          <cell r="CN220"/>
        </row>
      </sheetData>
      <sheetData sheetId="2">
        <row r="4">
          <cell r="A4">
            <v>0</v>
          </cell>
          <cell r="B4"/>
          <cell r="C4"/>
          <cell r="D4"/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/>
          <cell r="N4"/>
          <cell r="O4"/>
          <cell r="P4"/>
          <cell r="Q4" t="str">
            <v>POUR MISE EN FORME</v>
          </cell>
        </row>
        <row r="5">
          <cell r="A5">
            <v>1</v>
          </cell>
          <cell r="B5" t="str">
            <v>F/P</v>
          </cell>
          <cell r="C5" t="str">
            <v>PP bonne 2 coupes</v>
          </cell>
          <cell r="D5" t="str">
            <v>zone 3</v>
          </cell>
          <cell r="E5">
            <v>1.07</v>
          </cell>
          <cell r="F5">
            <v>0</v>
          </cell>
          <cell r="G5">
            <v>2.14</v>
          </cell>
          <cell r="H5">
            <v>0</v>
          </cell>
          <cell r="I5">
            <v>0</v>
          </cell>
          <cell r="J5">
            <v>0</v>
          </cell>
          <cell r="K5">
            <v>5.4569999999999999</v>
          </cell>
          <cell r="L5">
            <v>8.6669999999999998</v>
          </cell>
          <cell r="M5">
            <v>2</v>
          </cell>
          <cell r="N5"/>
          <cell r="O5"/>
          <cell r="P5"/>
          <cell r="Q5" t="str">
            <v>topo Ho38.1 50-51</v>
          </cell>
          <cell r="X5">
            <v>1</v>
          </cell>
          <cell r="Y5" t="str">
            <v>F/P</v>
          </cell>
          <cell r="Z5" t="str">
            <v>PP bonne 2 coupes</v>
          </cell>
          <cell r="AA5" t="str">
            <v>PP</v>
          </cell>
          <cell r="AC5" t="str">
            <v>bois</v>
          </cell>
          <cell r="AD5" t="str">
            <v>bois</v>
          </cell>
        </row>
        <row r="6">
          <cell r="A6">
            <v>2</v>
          </cell>
          <cell r="B6" t="str">
            <v>P</v>
          </cell>
          <cell r="C6" t="str">
            <v>PP médiocre</v>
          </cell>
          <cell r="D6" t="str">
            <v>zone 3</v>
          </cell>
          <cell r="E6">
            <v>1.3</v>
          </cell>
          <cell r="F6">
            <v>0.9</v>
          </cell>
          <cell r="G6">
            <v>1.6</v>
          </cell>
          <cell r="H6"/>
          <cell r="I6"/>
          <cell r="J6"/>
          <cell r="K6">
            <v>0</v>
          </cell>
          <cell r="L6">
            <v>3.8000000000000003</v>
          </cell>
          <cell r="M6">
            <v>0</v>
          </cell>
          <cell r="N6"/>
          <cell r="O6"/>
          <cell r="P6"/>
          <cell r="Q6" t="str">
            <v>topo Hf35.1 50-51</v>
          </cell>
          <cell r="X6">
            <v>2</v>
          </cell>
          <cell r="Y6" t="str">
            <v>P</v>
          </cell>
          <cell r="Z6" t="str">
            <v>PP médiocre</v>
          </cell>
          <cell r="AA6" t="str">
            <v>PP</v>
          </cell>
          <cell r="AC6" t="str">
            <v>lande</v>
          </cell>
          <cell r="AD6" t="str">
            <v>LP</v>
          </cell>
        </row>
        <row r="7">
          <cell r="A7">
            <v>3</v>
          </cell>
          <cell r="B7" t="str">
            <v>P</v>
          </cell>
          <cell r="C7" t="str">
            <v xml:space="preserve">landes privées </v>
          </cell>
          <cell r="D7" t="str">
            <v>zone 3</v>
          </cell>
          <cell r="E7">
            <v>0.5</v>
          </cell>
          <cell r="F7">
            <v>0.25</v>
          </cell>
          <cell r="G7">
            <v>0.75</v>
          </cell>
          <cell r="H7"/>
          <cell r="I7"/>
          <cell r="J7"/>
          <cell r="K7">
            <v>0</v>
          </cell>
          <cell r="L7">
            <v>1.5</v>
          </cell>
          <cell r="M7">
            <v>0</v>
          </cell>
          <cell r="N7"/>
          <cell r="O7"/>
          <cell r="P7"/>
          <cell r="X7">
            <v>3</v>
          </cell>
          <cell r="Y7" t="str">
            <v>P</v>
          </cell>
          <cell r="Z7" t="str">
            <v xml:space="preserve">landes privées </v>
          </cell>
          <cell r="AA7" t="str">
            <v>lande</v>
          </cell>
          <cell r="AC7" t="str">
            <v>PP</v>
          </cell>
          <cell r="AD7" t="str">
            <v>P</v>
          </cell>
        </row>
        <row r="8">
          <cell r="A8">
            <v>5</v>
          </cell>
          <cell r="B8" t="str">
            <v>F</v>
          </cell>
          <cell r="C8" t="str">
            <v>PP bonne 2 coupes</v>
          </cell>
          <cell r="D8" t="str">
            <v>zone 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5.8850000000000007</v>
          </cell>
          <cell r="L8">
            <v>5.8850000000000007</v>
          </cell>
          <cell r="M8">
            <v>2</v>
          </cell>
          <cell r="N8"/>
          <cell r="O8"/>
          <cell r="P8"/>
          <cell r="X8">
            <v>5</v>
          </cell>
          <cell r="Y8" t="str">
            <v>F</v>
          </cell>
          <cell r="Z8" t="str">
            <v>PP bonne 2 coupes</v>
          </cell>
          <cell r="AA8" t="str">
            <v>PP</v>
          </cell>
          <cell r="AC8" t="str">
            <v>PT</v>
          </cell>
          <cell r="AD8" t="str">
            <v>P</v>
          </cell>
        </row>
        <row r="9">
          <cell r="A9">
            <v>6</v>
          </cell>
          <cell r="B9" t="str">
            <v>F/P</v>
          </cell>
          <cell r="C9" t="str">
            <v>PP bonne 2 coupes</v>
          </cell>
          <cell r="D9" t="str">
            <v>zone 2</v>
          </cell>
          <cell r="E9">
            <v>0.85600000000000009</v>
          </cell>
          <cell r="F9">
            <v>0</v>
          </cell>
          <cell r="G9">
            <v>0.77040000000000008</v>
          </cell>
          <cell r="H9">
            <v>0.1</v>
          </cell>
          <cell r="I9">
            <v>0.63558000000000003</v>
          </cell>
          <cell r="J9">
            <v>0</v>
          </cell>
          <cell r="K9">
            <v>4.9112999999999998</v>
          </cell>
          <cell r="L9">
            <v>7.2732799999999997</v>
          </cell>
          <cell r="M9">
            <v>2</v>
          </cell>
          <cell r="N9"/>
          <cell r="O9"/>
          <cell r="P9"/>
          <cell r="X9">
            <v>6</v>
          </cell>
          <cell r="Y9" t="str">
            <v>F/P</v>
          </cell>
          <cell r="Z9" t="str">
            <v>PP bonne 2 coupes</v>
          </cell>
          <cell r="AA9" t="str">
            <v>PP</v>
          </cell>
          <cell r="AC9" t="str">
            <v>dérobé</v>
          </cell>
          <cell r="AD9" t="str">
            <v>P</v>
          </cell>
        </row>
        <row r="10">
          <cell r="A10">
            <v>7</v>
          </cell>
          <cell r="B10" t="str">
            <v>F</v>
          </cell>
          <cell r="C10" t="str">
            <v>PP bonne 2 coupes</v>
          </cell>
          <cell r="D10" t="str">
            <v>zone 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5.2965000000000009</v>
          </cell>
          <cell r="L10">
            <v>5.2965000000000009</v>
          </cell>
          <cell r="M10">
            <v>2</v>
          </cell>
          <cell r="N10"/>
          <cell r="O10"/>
          <cell r="P10"/>
          <cell r="X10">
            <v>7</v>
          </cell>
          <cell r="Y10" t="str">
            <v>F</v>
          </cell>
          <cell r="Z10" t="str">
            <v>PP bonne 2 coupes</v>
          </cell>
          <cell r="AA10" t="str">
            <v>PP</v>
          </cell>
        </row>
        <row r="11">
          <cell r="A11">
            <v>9</v>
          </cell>
          <cell r="B11" t="str">
            <v>F/P</v>
          </cell>
          <cell r="C11" t="str">
            <v>PP bonne 2 coupes</v>
          </cell>
          <cell r="D11" t="str">
            <v xml:space="preserve">zone 4 </v>
          </cell>
          <cell r="E11">
            <v>1.07</v>
          </cell>
          <cell r="F11">
            <v>0</v>
          </cell>
          <cell r="G11">
            <v>2.14</v>
          </cell>
          <cell r="H11">
            <v>0</v>
          </cell>
          <cell r="I11">
            <v>0</v>
          </cell>
          <cell r="J11">
            <v>0</v>
          </cell>
          <cell r="K11">
            <v>5.4569999999999999</v>
          </cell>
          <cell r="L11">
            <v>8.6669999999999998</v>
          </cell>
          <cell r="M11">
            <v>2</v>
          </cell>
          <cell r="N11"/>
          <cell r="O11"/>
          <cell r="P11"/>
          <cell r="X11">
            <v>9</v>
          </cell>
          <cell r="Y11" t="str">
            <v>F/P</v>
          </cell>
          <cell r="Z11" t="str">
            <v>PP bonne 2 coupes</v>
          </cell>
          <cell r="AA11" t="str">
            <v>PP</v>
          </cell>
        </row>
        <row r="12">
          <cell r="A12">
            <v>10</v>
          </cell>
          <cell r="B12" t="str">
            <v>P</v>
          </cell>
          <cell r="C12" t="str">
            <v>PP bonne</v>
          </cell>
          <cell r="D12" t="str">
            <v xml:space="preserve">zone 4 </v>
          </cell>
          <cell r="E12">
            <v>4.601</v>
          </cell>
          <cell r="F12">
            <v>1.498</v>
          </cell>
          <cell r="G12">
            <v>2.3540000000000005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8.4530000000000012</v>
          </cell>
          <cell r="M12">
            <v>0</v>
          </cell>
          <cell r="N12"/>
          <cell r="O12"/>
          <cell r="P12"/>
          <cell r="X12">
            <v>10</v>
          </cell>
          <cell r="Y12" t="str">
            <v>P</v>
          </cell>
          <cell r="Z12" t="str">
            <v>PP bonne</v>
          </cell>
          <cell r="AA12" t="str">
            <v>PP</v>
          </cell>
        </row>
        <row r="13">
          <cell r="A13">
            <v>11</v>
          </cell>
          <cell r="B13" t="str">
            <v>F</v>
          </cell>
          <cell r="C13" t="str">
            <v>PP bonne 2 coupes</v>
          </cell>
          <cell r="D13" t="str">
            <v xml:space="preserve">zone 4 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5.8850000000000007</v>
          </cell>
          <cell r="L13">
            <v>5.8850000000000007</v>
          </cell>
          <cell r="M13">
            <v>2</v>
          </cell>
          <cell r="N13"/>
          <cell r="O13"/>
          <cell r="P13"/>
          <cell r="Q13"/>
          <cell r="X13">
            <v>11</v>
          </cell>
          <cell r="Y13" t="str">
            <v>F</v>
          </cell>
          <cell r="Z13" t="str">
            <v>PP bonne 2 coupes</v>
          </cell>
          <cell r="AA13" t="str">
            <v>PP</v>
          </cell>
        </row>
        <row r="14">
          <cell r="A14">
            <v>12</v>
          </cell>
          <cell r="B14" t="str">
            <v>P</v>
          </cell>
          <cell r="C14" t="str">
            <v xml:space="preserve">dérobé pâturé </v>
          </cell>
          <cell r="D14" t="str">
            <v>zone 3</v>
          </cell>
          <cell r="E14">
            <v>1</v>
          </cell>
          <cell r="F14">
            <v>0</v>
          </cell>
          <cell r="G14">
            <v>3</v>
          </cell>
          <cell r="H14"/>
          <cell r="I14"/>
          <cell r="J14"/>
          <cell r="K14">
            <v>0</v>
          </cell>
          <cell r="L14">
            <v>4</v>
          </cell>
          <cell r="M14">
            <v>0</v>
          </cell>
          <cell r="N14">
            <v>1</v>
          </cell>
          <cell r="O14"/>
          <cell r="P14"/>
          <cell r="X14">
            <v>12</v>
          </cell>
          <cell r="Y14" t="str">
            <v>P</v>
          </cell>
          <cell r="Z14" t="str">
            <v xml:space="preserve">dérobé pâturé </v>
          </cell>
          <cell r="AA14" t="str">
            <v>dérobé</v>
          </cell>
        </row>
        <row r="15">
          <cell r="A15">
            <v>13</v>
          </cell>
          <cell r="B15" t="str">
            <v>F/P</v>
          </cell>
          <cell r="C15" t="str">
            <v>PP bonne 2 coupes</v>
          </cell>
          <cell r="D15" t="str">
            <v>zone 1</v>
          </cell>
          <cell r="E15">
            <v>0.85600000000000009</v>
          </cell>
          <cell r="F15">
            <v>0</v>
          </cell>
          <cell r="G15">
            <v>0.77040000000000008</v>
          </cell>
          <cell r="H15">
            <v>0.19260000000000002</v>
          </cell>
          <cell r="I15">
            <v>0.96300000000000008</v>
          </cell>
          <cell r="J15">
            <v>0</v>
          </cell>
          <cell r="K15">
            <v>4.9112999999999998</v>
          </cell>
          <cell r="L15">
            <v>7.6933000000000007</v>
          </cell>
          <cell r="M15">
            <v>2</v>
          </cell>
          <cell r="N15"/>
          <cell r="O15"/>
          <cell r="P15"/>
          <cell r="X15">
            <v>13</v>
          </cell>
          <cell r="Y15" t="str">
            <v>F/P</v>
          </cell>
          <cell r="Z15" t="str">
            <v>PP bonne 2 coupes</v>
          </cell>
          <cell r="AA15" t="str">
            <v>PP</v>
          </cell>
        </row>
        <row r="16">
          <cell r="A16">
            <v>14</v>
          </cell>
          <cell r="B16" t="str">
            <v>P</v>
          </cell>
          <cell r="C16" t="str">
            <v>PP bonne</v>
          </cell>
          <cell r="D16" t="str">
            <v>zone 1</v>
          </cell>
          <cell r="E16">
            <v>3.6808000000000001</v>
          </cell>
          <cell r="F16">
            <v>1.4231</v>
          </cell>
          <cell r="G16">
            <v>0.8474400000000003</v>
          </cell>
          <cell r="H16">
            <v>0.21186000000000008</v>
          </cell>
          <cell r="I16">
            <v>1.0593000000000004</v>
          </cell>
          <cell r="J16">
            <v>0</v>
          </cell>
          <cell r="K16">
            <v>0</v>
          </cell>
          <cell r="L16">
            <v>7.222500000000001</v>
          </cell>
          <cell r="M16">
            <v>0</v>
          </cell>
          <cell r="N16"/>
          <cell r="O16"/>
          <cell r="P16"/>
          <cell r="X16">
            <v>14</v>
          </cell>
          <cell r="Y16" t="str">
            <v>P</v>
          </cell>
          <cell r="Z16" t="str">
            <v>PP bonne</v>
          </cell>
          <cell r="AA16" t="str">
            <v>PP</v>
          </cell>
        </row>
        <row r="17">
          <cell r="A17">
            <v>15</v>
          </cell>
          <cell r="B17" t="str">
            <v>F</v>
          </cell>
          <cell r="C17" t="str">
            <v xml:space="preserve">PP bonne 2 coupes </v>
          </cell>
          <cell r="D17" t="str">
            <v>zone 1</v>
          </cell>
          <cell r="E17"/>
          <cell r="F17"/>
          <cell r="G17"/>
          <cell r="H17"/>
          <cell r="I17"/>
          <cell r="J17"/>
          <cell r="K17">
            <v>5.2965000000000009</v>
          </cell>
          <cell r="L17">
            <v>5.2965000000000009</v>
          </cell>
          <cell r="M17">
            <v>2</v>
          </cell>
          <cell r="N17"/>
          <cell r="O17"/>
          <cell r="P17"/>
          <cell r="X17">
            <v>15</v>
          </cell>
          <cell r="Y17" t="str">
            <v>F</v>
          </cell>
          <cell r="Z17" t="str">
            <v xml:space="preserve">PP bonne 2 coupes </v>
          </cell>
          <cell r="AA17" t="str">
            <v>PP</v>
          </cell>
        </row>
        <row r="18">
          <cell r="A18">
            <v>16</v>
          </cell>
          <cell r="B18" t="str">
            <v>P</v>
          </cell>
          <cell r="C18" t="str">
            <v xml:space="preserve">dérobé pâturé </v>
          </cell>
          <cell r="D18" t="str">
            <v>zone 1</v>
          </cell>
          <cell r="E18">
            <v>2</v>
          </cell>
          <cell r="F18">
            <v>0</v>
          </cell>
          <cell r="G18">
            <v>0</v>
          </cell>
          <cell r="H18">
            <v>1</v>
          </cell>
          <cell r="I18">
            <v>1</v>
          </cell>
          <cell r="J18"/>
          <cell r="K18">
            <v>0</v>
          </cell>
          <cell r="L18">
            <v>4</v>
          </cell>
          <cell r="M18">
            <v>0</v>
          </cell>
          <cell r="N18">
            <v>1</v>
          </cell>
          <cell r="O18"/>
          <cell r="P18"/>
          <cell r="X18">
            <v>16</v>
          </cell>
          <cell r="Y18" t="str">
            <v>P</v>
          </cell>
          <cell r="Z18" t="str">
            <v xml:space="preserve">dérobé pâturé </v>
          </cell>
          <cell r="AA18" t="str">
            <v>dérobé</v>
          </cell>
        </row>
        <row r="19">
          <cell r="A19">
            <v>17</v>
          </cell>
          <cell r="B19" t="str">
            <v>P</v>
          </cell>
          <cell r="C19" t="str">
            <v>landes privées</v>
          </cell>
          <cell r="D19" t="str">
            <v>zone 1</v>
          </cell>
          <cell r="E19">
            <v>0.5</v>
          </cell>
          <cell r="F19">
            <v>0.25</v>
          </cell>
          <cell r="G19">
            <v>0.3</v>
          </cell>
          <cell r="H19">
            <v>0.22</v>
          </cell>
          <cell r="I19">
            <v>0.22</v>
          </cell>
          <cell r="J19"/>
          <cell r="K19">
            <v>0</v>
          </cell>
          <cell r="L19">
            <v>1.49</v>
          </cell>
          <cell r="M19">
            <v>0</v>
          </cell>
          <cell r="N19"/>
          <cell r="O19"/>
          <cell r="P19"/>
          <cell r="X19">
            <v>17</v>
          </cell>
          <cell r="Y19" t="str">
            <v>P</v>
          </cell>
          <cell r="Z19" t="str">
            <v>landes privées</v>
          </cell>
          <cell r="AA19" t="str">
            <v>lande</v>
          </cell>
        </row>
        <row r="20">
          <cell r="A20">
            <v>19</v>
          </cell>
          <cell r="B20" t="str">
            <v>P</v>
          </cell>
          <cell r="C20" t="str">
            <v>lande privée</v>
          </cell>
          <cell r="D20" t="str">
            <v>zone 4</v>
          </cell>
          <cell r="E20">
            <v>0.5</v>
          </cell>
          <cell r="F20">
            <v>0.25</v>
          </cell>
          <cell r="G20">
            <v>0.75</v>
          </cell>
          <cell r="H20"/>
          <cell r="I20"/>
          <cell r="J20"/>
          <cell r="K20">
            <v>0</v>
          </cell>
          <cell r="L20">
            <v>1.5</v>
          </cell>
          <cell r="M20">
            <v>0</v>
          </cell>
          <cell r="N20"/>
          <cell r="O20"/>
          <cell r="P20"/>
          <cell r="X20">
            <v>19</v>
          </cell>
          <cell r="Y20" t="str">
            <v>P</v>
          </cell>
          <cell r="Z20" t="str">
            <v>lande privée</v>
          </cell>
          <cell r="AA20" t="str">
            <v>lande</v>
          </cell>
        </row>
        <row r="21">
          <cell r="A21">
            <v>21</v>
          </cell>
          <cell r="B21" t="str">
            <v>P</v>
          </cell>
          <cell r="C21" t="str">
            <v xml:space="preserve">trèfle violet </v>
          </cell>
          <cell r="D21" t="str">
            <v xml:space="preserve">zone 4 </v>
          </cell>
          <cell r="E21" t="str">
            <v>?</v>
          </cell>
          <cell r="F21" t="str">
            <v>?</v>
          </cell>
          <cell r="G21" t="str">
            <v>?</v>
          </cell>
          <cell r="H21"/>
          <cell r="I21"/>
          <cell r="J21"/>
          <cell r="K21">
            <v>0</v>
          </cell>
          <cell r="L21">
            <v>0</v>
          </cell>
          <cell r="M21">
            <v>0</v>
          </cell>
          <cell r="N21"/>
          <cell r="O21">
            <v>1</v>
          </cell>
          <cell r="P21">
            <v>1</v>
          </cell>
          <cell r="Q21" t="str">
            <v>existe pas</v>
          </cell>
          <cell r="X21">
            <v>21</v>
          </cell>
          <cell r="Y21" t="str">
            <v>P</v>
          </cell>
          <cell r="Z21" t="str">
            <v xml:space="preserve">trèfle violet </v>
          </cell>
          <cell r="AA21" t="str">
            <v>PT</v>
          </cell>
        </row>
        <row r="22">
          <cell r="A22">
            <v>23</v>
          </cell>
          <cell r="B22" t="str">
            <v>P</v>
          </cell>
          <cell r="C22" t="str">
            <v>PT</v>
          </cell>
          <cell r="D22" t="str">
            <v>zone 1</v>
          </cell>
          <cell r="E22">
            <v>3.8520000000000003</v>
          </cell>
          <cell r="F22">
            <v>1.4231</v>
          </cell>
          <cell r="G22">
            <v>1.0015200000000002</v>
          </cell>
          <cell r="H22">
            <v>0.25038000000000005</v>
          </cell>
          <cell r="I22">
            <v>1.2519000000000002</v>
          </cell>
          <cell r="J22">
            <v>0</v>
          </cell>
          <cell r="K22">
            <v>0</v>
          </cell>
          <cell r="L22">
            <v>7.7789000000000001</v>
          </cell>
          <cell r="M22">
            <v>0</v>
          </cell>
          <cell r="N22"/>
          <cell r="O22"/>
          <cell r="P22">
            <v>1</v>
          </cell>
          <cell r="X22">
            <v>23</v>
          </cell>
          <cell r="Y22" t="str">
            <v>P</v>
          </cell>
          <cell r="Z22" t="str">
            <v>PT</v>
          </cell>
          <cell r="AA22" t="str">
            <v>PT</v>
          </cell>
        </row>
        <row r="23">
          <cell r="A23">
            <v>24</v>
          </cell>
          <cell r="B23" t="str">
            <v>P</v>
          </cell>
          <cell r="C23" t="str">
            <v>PT</v>
          </cell>
          <cell r="D23" t="str">
            <v>zone 2</v>
          </cell>
          <cell r="E23">
            <v>3.8520000000000003</v>
          </cell>
          <cell r="F23">
            <v>1.4231</v>
          </cell>
          <cell r="G23">
            <v>1.0015200000000002</v>
          </cell>
          <cell r="H23">
            <v>0.1</v>
          </cell>
          <cell r="I23">
            <v>0.82625400000000015</v>
          </cell>
          <cell r="J23">
            <v>0</v>
          </cell>
          <cell r="K23">
            <v>0</v>
          </cell>
          <cell r="L23">
            <v>7.2028740000000004</v>
          </cell>
          <cell r="M23">
            <v>0</v>
          </cell>
          <cell r="N23"/>
          <cell r="O23"/>
          <cell r="P23">
            <v>1</v>
          </cell>
          <cell r="X23">
            <v>24</v>
          </cell>
          <cell r="Y23" t="str">
            <v>P</v>
          </cell>
          <cell r="Z23" t="str">
            <v>PT</v>
          </cell>
          <cell r="AA23" t="str">
            <v>PT</v>
          </cell>
        </row>
        <row r="24">
          <cell r="A24">
            <v>25</v>
          </cell>
          <cell r="B24" t="str">
            <v>P</v>
          </cell>
          <cell r="C24" t="str">
            <v xml:space="preserve">PT  </v>
          </cell>
          <cell r="D24" t="str">
            <v>zone 3</v>
          </cell>
          <cell r="E24">
            <v>4.8150000000000004</v>
          </cell>
          <cell r="F24">
            <v>1.498</v>
          </cell>
          <cell r="G24">
            <v>2.7820000000000005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9.0950000000000006</v>
          </cell>
          <cell r="M24">
            <v>0</v>
          </cell>
          <cell r="N24"/>
          <cell r="O24"/>
          <cell r="P24">
            <v>1</v>
          </cell>
          <cell r="X24">
            <v>25</v>
          </cell>
          <cell r="Y24" t="str">
            <v>P</v>
          </cell>
          <cell r="Z24" t="str">
            <v xml:space="preserve">PT  </v>
          </cell>
          <cell r="AA24" t="str">
            <v>PT</v>
          </cell>
        </row>
        <row r="25">
          <cell r="A25">
            <v>26</v>
          </cell>
          <cell r="B25" t="str">
            <v>P</v>
          </cell>
          <cell r="C25" t="str">
            <v>PT</v>
          </cell>
          <cell r="D25" t="str">
            <v>zone 4</v>
          </cell>
          <cell r="E25">
            <v>4.8150000000000004</v>
          </cell>
          <cell r="F25">
            <v>1.498</v>
          </cell>
          <cell r="G25">
            <v>2.7820000000000005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9.0950000000000006</v>
          </cell>
          <cell r="M25">
            <v>0</v>
          </cell>
          <cell r="N25"/>
          <cell r="O25"/>
          <cell r="P25">
            <v>1</v>
          </cell>
          <cell r="X25">
            <v>26</v>
          </cell>
          <cell r="Y25" t="str">
            <v>P</v>
          </cell>
          <cell r="Z25" t="str">
            <v>PT</v>
          </cell>
          <cell r="AA25" t="str">
            <v>PT</v>
          </cell>
        </row>
        <row r="26">
          <cell r="A26">
            <v>27</v>
          </cell>
          <cell r="B26" t="str">
            <v>P</v>
          </cell>
          <cell r="C26" t="str">
            <v>PT</v>
          </cell>
          <cell r="D26" t="str">
            <v>zone 5</v>
          </cell>
          <cell r="E26">
            <v>4.8150000000000004</v>
          </cell>
          <cell r="F26">
            <v>1.498</v>
          </cell>
          <cell r="G26">
            <v>2.7820000000000005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9.0950000000000006</v>
          </cell>
          <cell r="M26">
            <v>0</v>
          </cell>
          <cell r="N26"/>
          <cell r="O26"/>
          <cell r="P26">
            <v>1</v>
          </cell>
          <cell r="X26">
            <v>27</v>
          </cell>
          <cell r="Y26" t="str">
            <v>P</v>
          </cell>
          <cell r="Z26" t="str">
            <v>PT</v>
          </cell>
          <cell r="AA26" t="str">
            <v>PT</v>
          </cell>
        </row>
        <row r="27">
          <cell r="A27">
            <v>28</v>
          </cell>
          <cell r="B27" t="str">
            <v>F/P</v>
          </cell>
          <cell r="C27" t="str">
            <v>PT 2 coupes</v>
          </cell>
          <cell r="D27" t="str">
            <v>zone 1</v>
          </cell>
          <cell r="E27">
            <v>0.85600000000000009</v>
          </cell>
          <cell r="F27">
            <v>0</v>
          </cell>
          <cell r="G27">
            <v>0.88596000000000008</v>
          </cell>
          <cell r="H27">
            <v>0.22149000000000002</v>
          </cell>
          <cell r="I27">
            <v>1.10745</v>
          </cell>
          <cell r="J27">
            <v>0</v>
          </cell>
          <cell r="K27">
            <v>5.3928000000000003</v>
          </cell>
          <cell r="L27">
            <v>8.4636999999999993</v>
          </cell>
          <cell r="M27">
            <v>2</v>
          </cell>
          <cell r="N27"/>
          <cell r="O27"/>
          <cell r="P27">
            <v>1</v>
          </cell>
          <cell r="X27">
            <v>28</v>
          </cell>
          <cell r="Y27" t="str">
            <v>F/P</v>
          </cell>
          <cell r="Z27" t="str">
            <v>PT 2 coupes</v>
          </cell>
          <cell r="AA27" t="str">
            <v>PT</v>
          </cell>
        </row>
        <row r="28">
          <cell r="A28">
            <v>29</v>
          </cell>
          <cell r="B28" t="str">
            <v>F/P</v>
          </cell>
          <cell r="C28" t="str">
            <v>PT 2 coupes</v>
          </cell>
          <cell r="D28" t="str">
            <v>zone 2</v>
          </cell>
          <cell r="E28">
            <v>0.85600000000000009</v>
          </cell>
          <cell r="F28">
            <v>0</v>
          </cell>
          <cell r="G28">
            <v>0.88596000000000008</v>
          </cell>
          <cell r="H28">
            <v>0.1</v>
          </cell>
          <cell r="I28">
            <v>0.73091700000000004</v>
          </cell>
          <cell r="J28">
            <v>0</v>
          </cell>
          <cell r="K28">
            <v>5.3928000000000003</v>
          </cell>
          <cell r="L28">
            <v>7.9656770000000003</v>
          </cell>
          <cell r="M28">
            <v>2</v>
          </cell>
          <cell r="N28"/>
          <cell r="O28"/>
          <cell r="P28">
            <v>1</v>
          </cell>
          <cell r="X28">
            <v>29</v>
          </cell>
          <cell r="Y28" t="str">
            <v>F/P</v>
          </cell>
          <cell r="Z28" t="str">
            <v>PT 2 coupes</v>
          </cell>
          <cell r="AA28" t="str">
            <v>PT</v>
          </cell>
        </row>
        <row r="29">
          <cell r="A29">
            <v>30</v>
          </cell>
          <cell r="B29" t="str">
            <v>F/P</v>
          </cell>
          <cell r="C29" t="str">
            <v>PT 2 coupes</v>
          </cell>
          <cell r="D29" t="str">
            <v>zone 3</v>
          </cell>
          <cell r="E29">
            <v>1.07</v>
          </cell>
          <cell r="F29">
            <v>0</v>
          </cell>
          <cell r="G29">
            <v>2.4609999999999999</v>
          </cell>
          <cell r="H29">
            <v>0</v>
          </cell>
          <cell r="I29">
            <v>0</v>
          </cell>
          <cell r="J29">
            <v>0</v>
          </cell>
          <cell r="K29">
            <v>5.992</v>
          </cell>
          <cell r="L29">
            <v>9.5229999999999997</v>
          </cell>
          <cell r="M29">
            <v>2</v>
          </cell>
          <cell r="N29"/>
          <cell r="O29"/>
          <cell r="P29">
            <v>1</v>
          </cell>
          <cell r="Q29" t="str">
            <v>topoPTR64-65</v>
          </cell>
          <cell r="X29">
            <v>30</v>
          </cell>
          <cell r="Y29" t="str">
            <v>F/P</v>
          </cell>
          <cell r="Z29" t="str">
            <v>PT 2 coupes</v>
          </cell>
          <cell r="AA29" t="str">
            <v>PT</v>
          </cell>
        </row>
        <row r="30">
          <cell r="A30">
            <v>31</v>
          </cell>
          <cell r="B30" t="str">
            <v>F/P</v>
          </cell>
          <cell r="C30" t="str">
            <v>PT 2 coupes</v>
          </cell>
          <cell r="D30" t="str">
            <v>zone 4</v>
          </cell>
          <cell r="E30">
            <v>1.07</v>
          </cell>
          <cell r="F30">
            <v>0</v>
          </cell>
          <cell r="G30">
            <v>2.4609999999999999</v>
          </cell>
          <cell r="H30">
            <v>0</v>
          </cell>
          <cell r="I30">
            <v>0</v>
          </cell>
          <cell r="J30">
            <v>0</v>
          </cell>
          <cell r="K30">
            <v>5.992</v>
          </cell>
          <cell r="L30">
            <v>9.5229999999999997</v>
          </cell>
          <cell r="M30">
            <v>2</v>
          </cell>
          <cell r="N30"/>
          <cell r="O30"/>
          <cell r="P30">
            <v>1</v>
          </cell>
          <cell r="X30">
            <v>31</v>
          </cell>
          <cell r="Y30" t="str">
            <v>F/P</v>
          </cell>
          <cell r="Z30" t="str">
            <v>PT 2 coupes</v>
          </cell>
          <cell r="AA30" t="str">
            <v>PT</v>
          </cell>
        </row>
        <row r="31">
          <cell r="A31">
            <v>32</v>
          </cell>
          <cell r="B31" t="str">
            <v>F/P</v>
          </cell>
          <cell r="C31" t="str">
            <v>PT 2 coupes</v>
          </cell>
          <cell r="D31" t="str">
            <v>zone 5</v>
          </cell>
          <cell r="E31">
            <v>1.07</v>
          </cell>
          <cell r="F31">
            <v>0</v>
          </cell>
          <cell r="G31">
            <v>2.4609999999999999</v>
          </cell>
          <cell r="H31">
            <v>0</v>
          </cell>
          <cell r="I31">
            <v>0</v>
          </cell>
          <cell r="J31">
            <v>0</v>
          </cell>
          <cell r="K31">
            <v>5.992</v>
          </cell>
          <cell r="L31">
            <v>9.5229999999999997</v>
          </cell>
          <cell r="M31">
            <v>2</v>
          </cell>
          <cell r="N31"/>
          <cell r="O31"/>
          <cell r="P31">
            <v>1</v>
          </cell>
          <cell r="Q31" t="str">
            <v>topoPTR64-65</v>
          </cell>
          <cell r="X31">
            <v>32</v>
          </cell>
          <cell r="Y31" t="str">
            <v>F/P</v>
          </cell>
          <cell r="Z31" t="str">
            <v>PT 2 coupes</v>
          </cell>
          <cell r="AA31" t="str">
            <v>PT</v>
          </cell>
        </row>
        <row r="32">
          <cell r="A32">
            <v>33</v>
          </cell>
          <cell r="B32" t="str">
            <v>F</v>
          </cell>
          <cell r="C32" t="str">
            <v xml:space="preserve">dérobé fauché </v>
          </cell>
          <cell r="D32" t="str">
            <v xml:space="preserve">zone 5 </v>
          </cell>
          <cell r="E32">
            <v>0</v>
          </cell>
          <cell r="F32">
            <v>0</v>
          </cell>
          <cell r="G32">
            <v>0</v>
          </cell>
          <cell r="H32"/>
          <cell r="I32"/>
          <cell r="J32"/>
          <cell r="K32">
            <v>4</v>
          </cell>
          <cell r="L32">
            <v>4</v>
          </cell>
          <cell r="M32">
            <v>1</v>
          </cell>
          <cell r="N32">
            <v>1</v>
          </cell>
          <cell r="O32"/>
          <cell r="P32"/>
          <cell r="X32">
            <v>33</v>
          </cell>
          <cell r="Y32" t="str">
            <v>F</v>
          </cell>
          <cell r="Z32" t="str">
            <v xml:space="preserve">dérobé fauché </v>
          </cell>
          <cell r="AA32" t="str">
            <v>dérobé</v>
          </cell>
        </row>
        <row r="33">
          <cell r="A33">
            <v>34</v>
          </cell>
          <cell r="B33" t="str">
            <v>F</v>
          </cell>
          <cell r="C33" t="str">
            <v>PT 2 coupes</v>
          </cell>
          <cell r="D33" t="str">
            <v xml:space="preserve">zone 5 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6.6340000000000003</v>
          </cell>
          <cell r="L33">
            <v>6.6340000000000003</v>
          </cell>
          <cell r="M33">
            <v>2</v>
          </cell>
          <cell r="N33"/>
          <cell r="O33"/>
          <cell r="P33">
            <v>1</v>
          </cell>
          <cell r="Q33"/>
          <cell r="X33">
            <v>34</v>
          </cell>
          <cell r="Y33" t="str">
            <v>F</v>
          </cell>
          <cell r="Z33" t="str">
            <v>PT 2 coupes</v>
          </cell>
          <cell r="AA33" t="str">
            <v>PT</v>
          </cell>
        </row>
        <row r="34">
          <cell r="A34">
            <v>35</v>
          </cell>
          <cell r="B34" t="str">
            <v>F</v>
          </cell>
          <cell r="C34" t="str">
            <v>méteil fauché/dérobé (vesce tritical pois)</v>
          </cell>
          <cell r="D34" t="str">
            <v xml:space="preserve">zone 5 </v>
          </cell>
          <cell r="E34">
            <v>0</v>
          </cell>
          <cell r="F34">
            <v>0</v>
          </cell>
          <cell r="G34">
            <v>0</v>
          </cell>
          <cell r="H34"/>
          <cell r="I34"/>
          <cell r="J34"/>
          <cell r="K34">
            <v>7</v>
          </cell>
          <cell r="L34">
            <v>7</v>
          </cell>
          <cell r="M34">
            <v>1</v>
          </cell>
          <cell r="N34"/>
          <cell r="O34"/>
          <cell r="P34">
            <v>1</v>
          </cell>
          <cell r="Q34"/>
          <cell r="X34">
            <v>35</v>
          </cell>
          <cell r="Y34" t="str">
            <v>F</v>
          </cell>
          <cell r="Z34" t="str">
            <v>méteil fauché/dérobé (vesce tritical pois)</v>
          </cell>
          <cell r="AA34" t="str">
            <v>culture</v>
          </cell>
        </row>
        <row r="35">
          <cell r="A35">
            <v>36</v>
          </cell>
          <cell r="B35" t="str">
            <v>F</v>
          </cell>
          <cell r="C35" t="str">
            <v>PP bonne 2 coupes</v>
          </cell>
          <cell r="D35" t="str">
            <v xml:space="preserve">zone 5 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5.8850000000000007</v>
          </cell>
          <cell r="L35">
            <v>5.8850000000000007</v>
          </cell>
          <cell r="M35">
            <v>2</v>
          </cell>
          <cell r="N35"/>
          <cell r="O35"/>
          <cell r="P35"/>
          <cell r="X35">
            <v>36</v>
          </cell>
          <cell r="Y35" t="str">
            <v>F</v>
          </cell>
          <cell r="Z35" t="str">
            <v>PP bonne 2 coupes</v>
          </cell>
          <cell r="AA35" t="str">
            <v>PP</v>
          </cell>
        </row>
        <row r="36">
          <cell r="A36">
            <v>37</v>
          </cell>
          <cell r="B36" t="str">
            <v>F/P</v>
          </cell>
          <cell r="C36" t="str">
            <v>PP bonne 2 coupes</v>
          </cell>
          <cell r="D36" t="str">
            <v xml:space="preserve">zone 5 </v>
          </cell>
          <cell r="E36">
            <v>1.07</v>
          </cell>
          <cell r="F36">
            <v>0</v>
          </cell>
          <cell r="G36">
            <v>2.14</v>
          </cell>
          <cell r="H36">
            <v>0</v>
          </cell>
          <cell r="I36">
            <v>0</v>
          </cell>
          <cell r="J36">
            <v>0</v>
          </cell>
          <cell r="K36">
            <v>5.4569999999999999</v>
          </cell>
          <cell r="L36">
            <v>8.6669999999999998</v>
          </cell>
          <cell r="M36">
            <v>2</v>
          </cell>
          <cell r="N36"/>
          <cell r="O36"/>
          <cell r="P36"/>
          <cell r="X36">
            <v>37</v>
          </cell>
          <cell r="Y36" t="str">
            <v>F/P</v>
          </cell>
          <cell r="Z36" t="str">
            <v>PP bonne 2 coupes</v>
          </cell>
          <cell r="AA36" t="str">
            <v>PP</v>
          </cell>
        </row>
        <row r="37">
          <cell r="A37">
            <v>38</v>
          </cell>
          <cell r="B37" t="str">
            <v>P</v>
          </cell>
          <cell r="C37" t="str">
            <v>PP bonne</v>
          </cell>
          <cell r="D37" t="str">
            <v xml:space="preserve">zone 5 </v>
          </cell>
          <cell r="E37">
            <v>4.601</v>
          </cell>
          <cell r="F37">
            <v>1.498</v>
          </cell>
          <cell r="G37">
            <v>2.3540000000000005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8.4530000000000012</v>
          </cell>
          <cell r="M37">
            <v>0</v>
          </cell>
          <cell r="N37"/>
          <cell r="O37"/>
          <cell r="P37"/>
          <cell r="X37">
            <v>38</v>
          </cell>
          <cell r="Y37" t="str">
            <v>P</v>
          </cell>
          <cell r="Z37" t="str">
            <v>PP bonne</v>
          </cell>
          <cell r="AA37" t="str">
            <v>PP</v>
          </cell>
        </row>
        <row r="38">
          <cell r="A38">
            <v>39</v>
          </cell>
          <cell r="B38" t="str">
            <v>P</v>
          </cell>
          <cell r="C38" t="str">
            <v xml:space="preserve">dérobé pâturé </v>
          </cell>
          <cell r="D38" t="str">
            <v xml:space="preserve">zone 5 </v>
          </cell>
          <cell r="E38">
            <v>1</v>
          </cell>
          <cell r="F38">
            <v>0</v>
          </cell>
          <cell r="G38">
            <v>3</v>
          </cell>
          <cell r="H38"/>
          <cell r="I38"/>
          <cell r="J38"/>
          <cell r="K38">
            <v>0</v>
          </cell>
          <cell r="L38">
            <v>4</v>
          </cell>
          <cell r="M38">
            <v>0</v>
          </cell>
          <cell r="N38">
            <v>1</v>
          </cell>
          <cell r="O38"/>
          <cell r="P38"/>
          <cell r="Q38"/>
          <cell r="X38">
            <v>39</v>
          </cell>
          <cell r="Y38" t="str">
            <v>P</v>
          </cell>
          <cell r="Z38" t="str">
            <v xml:space="preserve">dérobé pâturé </v>
          </cell>
          <cell r="AA38" t="str">
            <v>dérobé</v>
          </cell>
        </row>
        <row r="39">
          <cell r="A39">
            <v>41</v>
          </cell>
          <cell r="B39" t="str">
            <v>P</v>
          </cell>
          <cell r="C39" t="str">
            <v>bois pâturé</v>
          </cell>
          <cell r="D39" t="str">
            <v>zone 1</v>
          </cell>
          <cell r="E39">
            <v>0</v>
          </cell>
          <cell r="F39">
            <v>0.5</v>
          </cell>
          <cell r="G39">
            <v>0.2</v>
          </cell>
          <cell r="H39">
            <v>0.2</v>
          </cell>
          <cell r="I39">
            <v>0.1</v>
          </cell>
          <cell r="J39"/>
          <cell r="K39">
            <v>0</v>
          </cell>
          <cell r="L39">
            <v>0.99999999999999989</v>
          </cell>
          <cell r="M39">
            <v>0</v>
          </cell>
          <cell r="N39"/>
          <cell r="O39"/>
          <cell r="P39"/>
          <cell r="Q39" t="str">
            <v xml:space="preserve">à verif </v>
          </cell>
          <cell r="X39">
            <v>41</v>
          </cell>
          <cell r="Y39" t="str">
            <v>P</v>
          </cell>
          <cell r="Z39" t="str">
            <v>bois pâturé</v>
          </cell>
          <cell r="AA39" t="str">
            <v>bois</v>
          </cell>
        </row>
        <row r="40">
          <cell r="A40">
            <v>42</v>
          </cell>
          <cell r="B40" t="str">
            <v>P</v>
          </cell>
          <cell r="C40" t="str">
            <v>bois pâturé</v>
          </cell>
          <cell r="D40" t="str">
            <v>zone 2</v>
          </cell>
          <cell r="E40">
            <v>0</v>
          </cell>
          <cell r="F40">
            <v>0.5</v>
          </cell>
          <cell r="G40">
            <v>0.25</v>
          </cell>
          <cell r="H40">
            <v>0.25</v>
          </cell>
          <cell r="I40">
            <v>0</v>
          </cell>
          <cell r="J40"/>
          <cell r="K40">
            <v>0</v>
          </cell>
          <cell r="L40">
            <v>1</v>
          </cell>
          <cell r="M40">
            <v>0</v>
          </cell>
          <cell r="N40"/>
          <cell r="O40"/>
          <cell r="P40"/>
          <cell r="Q40" t="str">
            <v>à vérif</v>
          </cell>
          <cell r="R40"/>
          <cell r="X40">
            <v>42</v>
          </cell>
          <cell r="Y40" t="str">
            <v>P</v>
          </cell>
          <cell r="Z40" t="str">
            <v>bois pâturé</v>
          </cell>
          <cell r="AA40" t="str">
            <v>bois</v>
          </cell>
        </row>
        <row r="41">
          <cell r="A41">
            <v>43</v>
          </cell>
          <cell r="B41" t="str">
            <v>P</v>
          </cell>
          <cell r="C41" t="str">
            <v>bois pâturé</v>
          </cell>
          <cell r="D41" t="str">
            <v>zone 3</v>
          </cell>
          <cell r="E41">
            <v>0</v>
          </cell>
          <cell r="F41">
            <v>0.5</v>
          </cell>
          <cell r="G41">
            <v>0.5</v>
          </cell>
          <cell r="H41"/>
          <cell r="I41"/>
          <cell r="J41"/>
          <cell r="K41">
            <v>0</v>
          </cell>
          <cell r="L41">
            <v>1</v>
          </cell>
          <cell r="M41">
            <v>0</v>
          </cell>
          <cell r="N41"/>
          <cell r="O41"/>
          <cell r="P41"/>
          <cell r="Q41" t="str">
            <v xml:space="preserve">à vérif </v>
          </cell>
          <cell r="X41">
            <v>43</v>
          </cell>
          <cell r="Y41" t="str">
            <v>P</v>
          </cell>
          <cell r="Z41" t="str">
            <v>bois pâturé</v>
          </cell>
          <cell r="AA41" t="str">
            <v>bois</v>
          </cell>
        </row>
        <row r="42">
          <cell r="A42">
            <v>44</v>
          </cell>
          <cell r="B42" t="str">
            <v>F</v>
          </cell>
          <cell r="C42" t="str">
            <v xml:space="preserve">PT EXCELLENTE 3 COUPES </v>
          </cell>
          <cell r="D42" t="str">
            <v>zone 3</v>
          </cell>
          <cell r="E42">
            <v>0</v>
          </cell>
          <cell r="F42">
            <v>0</v>
          </cell>
          <cell r="G42">
            <v>0</v>
          </cell>
          <cell r="H42"/>
          <cell r="I42"/>
          <cell r="J42"/>
          <cell r="K42">
            <v>10.5</v>
          </cell>
          <cell r="L42">
            <v>10.5</v>
          </cell>
          <cell r="M42">
            <v>3</v>
          </cell>
          <cell r="N42"/>
          <cell r="O42"/>
          <cell r="P42"/>
          <cell r="Q42" t="str">
            <v xml:space="preserve">à vérif </v>
          </cell>
          <cell r="R42"/>
          <cell r="X42">
            <v>44</v>
          </cell>
          <cell r="Y42" t="str">
            <v>P</v>
          </cell>
          <cell r="Z42" t="str">
            <v>bois pâturé</v>
          </cell>
          <cell r="AA42" t="str">
            <v>bois</v>
          </cell>
        </row>
        <row r="43">
          <cell r="A43">
            <v>45</v>
          </cell>
          <cell r="B43" t="str">
            <v>F</v>
          </cell>
          <cell r="C43" t="str">
            <v>PP EXCELLENTES 2 COUPES</v>
          </cell>
          <cell r="D43" t="str">
            <v>zone 3</v>
          </cell>
          <cell r="E43">
            <v>0</v>
          </cell>
          <cell r="F43">
            <v>0</v>
          </cell>
          <cell r="G43">
            <v>0</v>
          </cell>
          <cell r="H43"/>
          <cell r="I43"/>
          <cell r="J43"/>
          <cell r="K43">
            <v>8</v>
          </cell>
          <cell r="L43">
            <v>8</v>
          </cell>
          <cell r="M43">
            <v>2</v>
          </cell>
          <cell r="N43"/>
          <cell r="O43"/>
          <cell r="P43"/>
          <cell r="Q43" t="str">
            <v>à vérif</v>
          </cell>
          <cell r="X43">
            <v>45</v>
          </cell>
          <cell r="Y43" t="str">
            <v>P</v>
          </cell>
          <cell r="Z43" t="str">
            <v>bois pâturé</v>
          </cell>
          <cell r="AA43" t="str">
            <v>bois</v>
          </cell>
        </row>
        <row r="44">
          <cell r="A44">
            <v>46</v>
          </cell>
          <cell r="B44">
            <v>0</v>
          </cell>
          <cell r="C44" t="str">
            <v xml:space="preserve">lande pas utilisée </v>
          </cell>
          <cell r="D44" t="str">
            <v>TOUTES ZONES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/>
          <cell r="O44"/>
          <cell r="P44"/>
          <cell r="X44">
            <v>46</v>
          </cell>
          <cell r="Y44">
            <v>0</v>
          </cell>
          <cell r="Z44" t="str">
            <v xml:space="preserve">lande pas utilisée </v>
          </cell>
          <cell r="AA44" t="str">
            <v>lande</v>
          </cell>
        </row>
        <row r="45">
          <cell r="A45">
            <v>47</v>
          </cell>
          <cell r="B45">
            <v>0</v>
          </cell>
          <cell r="C45" t="str">
            <v>lande litière</v>
          </cell>
          <cell r="D45" t="str">
            <v>TOUTES ZONES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/>
          <cell r="K45">
            <v>0</v>
          </cell>
          <cell r="L45">
            <v>0</v>
          </cell>
          <cell r="M45">
            <v>0</v>
          </cell>
          <cell r="N45"/>
          <cell r="O45"/>
          <cell r="P45"/>
          <cell r="X45">
            <v>47</v>
          </cell>
          <cell r="Y45">
            <v>0</v>
          </cell>
          <cell r="Z45" t="str">
            <v xml:space="preserve">lande pas utilisée </v>
          </cell>
          <cell r="AA45" t="str">
            <v>lande</v>
          </cell>
        </row>
        <row r="46">
          <cell r="A46">
            <v>48</v>
          </cell>
          <cell r="B46" t="str">
            <v>F</v>
          </cell>
          <cell r="C46" t="str">
            <v>PP EXCELLENTE 3C</v>
          </cell>
          <cell r="D46" t="str">
            <v>zone 3</v>
          </cell>
          <cell r="E46">
            <v>0</v>
          </cell>
          <cell r="F46">
            <v>0</v>
          </cell>
          <cell r="G46">
            <v>0</v>
          </cell>
          <cell r="H46"/>
          <cell r="I46"/>
          <cell r="J46"/>
          <cell r="K46">
            <v>9.8000000000000007</v>
          </cell>
          <cell r="L46">
            <v>9.8000000000000007</v>
          </cell>
          <cell r="M46">
            <v>3</v>
          </cell>
          <cell r="N46"/>
          <cell r="O46"/>
          <cell r="P46"/>
          <cell r="X46">
            <v>48</v>
          </cell>
          <cell r="Y46">
            <v>0</v>
          </cell>
          <cell r="Z46" t="str">
            <v xml:space="preserve">lande pas utilisée </v>
          </cell>
          <cell r="AA46" t="str">
            <v>lande</v>
          </cell>
        </row>
        <row r="47">
          <cell r="A47">
            <v>49</v>
          </cell>
          <cell r="B47">
            <v>0</v>
          </cell>
          <cell r="C47" t="str">
            <v>PP EXCELLENTE  1 COUPE ESTIVALE</v>
          </cell>
          <cell r="D47" t="str">
            <v>zone3</v>
          </cell>
          <cell r="E47">
            <v>3.5</v>
          </cell>
          <cell r="F47">
            <v>0</v>
          </cell>
          <cell r="G47">
            <v>3</v>
          </cell>
          <cell r="H47"/>
          <cell r="I47"/>
          <cell r="J47"/>
          <cell r="K47">
            <v>4</v>
          </cell>
          <cell r="L47">
            <v>10.5</v>
          </cell>
          <cell r="M47">
            <v>1</v>
          </cell>
          <cell r="N47"/>
          <cell r="O47"/>
          <cell r="P47"/>
          <cell r="X47">
            <v>49</v>
          </cell>
          <cell r="Y47">
            <v>0</v>
          </cell>
          <cell r="Z47" t="str">
            <v xml:space="preserve">lande pas utilisée </v>
          </cell>
          <cell r="AA47" t="str">
            <v>lande</v>
          </cell>
        </row>
        <row r="48">
          <cell r="A48">
            <v>50</v>
          </cell>
          <cell r="B48">
            <v>0</v>
          </cell>
          <cell r="C48" t="str">
            <v xml:space="preserve">lande pas utilisée </v>
          </cell>
          <cell r="D48" t="str">
            <v>zone 5</v>
          </cell>
          <cell r="E48">
            <v>0</v>
          </cell>
          <cell r="F48">
            <v>0</v>
          </cell>
          <cell r="G48">
            <v>0</v>
          </cell>
          <cell r="H48"/>
          <cell r="I48"/>
          <cell r="J48"/>
          <cell r="K48">
            <v>0</v>
          </cell>
          <cell r="L48">
            <v>0</v>
          </cell>
          <cell r="M48">
            <v>0</v>
          </cell>
          <cell r="N48"/>
          <cell r="O48"/>
          <cell r="P48"/>
          <cell r="X48">
            <v>50</v>
          </cell>
          <cell r="Y48">
            <v>0</v>
          </cell>
          <cell r="Z48" t="str">
            <v xml:space="preserve">lande pas utilisée </v>
          </cell>
          <cell r="AA48" t="str">
            <v>lande</v>
          </cell>
        </row>
        <row r="49">
          <cell r="A49">
            <v>51</v>
          </cell>
          <cell r="B49" t="str">
            <v>F</v>
          </cell>
          <cell r="C49" t="str">
            <v>dérobé ray grass fauché</v>
          </cell>
          <cell r="D49" t="str">
            <v>zone 3</v>
          </cell>
          <cell r="E49">
            <v>0</v>
          </cell>
          <cell r="F49">
            <v>0</v>
          </cell>
          <cell r="G49">
            <v>0</v>
          </cell>
          <cell r="H49"/>
          <cell r="I49"/>
          <cell r="J49"/>
          <cell r="K49">
            <v>4</v>
          </cell>
          <cell r="L49">
            <v>4</v>
          </cell>
          <cell r="M49">
            <v>1</v>
          </cell>
          <cell r="N49">
            <v>1</v>
          </cell>
          <cell r="O49"/>
          <cell r="P49"/>
          <cell r="Q49" t="str">
            <v>topo DER66-67</v>
          </cell>
          <cell r="X49">
            <v>51</v>
          </cell>
          <cell r="Y49" t="str">
            <v>F</v>
          </cell>
          <cell r="Z49" t="str">
            <v>dérobé ray grass fauché</v>
          </cell>
          <cell r="AA49" t="str">
            <v>dérobé</v>
          </cell>
        </row>
        <row r="50">
          <cell r="A50">
            <v>52</v>
          </cell>
          <cell r="B50" t="str">
            <v>P</v>
          </cell>
          <cell r="C50" t="str">
            <v>PP ray grass</v>
          </cell>
          <cell r="D50" t="str">
            <v>zone 3</v>
          </cell>
          <cell r="E50">
            <v>4</v>
          </cell>
          <cell r="F50">
            <v>1.5</v>
          </cell>
          <cell r="G50">
            <v>2.7</v>
          </cell>
          <cell r="H50"/>
          <cell r="I50"/>
          <cell r="J50"/>
          <cell r="K50">
            <v>0</v>
          </cell>
          <cell r="L50">
            <v>8.1999999999999993</v>
          </cell>
          <cell r="M50">
            <v>0</v>
          </cell>
          <cell r="N50"/>
          <cell r="O50"/>
          <cell r="P50"/>
          <cell r="Q50" t="str">
            <v>topoRA/RI38.1</v>
          </cell>
          <cell r="X50">
            <v>52</v>
          </cell>
          <cell r="Y50" t="str">
            <v>P</v>
          </cell>
          <cell r="Z50" t="str">
            <v>PP ray grass</v>
          </cell>
          <cell r="AA50" t="str">
            <v>PP</v>
          </cell>
        </row>
        <row r="51">
          <cell r="A51">
            <v>53</v>
          </cell>
          <cell r="B51" t="str">
            <v>F</v>
          </cell>
          <cell r="C51" t="str">
            <v>PP bonne 3 coupes</v>
          </cell>
          <cell r="D51" t="str">
            <v>zone 1</v>
          </cell>
          <cell r="E51"/>
          <cell r="F51"/>
          <cell r="G51"/>
          <cell r="H51"/>
          <cell r="I51"/>
          <cell r="J51"/>
          <cell r="K51">
            <v>4.8150000000000004</v>
          </cell>
          <cell r="L51">
            <v>4.8150000000000004</v>
          </cell>
          <cell r="M51">
            <v>3</v>
          </cell>
          <cell r="N51"/>
          <cell r="O51"/>
          <cell r="P51"/>
          <cell r="X51">
            <v>53</v>
          </cell>
          <cell r="Y51" t="str">
            <v>F</v>
          </cell>
          <cell r="Z51" t="str">
            <v>PP bonne 3 coupes</v>
          </cell>
          <cell r="AA51" t="str">
            <v>PP</v>
          </cell>
        </row>
        <row r="52">
          <cell r="A52">
            <v>54</v>
          </cell>
          <cell r="B52" t="str">
            <v>F</v>
          </cell>
          <cell r="C52" t="str">
            <v>PP bonne 3 coupes</v>
          </cell>
          <cell r="D52" t="str">
            <v>zone 2</v>
          </cell>
          <cell r="E52"/>
          <cell r="F52"/>
          <cell r="G52"/>
          <cell r="H52"/>
          <cell r="I52"/>
          <cell r="J52"/>
          <cell r="K52">
            <v>4.4940000000000007</v>
          </cell>
          <cell r="L52">
            <v>4.4940000000000007</v>
          </cell>
          <cell r="M52">
            <v>3</v>
          </cell>
          <cell r="N52"/>
          <cell r="O52"/>
          <cell r="P52"/>
          <cell r="X52">
            <v>54</v>
          </cell>
          <cell r="Y52" t="str">
            <v>F</v>
          </cell>
          <cell r="Z52" t="str">
            <v>PP bonne 3 coupes</v>
          </cell>
          <cell r="AA52" t="str">
            <v>PP</v>
          </cell>
        </row>
        <row r="53">
          <cell r="A53">
            <v>55</v>
          </cell>
          <cell r="B53" t="str">
            <v>F</v>
          </cell>
          <cell r="C53" t="str">
            <v xml:space="preserve">PP bonne 3 coupes </v>
          </cell>
          <cell r="D53" t="str">
            <v>zone 3</v>
          </cell>
          <cell r="E53"/>
          <cell r="F53"/>
          <cell r="G53"/>
          <cell r="H53"/>
          <cell r="I53"/>
          <cell r="J53"/>
          <cell r="K53">
            <v>6.9550000000000001</v>
          </cell>
          <cell r="L53">
            <v>6.9550000000000001</v>
          </cell>
          <cell r="M53">
            <v>3</v>
          </cell>
          <cell r="N53"/>
          <cell r="O53"/>
          <cell r="P53"/>
          <cell r="X53">
            <v>55</v>
          </cell>
          <cell r="Y53" t="str">
            <v>F</v>
          </cell>
          <cell r="Z53" t="str">
            <v xml:space="preserve">PP bonne 3 coupes </v>
          </cell>
          <cell r="AA53" t="str">
            <v>PP</v>
          </cell>
        </row>
        <row r="54">
          <cell r="A54">
            <v>56</v>
          </cell>
          <cell r="B54" t="str">
            <v>F</v>
          </cell>
          <cell r="C54" t="str">
            <v>PP MOYENNE 2C</v>
          </cell>
          <cell r="D54" t="str">
            <v>zone 3</v>
          </cell>
          <cell r="E54"/>
          <cell r="F54"/>
          <cell r="G54"/>
          <cell r="H54"/>
          <cell r="I54"/>
          <cell r="J54"/>
          <cell r="K54">
            <v>5</v>
          </cell>
          <cell r="L54">
            <v>5</v>
          </cell>
          <cell r="M54">
            <v>2</v>
          </cell>
          <cell r="N54"/>
          <cell r="O54"/>
          <cell r="P54"/>
          <cell r="X54">
            <v>56</v>
          </cell>
          <cell r="Y54" t="str">
            <v>F</v>
          </cell>
          <cell r="Z54" t="str">
            <v>PP bonne 3 coupes</v>
          </cell>
          <cell r="AA54" t="str">
            <v>PP</v>
          </cell>
        </row>
        <row r="55">
          <cell r="A55">
            <v>57</v>
          </cell>
          <cell r="B55" t="str">
            <v>F</v>
          </cell>
          <cell r="C55" t="str">
            <v>PP BONNE 3 COUPES</v>
          </cell>
          <cell r="D55" t="str">
            <v>zone 3</v>
          </cell>
          <cell r="E55"/>
          <cell r="F55"/>
          <cell r="G55"/>
          <cell r="H55"/>
          <cell r="I55"/>
          <cell r="J55"/>
          <cell r="K55">
            <v>8</v>
          </cell>
          <cell r="L55">
            <v>8</v>
          </cell>
          <cell r="M55">
            <v>3</v>
          </cell>
          <cell r="N55"/>
          <cell r="O55"/>
          <cell r="P55"/>
          <cell r="X55">
            <v>57</v>
          </cell>
          <cell r="Y55" t="str">
            <v>F</v>
          </cell>
          <cell r="Z55" t="str">
            <v>PP bonne 3 coupes</v>
          </cell>
          <cell r="AA55" t="str">
            <v>PP</v>
          </cell>
        </row>
        <row r="56">
          <cell r="A56">
            <v>58</v>
          </cell>
          <cell r="B56" t="str">
            <v>F/P</v>
          </cell>
          <cell r="C56" t="str">
            <v>PP bonne 3 coupes</v>
          </cell>
          <cell r="D56" t="str">
            <v>zone 1</v>
          </cell>
          <cell r="E56">
            <v>0</v>
          </cell>
          <cell r="F56">
            <v>0</v>
          </cell>
          <cell r="G56">
            <v>0.65484000000000009</v>
          </cell>
          <cell r="H56">
            <v>0.16371000000000002</v>
          </cell>
          <cell r="I56">
            <v>0.81855</v>
          </cell>
          <cell r="J56">
            <v>0</v>
          </cell>
          <cell r="K56">
            <v>6.2595000000000001</v>
          </cell>
          <cell r="L56">
            <v>7.8966000000000003</v>
          </cell>
          <cell r="M56">
            <v>3</v>
          </cell>
          <cell r="N56"/>
          <cell r="O56"/>
          <cell r="P56"/>
          <cell r="X56">
            <v>58</v>
          </cell>
          <cell r="Y56" t="str">
            <v>F/P</v>
          </cell>
          <cell r="Z56" t="str">
            <v>PP bonne 3 coupes</v>
          </cell>
          <cell r="AA56" t="str">
            <v>PP</v>
          </cell>
        </row>
        <row r="57">
          <cell r="A57">
            <v>59</v>
          </cell>
          <cell r="B57" t="str">
            <v>F/P</v>
          </cell>
          <cell r="C57" t="str">
            <v>PP bonne 3 coupes</v>
          </cell>
          <cell r="D57" t="str">
            <v>zone 2</v>
          </cell>
          <cell r="E57">
            <v>0</v>
          </cell>
          <cell r="F57">
            <v>0</v>
          </cell>
          <cell r="G57">
            <v>0.65484000000000009</v>
          </cell>
          <cell r="H57">
            <v>0.1</v>
          </cell>
          <cell r="I57">
            <v>0.54024300000000003</v>
          </cell>
          <cell r="J57">
            <v>0</v>
          </cell>
          <cell r="K57">
            <v>6.2595000000000001</v>
          </cell>
          <cell r="L57">
            <v>7.554583</v>
          </cell>
          <cell r="M57">
            <v>3</v>
          </cell>
          <cell r="N57"/>
          <cell r="O57"/>
          <cell r="P57"/>
          <cell r="X57">
            <v>59</v>
          </cell>
          <cell r="Y57" t="str">
            <v>F/P</v>
          </cell>
          <cell r="Z57" t="str">
            <v>PP bonne 3 coupes</v>
          </cell>
          <cell r="AA57" t="str">
            <v>PP</v>
          </cell>
        </row>
        <row r="58">
          <cell r="A58">
            <v>60</v>
          </cell>
          <cell r="B58" t="str">
            <v>F/P</v>
          </cell>
          <cell r="C58" t="str">
            <v>PP bonne 3 coupes</v>
          </cell>
          <cell r="D58" t="str">
            <v>zone 3</v>
          </cell>
          <cell r="E58">
            <v>0</v>
          </cell>
          <cell r="F58">
            <v>0</v>
          </cell>
          <cell r="G58">
            <v>1.819</v>
          </cell>
          <cell r="H58">
            <v>0</v>
          </cell>
          <cell r="I58">
            <v>0</v>
          </cell>
          <cell r="J58">
            <v>0</v>
          </cell>
          <cell r="K58">
            <v>6.9550000000000001</v>
          </cell>
          <cell r="L58">
            <v>8.7740000000000009</v>
          </cell>
          <cell r="M58">
            <v>3</v>
          </cell>
          <cell r="N58"/>
          <cell r="O58"/>
          <cell r="P58"/>
          <cell r="Q58" t="str">
            <v>pâturage idem 1 juste augmenter stock?</v>
          </cell>
          <cell r="X58">
            <v>60</v>
          </cell>
          <cell r="Y58" t="str">
            <v>F/P</v>
          </cell>
          <cell r="Z58" t="str">
            <v>PP bonne 3 coupes</v>
          </cell>
          <cell r="AA58" t="str">
            <v>PP</v>
          </cell>
        </row>
        <row r="59">
          <cell r="A59">
            <v>61</v>
          </cell>
          <cell r="B59" t="str">
            <v>F/P</v>
          </cell>
          <cell r="C59" t="str">
            <v>PP bonne 3 coupes</v>
          </cell>
          <cell r="D59" t="str">
            <v>zone 4</v>
          </cell>
          <cell r="E59">
            <v>0</v>
          </cell>
          <cell r="F59">
            <v>0</v>
          </cell>
          <cell r="G59">
            <v>1.819</v>
          </cell>
          <cell r="H59">
            <v>0</v>
          </cell>
          <cell r="I59">
            <v>0</v>
          </cell>
          <cell r="J59">
            <v>0</v>
          </cell>
          <cell r="K59">
            <v>6.9550000000000001</v>
          </cell>
          <cell r="L59">
            <v>8.7740000000000009</v>
          </cell>
          <cell r="M59">
            <v>3</v>
          </cell>
          <cell r="N59"/>
          <cell r="O59"/>
          <cell r="P59"/>
          <cell r="X59">
            <v>61</v>
          </cell>
          <cell r="Y59" t="str">
            <v>F/P</v>
          </cell>
          <cell r="Z59" t="str">
            <v>PP bonne 3 coupes</v>
          </cell>
          <cell r="AA59" t="str">
            <v>PP</v>
          </cell>
        </row>
        <row r="60">
          <cell r="A60">
            <v>62</v>
          </cell>
          <cell r="B60" t="str">
            <v>F/P</v>
          </cell>
          <cell r="C60" t="str">
            <v>PP bonne 3 coupes</v>
          </cell>
          <cell r="D60" t="str">
            <v>zone 5</v>
          </cell>
          <cell r="E60">
            <v>0</v>
          </cell>
          <cell r="F60">
            <v>0</v>
          </cell>
          <cell r="G60">
            <v>1.819</v>
          </cell>
          <cell r="H60">
            <v>0</v>
          </cell>
          <cell r="I60">
            <v>0</v>
          </cell>
          <cell r="J60">
            <v>0</v>
          </cell>
          <cell r="K60">
            <v>6.9550000000000001</v>
          </cell>
          <cell r="L60">
            <v>8.7740000000000009</v>
          </cell>
          <cell r="M60">
            <v>3</v>
          </cell>
          <cell r="N60"/>
          <cell r="O60"/>
          <cell r="P60"/>
          <cell r="X60">
            <v>62</v>
          </cell>
          <cell r="Y60" t="str">
            <v>F/P</v>
          </cell>
          <cell r="Z60" t="str">
            <v>PP bonne 3 coupes</v>
          </cell>
          <cell r="AA60" t="str">
            <v>PP</v>
          </cell>
        </row>
        <row r="61">
          <cell r="A61">
            <v>63</v>
          </cell>
          <cell r="B61" t="str">
            <v>F</v>
          </cell>
          <cell r="C61" t="str">
            <v>PT 2 coupes</v>
          </cell>
          <cell r="D61" t="str">
            <v>zone 1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5.9706000000000001</v>
          </cell>
          <cell r="L61">
            <v>5.9706000000000001</v>
          </cell>
          <cell r="M61">
            <v>2</v>
          </cell>
          <cell r="N61"/>
          <cell r="O61"/>
          <cell r="P61">
            <v>1</v>
          </cell>
          <cell r="X61">
            <v>63</v>
          </cell>
          <cell r="Y61" t="str">
            <v>F</v>
          </cell>
          <cell r="Z61" t="str">
            <v>PT 2 coupes</v>
          </cell>
          <cell r="AA61" t="str">
            <v>PT</v>
          </cell>
        </row>
        <row r="62">
          <cell r="A62">
            <v>64</v>
          </cell>
          <cell r="B62" t="str">
            <v>F</v>
          </cell>
          <cell r="C62" t="str">
            <v>PT 2 coupes</v>
          </cell>
          <cell r="D62" t="str">
            <v>zone 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5.9706000000000001</v>
          </cell>
          <cell r="L62">
            <v>5.9706000000000001</v>
          </cell>
          <cell r="M62">
            <v>2</v>
          </cell>
          <cell r="N62"/>
          <cell r="O62"/>
          <cell r="P62">
            <v>1</v>
          </cell>
          <cell r="X62">
            <v>64</v>
          </cell>
          <cell r="Y62" t="str">
            <v>F</v>
          </cell>
          <cell r="Z62" t="str">
            <v>PT 2 coupes</v>
          </cell>
          <cell r="AA62" t="str">
            <v>PT</v>
          </cell>
        </row>
        <row r="63">
          <cell r="A63">
            <v>65</v>
          </cell>
          <cell r="B63" t="str">
            <v>F</v>
          </cell>
          <cell r="C63" t="str">
            <v>PT 2 coupes</v>
          </cell>
          <cell r="D63" t="str">
            <v>zone 3</v>
          </cell>
          <cell r="E63"/>
          <cell r="F63"/>
          <cell r="G63"/>
          <cell r="H63"/>
          <cell r="I63"/>
          <cell r="J63"/>
          <cell r="K63">
            <v>7.5</v>
          </cell>
          <cell r="L63">
            <v>7.5</v>
          </cell>
          <cell r="M63">
            <v>2</v>
          </cell>
          <cell r="N63"/>
          <cell r="O63"/>
          <cell r="P63">
            <v>1</v>
          </cell>
          <cell r="X63">
            <v>65</v>
          </cell>
          <cell r="Y63" t="str">
            <v>F</v>
          </cell>
          <cell r="Z63" t="str">
            <v>PT 3 coupes</v>
          </cell>
          <cell r="AA63" t="str">
            <v>PT</v>
          </cell>
        </row>
        <row r="64">
          <cell r="A64">
            <v>66</v>
          </cell>
          <cell r="B64" t="str">
            <v>F</v>
          </cell>
          <cell r="C64" t="str">
            <v>PT 3 coupes</v>
          </cell>
          <cell r="D64" t="str">
            <v>zone 4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7.7040000000000006</v>
          </cell>
          <cell r="L64">
            <v>7.7040000000000006</v>
          </cell>
          <cell r="M64">
            <v>3</v>
          </cell>
          <cell r="N64"/>
          <cell r="O64"/>
          <cell r="P64">
            <v>1</v>
          </cell>
          <cell r="X64">
            <v>66</v>
          </cell>
          <cell r="Y64" t="str">
            <v>F</v>
          </cell>
          <cell r="Z64" t="str">
            <v>PT 3 coupes</v>
          </cell>
          <cell r="AA64" t="str">
            <v>PT</v>
          </cell>
        </row>
        <row r="65">
          <cell r="A65">
            <v>67</v>
          </cell>
          <cell r="B65" t="str">
            <v>F</v>
          </cell>
          <cell r="C65" t="str">
            <v>PT 3 coupes</v>
          </cell>
          <cell r="D65" t="str">
            <v>zone 5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7.7040000000000006</v>
          </cell>
          <cell r="L65">
            <v>7.7040000000000006</v>
          </cell>
          <cell r="M65">
            <v>3</v>
          </cell>
          <cell r="N65"/>
          <cell r="O65"/>
          <cell r="P65">
            <v>1</v>
          </cell>
          <cell r="X65">
            <v>67</v>
          </cell>
          <cell r="Y65" t="str">
            <v>F</v>
          </cell>
          <cell r="Z65" t="str">
            <v>PT 3 coupes</v>
          </cell>
          <cell r="AA65" t="str">
            <v>PT</v>
          </cell>
        </row>
        <row r="66">
          <cell r="A66">
            <v>67</v>
          </cell>
          <cell r="B66" t="str">
            <v>F</v>
          </cell>
          <cell r="C66" t="str">
            <v>PT 3 coupes</v>
          </cell>
          <cell r="D66" t="str">
            <v>zone 5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7.7040000000000006</v>
          </cell>
          <cell r="L66">
            <v>7.7040000000000006</v>
          </cell>
          <cell r="M66">
            <v>3</v>
          </cell>
          <cell r="N66"/>
          <cell r="O66"/>
          <cell r="P66">
            <v>1</v>
          </cell>
          <cell r="X66">
            <v>67</v>
          </cell>
          <cell r="Y66" t="str">
            <v>F</v>
          </cell>
          <cell r="Z66" t="str">
            <v>PT 3 coupes</v>
          </cell>
          <cell r="AA66" t="str">
            <v>PT</v>
          </cell>
        </row>
        <row r="67">
          <cell r="A67">
            <v>68</v>
          </cell>
          <cell r="B67" t="str">
            <v>F/P</v>
          </cell>
          <cell r="C67" t="str">
            <v>PT 3 coupes</v>
          </cell>
          <cell r="D67" t="str">
            <v>zone 1</v>
          </cell>
          <cell r="E67">
            <v>0</v>
          </cell>
          <cell r="F67">
            <v>0</v>
          </cell>
          <cell r="G67">
            <v>0.88596000000000008</v>
          </cell>
          <cell r="H67">
            <v>0.22149000000000002</v>
          </cell>
          <cell r="I67">
            <v>1.10745</v>
          </cell>
          <cell r="J67">
            <v>0</v>
          </cell>
          <cell r="K67">
            <v>6.9336000000000011</v>
          </cell>
          <cell r="L67">
            <v>9.1485000000000021</v>
          </cell>
          <cell r="M67">
            <v>3</v>
          </cell>
          <cell r="N67"/>
          <cell r="O67"/>
          <cell r="P67">
            <v>1</v>
          </cell>
          <cell r="X67">
            <v>68</v>
          </cell>
          <cell r="Y67" t="str">
            <v>F/P</v>
          </cell>
          <cell r="Z67" t="str">
            <v>PT 3 coupes</v>
          </cell>
          <cell r="AA67" t="str">
            <v>PT</v>
          </cell>
        </row>
        <row r="68">
          <cell r="A68">
            <v>69</v>
          </cell>
          <cell r="B68" t="str">
            <v>F/P</v>
          </cell>
          <cell r="C68" t="str">
            <v>PT 3 coupes</v>
          </cell>
          <cell r="D68" t="str">
            <v>zone 2</v>
          </cell>
          <cell r="E68">
            <v>0</v>
          </cell>
          <cell r="F68">
            <v>0</v>
          </cell>
          <cell r="G68">
            <v>0.88596000000000008</v>
          </cell>
          <cell r="H68">
            <v>0.1</v>
          </cell>
          <cell r="I68">
            <v>0.73091700000000004</v>
          </cell>
          <cell r="J68">
            <v>0</v>
          </cell>
          <cell r="K68">
            <v>6.9336000000000011</v>
          </cell>
          <cell r="L68">
            <v>8.6504770000000022</v>
          </cell>
          <cell r="M68">
            <v>3</v>
          </cell>
          <cell r="N68"/>
          <cell r="O68"/>
          <cell r="P68">
            <v>1</v>
          </cell>
          <cell r="X68">
            <v>69</v>
          </cell>
          <cell r="Y68" t="str">
            <v>F/P</v>
          </cell>
          <cell r="Z68" t="str">
            <v>PT 3 coupes</v>
          </cell>
          <cell r="AA68" t="str">
            <v>PT</v>
          </cell>
        </row>
        <row r="69">
          <cell r="A69">
            <v>70</v>
          </cell>
          <cell r="B69" t="str">
            <v>F/P</v>
          </cell>
          <cell r="C69" t="str">
            <v>PT 3 coupes</v>
          </cell>
          <cell r="D69" t="str">
            <v>zone 3</v>
          </cell>
          <cell r="E69">
            <v>0</v>
          </cell>
          <cell r="F69">
            <v>0</v>
          </cell>
          <cell r="G69">
            <v>2.4609999999999999</v>
          </cell>
          <cell r="H69">
            <v>0</v>
          </cell>
          <cell r="I69">
            <v>0</v>
          </cell>
          <cell r="J69">
            <v>0</v>
          </cell>
          <cell r="K69">
            <v>7.7040000000000006</v>
          </cell>
          <cell r="L69">
            <v>10.165000000000001</v>
          </cell>
          <cell r="M69">
            <v>3</v>
          </cell>
          <cell r="N69"/>
          <cell r="O69"/>
          <cell r="P69">
            <v>1</v>
          </cell>
          <cell r="X69">
            <v>70</v>
          </cell>
          <cell r="Y69" t="str">
            <v>F/P</v>
          </cell>
          <cell r="Z69" t="str">
            <v>PT 3 coupes</v>
          </cell>
          <cell r="AA69" t="str">
            <v>PT</v>
          </cell>
        </row>
        <row r="70">
          <cell r="A70">
            <v>71</v>
          </cell>
          <cell r="B70" t="str">
            <v>F/P</v>
          </cell>
          <cell r="C70" t="str">
            <v>PT 3 coupes</v>
          </cell>
          <cell r="D70" t="str">
            <v>zone 4</v>
          </cell>
          <cell r="E70">
            <v>0</v>
          </cell>
          <cell r="F70">
            <v>0</v>
          </cell>
          <cell r="G70">
            <v>2.4609999999999999</v>
          </cell>
          <cell r="H70">
            <v>0</v>
          </cell>
          <cell r="I70">
            <v>0</v>
          </cell>
          <cell r="J70">
            <v>0</v>
          </cell>
          <cell r="K70">
            <v>7.7040000000000006</v>
          </cell>
          <cell r="L70">
            <v>10.165000000000001</v>
          </cell>
          <cell r="M70">
            <v>3</v>
          </cell>
          <cell r="N70"/>
          <cell r="O70"/>
          <cell r="P70">
            <v>1</v>
          </cell>
          <cell r="X70">
            <v>71</v>
          </cell>
          <cell r="Y70" t="str">
            <v>F/P</v>
          </cell>
          <cell r="Z70" t="str">
            <v>PT 3 coupes</v>
          </cell>
          <cell r="AA70" t="str">
            <v>PT</v>
          </cell>
        </row>
        <row r="71">
          <cell r="A71">
            <v>72</v>
          </cell>
          <cell r="B71" t="str">
            <v>F/P</v>
          </cell>
          <cell r="C71" t="str">
            <v>PT 3 coupes</v>
          </cell>
          <cell r="D71" t="str">
            <v>zone 5</v>
          </cell>
          <cell r="E71">
            <v>0</v>
          </cell>
          <cell r="F71">
            <v>0</v>
          </cell>
          <cell r="G71">
            <v>2.4609999999999999</v>
          </cell>
          <cell r="H71">
            <v>0</v>
          </cell>
          <cell r="I71">
            <v>0</v>
          </cell>
          <cell r="J71">
            <v>0</v>
          </cell>
          <cell r="K71">
            <v>7.7040000000000006</v>
          </cell>
          <cell r="L71">
            <v>10.165000000000001</v>
          </cell>
          <cell r="M71">
            <v>3</v>
          </cell>
          <cell r="N71"/>
          <cell r="O71"/>
          <cell r="P71">
            <v>1</v>
          </cell>
          <cell r="X71">
            <v>72</v>
          </cell>
          <cell r="Y71" t="str">
            <v>F/P</v>
          </cell>
          <cell r="Z71" t="str">
            <v>PT 3 coupes</v>
          </cell>
          <cell r="AA71" t="str">
            <v>PT</v>
          </cell>
        </row>
        <row r="72">
          <cell r="A72">
            <v>72</v>
          </cell>
          <cell r="B72" t="str">
            <v>F/P</v>
          </cell>
          <cell r="C72" t="str">
            <v>PT 3 coupes</v>
          </cell>
          <cell r="D72" t="str">
            <v>zone 5</v>
          </cell>
          <cell r="E72">
            <v>0</v>
          </cell>
          <cell r="F72">
            <v>0</v>
          </cell>
          <cell r="G72">
            <v>2.4609999999999999</v>
          </cell>
          <cell r="H72">
            <v>0</v>
          </cell>
          <cell r="I72">
            <v>0</v>
          </cell>
          <cell r="J72">
            <v>0</v>
          </cell>
          <cell r="K72">
            <v>7.7040000000000006</v>
          </cell>
          <cell r="L72">
            <v>10.165000000000001</v>
          </cell>
          <cell r="M72">
            <v>3</v>
          </cell>
          <cell r="N72"/>
          <cell r="O72"/>
          <cell r="P72">
            <v>1</v>
          </cell>
          <cell r="X72">
            <v>72</v>
          </cell>
          <cell r="Y72" t="str">
            <v>F/P</v>
          </cell>
          <cell r="Z72" t="str">
            <v>PT 3 coupes</v>
          </cell>
          <cell r="AA72" t="str">
            <v>PT</v>
          </cell>
        </row>
        <row r="73">
          <cell r="A73">
            <v>73</v>
          </cell>
          <cell r="B73" t="str">
            <v>F</v>
          </cell>
          <cell r="C73" t="str">
            <v>PP moyenne 1 coupe</v>
          </cell>
          <cell r="D73" t="str">
            <v>zone 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/>
          <cell r="K73">
            <v>1.9800000000000002</v>
          </cell>
          <cell r="L73">
            <v>1.9800000000000002</v>
          </cell>
          <cell r="M73">
            <v>1</v>
          </cell>
          <cell r="N73"/>
          <cell r="O73"/>
          <cell r="P73"/>
          <cell r="X73">
            <v>73</v>
          </cell>
          <cell r="Y73" t="str">
            <v>F</v>
          </cell>
          <cell r="Z73" t="str">
            <v>PP moyenne 1 coupe</v>
          </cell>
          <cell r="AA73" t="str">
            <v>PP</v>
          </cell>
        </row>
        <row r="74">
          <cell r="A74">
            <v>74</v>
          </cell>
          <cell r="B74" t="str">
            <v>F</v>
          </cell>
          <cell r="C74" t="str">
            <v>PP moyenne 1 coupe</v>
          </cell>
          <cell r="D74" t="str">
            <v>zone 2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1.9800000000000002</v>
          </cell>
          <cell r="L74">
            <v>1.9800000000000002</v>
          </cell>
          <cell r="M74">
            <v>1</v>
          </cell>
          <cell r="N74"/>
          <cell r="O74"/>
          <cell r="P74"/>
          <cell r="X74">
            <v>74</v>
          </cell>
          <cell r="Y74" t="str">
            <v>F</v>
          </cell>
          <cell r="Z74" t="str">
            <v>PP moyenne 1 coupe</v>
          </cell>
          <cell r="AA74" t="str">
            <v>PP</v>
          </cell>
        </row>
        <row r="75">
          <cell r="A75">
            <v>75</v>
          </cell>
          <cell r="B75" t="str">
            <v>F</v>
          </cell>
          <cell r="C75" t="str">
            <v>PP bonne 1 coupe</v>
          </cell>
          <cell r="D75" t="str">
            <v>zone 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/>
          <cell r="O75"/>
          <cell r="P75"/>
          <cell r="Q75" t="str">
            <v xml:space="preserve">0 en surface mais peut être utile </v>
          </cell>
          <cell r="X75">
            <v>75</v>
          </cell>
          <cell r="Y75" t="str">
            <v>F</v>
          </cell>
          <cell r="Z75" t="str">
            <v>PP bonne 1 coupe</v>
          </cell>
          <cell r="AA75" t="str">
            <v>PP</v>
          </cell>
        </row>
        <row r="76">
          <cell r="A76">
            <v>77</v>
          </cell>
          <cell r="B76" t="str">
            <v>F</v>
          </cell>
          <cell r="C76" t="str">
            <v>PP bonne 1 coupe</v>
          </cell>
          <cell r="D76" t="str">
            <v>zone 5</v>
          </cell>
          <cell r="E76"/>
          <cell r="F76"/>
          <cell r="G76"/>
          <cell r="H76"/>
          <cell r="I76"/>
          <cell r="J76"/>
          <cell r="K76"/>
          <cell r="L76">
            <v>0</v>
          </cell>
          <cell r="M76">
            <v>1</v>
          </cell>
          <cell r="N76"/>
          <cell r="O76"/>
          <cell r="P76"/>
          <cell r="Q76" t="str">
            <v>n'existe pas</v>
          </cell>
          <cell r="X76">
            <v>77</v>
          </cell>
          <cell r="Y76" t="str">
            <v>F</v>
          </cell>
          <cell r="Z76" t="str">
            <v>PP bonne 1 coupe</v>
          </cell>
          <cell r="AA76" t="str">
            <v>PP</v>
          </cell>
        </row>
        <row r="77">
          <cell r="A77">
            <v>78</v>
          </cell>
          <cell r="B77" t="str">
            <v>F/P</v>
          </cell>
          <cell r="C77" t="str">
            <v>PP bonne 1 coupe</v>
          </cell>
          <cell r="D77" t="str">
            <v>zone 1</v>
          </cell>
          <cell r="E77">
            <v>0.85600000000000009</v>
          </cell>
          <cell r="F77">
            <v>1.4231</v>
          </cell>
          <cell r="G77">
            <v>0.8474400000000003</v>
          </cell>
          <cell r="H77">
            <v>0.21186000000000008</v>
          </cell>
          <cell r="I77">
            <v>1.0593000000000004</v>
          </cell>
          <cell r="J77">
            <v>0</v>
          </cell>
          <cell r="K77">
            <v>3.2742</v>
          </cell>
          <cell r="L77">
            <v>7.6719000000000008</v>
          </cell>
          <cell r="M77">
            <v>1</v>
          </cell>
          <cell r="N77"/>
          <cell r="O77"/>
          <cell r="P77"/>
          <cell r="X77">
            <v>78</v>
          </cell>
          <cell r="Y77" t="str">
            <v>F/P</v>
          </cell>
          <cell r="Z77" t="str">
            <v>PP bonne 1 coupe</v>
          </cell>
          <cell r="AA77" t="str">
            <v>PP</v>
          </cell>
        </row>
        <row r="78">
          <cell r="A78">
            <v>79</v>
          </cell>
          <cell r="B78" t="str">
            <v>F/P</v>
          </cell>
          <cell r="C78" t="str">
            <v>PP bonne 1 coupe</v>
          </cell>
          <cell r="D78" t="str">
            <v>zone 2</v>
          </cell>
          <cell r="E78">
            <v>0.85600000000000009</v>
          </cell>
          <cell r="F78">
            <v>1.4231</v>
          </cell>
          <cell r="G78">
            <v>0.8474400000000003</v>
          </cell>
          <cell r="H78">
            <v>0.1</v>
          </cell>
          <cell r="I78">
            <v>0.69913800000000026</v>
          </cell>
          <cell r="J78">
            <v>0</v>
          </cell>
          <cell r="K78">
            <v>3.2742</v>
          </cell>
          <cell r="L78">
            <v>7.199878</v>
          </cell>
          <cell r="M78">
            <v>1</v>
          </cell>
          <cell r="N78"/>
          <cell r="O78"/>
          <cell r="P78"/>
          <cell r="X78">
            <v>79</v>
          </cell>
          <cell r="Y78" t="str">
            <v>F/P</v>
          </cell>
          <cell r="Z78" t="str">
            <v>PP bonne 1 coupe</v>
          </cell>
          <cell r="AA78" t="str">
            <v>PP</v>
          </cell>
        </row>
        <row r="79">
          <cell r="A79">
            <v>80</v>
          </cell>
          <cell r="B79" t="str">
            <v>F/P</v>
          </cell>
          <cell r="C79" t="str">
            <v>PP moyenne 1 coupe</v>
          </cell>
          <cell r="D79" t="str">
            <v>zone 3</v>
          </cell>
          <cell r="E79">
            <v>0.5</v>
          </cell>
          <cell r="F79">
            <v>0.7</v>
          </cell>
          <cell r="G79">
            <v>1.9</v>
          </cell>
          <cell r="H79"/>
          <cell r="I79"/>
          <cell r="J79"/>
          <cell r="K79">
            <v>2.8</v>
          </cell>
          <cell r="L79">
            <v>5.8999999999999995</v>
          </cell>
          <cell r="M79">
            <v>1</v>
          </cell>
          <cell r="N79"/>
          <cell r="O79"/>
          <cell r="P79"/>
          <cell r="X79">
            <v>80</v>
          </cell>
          <cell r="Y79" t="str">
            <v>F/P</v>
          </cell>
          <cell r="Z79" t="str">
            <v>PP moyenne 1 coupe</v>
          </cell>
          <cell r="AA79" t="str">
            <v>PP</v>
          </cell>
        </row>
        <row r="80">
          <cell r="A80">
            <v>81</v>
          </cell>
          <cell r="B80" t="str">
            <v>F/P</v>
          </cell>
          <cell r="C80" t="str">
            <v>PP bonne 1 coupe</v>
          </cell>
          <cell r="D80" t="str">
            <v>zone 4</v>
          </cell>
          <cell r="E80">
            <v>1.07</v>
          </cell>
          <cell r="F80">
            <v>1.498</v>
          </cell>
          <cell r="G80">
            <v>2.3540000000000005</v>
          </cell>
          <cell r="H80">
            <v>0</v>
          </cell>
          <cell r="I80">
            <v>0</v>
          </cell>
          <cell r="J80">
            <v>0</v>
          </cell>
          <cell r="K80">
            <v>3.6379999999999999</v>
          </cell>
          <cell r="L80">
            <v>8.56</v>
          </cell>
          <cell r="M80">
            <v>1</v>
          </cell>
          <cell r="N80"/>
          <cell r="O80"/>
          <cell r="P80"/>
          <cell r="X80">
            <v>81</v>
          </cell>
          <cell r="Y80" t="str">
            <v>F/P</v>
          </cell>
          <cell r="Z80" t="str">
            <v>PP bonne 1 coupe</v>
          </cell>
          <cell r="AA80" t="str">
            <v>PP</v>
          </cell>
        </row>
        <row r="81">
          <cell r="A81">
            <v>82</v>
          </cell>
          <cell r="B81" t="str">
            <v>F/P</v>
          </cell>
          <cell r="C81" t="str">
            <v>PP bonne 1 coupe</v>
          </cell>
          <cell r="D81" t="str">
            <v>zone 5</v>
          </cell>
          <cell r="E81">
            <v>1.07</v>
          </cell>
          <cell r="F81">
            <v>1.498</v>
          </cell>
          <cell r="G81">
            <v>2.3540000000000005</v>
          </cell>
          <cell r="H81">
            <v>0</v>
          </cell>
          <cell r="I81">
            <v>0</v>
          </cell>
          <cell r="J81">
            <v>0</v>
          </cell>
          <cell r="K81">
            <v>3.6379999999999999</v>
          </cell>
          <cell r="L81">
            <v>8.56</v>
          </cell>
          <cell r="M81">
            <v>1</v>
          </cell>
          <cell r="N81"/>
          <cell r="O81"/>
          <cell r="P81"/>
          <cell r="X81">
            <v>82</v>
          </cell>
          <cell r="Y81" t="str">
            <v>F/P</v>
          </cell>
          <cell r="Z81" t="str">
            <v>PP bonne 1 coupe</v>
          </cell>
          <cell r="AA81" t="str">
            <v>PP</v>
          </cell>
        </row>
        <row r="82">
          <cell r="A82">
            <v>83</v>
          </cell>
          <cell r="B82" t="str">
            <v>F</v>
          </cell>
          <cell r="C82" t="str">
            <v>PT 1 coupe</v>
          </cell>
          <cell r="D82" t="str">
            <v>zone 1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3.6593999999999998</v>
          </cell>
          <cell r="L82">
            <v>3.6593999999999998</v>
          </cell>
          <cell r="M82">
            <v>1</v>
          </cell>
          <cell r="N82"/>
          <cell r="O82"/>
          <cell r="P82">
            <v>1</v>
          </cell>
          <cell r="X82">
            <v>83</v>
          </cell>
          <cell r="Y82" t="str">
            <v>F</v>
          </cell>
          <cell r="Z82" t="str">
            <v>PT 1 coupe</v>
          </cell>
          <cell r="AA82" t="str">
            <v>PT</v>
          </cell>
        </row>
        <row r="83">
          <cell r="A83">
            <v>84</v>
          </cell>
          <cell r="B83" t="str">
            <v>F</v>
          </cell>
          <cell r="C83" t="str">
            <v>PT 1 coupe</v>
          </cell>
          <cell r="D83" t="str">
            <v>zone 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3.6593999999999998</v>
          </cell>
          <cell r="L83">
            <v>3.6593999999999998</v>
          </cell>
          <cell r="M83">
            <v>1</v>
          </cell>
          <cell r="N83"/>
          <cell r="O83"/>
          <cell r="P83">
            <v>1</v>
          </cell>
          <cell r="X83">
            <v>84</v>
          </cell>
          <cell r="Y83" t="str">
            <v>F</v>
          </cell>
          <cell r="Z83" t="str">
            <v>PT 1 coupe</v>
          </cell>
          <cell r="AA83" t="str">
            <v>PT</v>
          </cell>
        </row>
        <row r="84">
          <cell r="A84">
            <v>85</v>
          </cell>
          <cell r="B84" t="str">
            <v>F</v>
          </cell>
          <cell r="C84" t="str">
            <v>PT 1 coupe</v>
          </cell>
          <cell r="D84" t="str">
            <v>zone 3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4.0659999999999998</v>
          </cell>
          <cell r="L84">
            <v>4.0659999999999998</v>
          </cell>
          <cell r="M84">
            <v>1</v>
          </cell>
          <cell r="N84"/>
          <cell r="O84"/>
          <cell r="P84">
            <v>1</v>
          </cell>
          <cell r="X84">
            <v>85</v>
          </cell>
          <cell r="Y84" t="str">
            <v>F</v>
          </cell>
          <cell r="Z84" t="str">
            <v>PT 1 coupe</v>
          </cell>
          <cell r="AA84" t="str">
            <v>PT</v>
          </cell>
        </row>
        <row r="85">
          <cell r="A85">
            <v>86</v>
          </cell>
          <cell r="B85" t="str">
            <v>F</v>
          </cell>
          <cell r="C85" t="str">
            <v>PT 1 coupe</v>
          </cell>
          <cell r="D85" t="str">
            <v>zone 4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4.0659999999999998</v>
          </cell>
          <cell r="L85">
            <v>4.0659999999999998</v>
          </cell>
          <cell r="M85">
            <v>1</v>
          </cell>
          <cell r="N85"/>
          <cell r="O85"/>
          <cell r="P85">
            <v>1</v>
          </cell>
          <cell r="X85">
            <v>86</v>
          </cell>
          <cell r="Y85" t="str">
            <v>F</v>
          </cell>
          <cell r="Z85" t="str">
            <v>PT 1 coupe</v>
          </cell>
          <cell r="AA85" t="str">
            <v>PT</v>
          </cell>
        </row>
        <row r="86">
          <cell r="A86">
            <v>87</v>
          </cell>
          <cell r="B86" t="str">
            <v>F</v>
          </cell>
          <cell r="C86" t="str">
            <v>PT 1 coupe</v>
          </cell>
          <cell r="D86" t="str">
            <v>zone 5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4.0659999999999998</v>
          </cell>
          <cell r="L86">
            <v>4.0659999999999998</v>
          </cell>
          <cell r="M86">
            <v>1</v>
          </cell>
          <cell r="N86"/>
          <cell r="O86"/>
          <cell r="P86">
            <v>1</v>
          </cell>
          <cell r="X86">
            <v>87</v>
          </cell>
          <cell r="Y86" t="str">
            <v>F</v>
          </cell>
          <cell r="Z86" t="str">
            <v>PT 1 coupe</v>
          </cell>
          <cell r="AA86" t="str">
            <v>PT</v>
          </cell>
        </row>
        <row r="87">
          <cell r="A87">
            <v>88</v>
          </cell>
          <cell r="B87" t="str">
            <v>F/P</v>
          </cell>
          <cell r="C87" t="str">
            <v>PT 1 coupe</v>
          </cell>
          <cell r="D87" t="str">
            <v>zone 1</v>
          </cell>
          <cell r="E87">
            <v>0.85600000000000009</v>
          </cell>
          <cell r="F87">
            <v>1.4231</v>
          </cell>
          <cell r="G87">
            <v>1.0015200000000002</v>
          </cell>
          <cell r="H87">
            <v>0.25038000000000005</v>
          </cell>
          <cell r="I87">
            <v>1.2519000000000002</v>
          </cell>
          <cell r="J87">
            <v>0</v>
          </cell>
          <cell r="K87">
            <v>3.4668000000000005</v>
          </cell>
          <cell r="L87">
            <v>8.2497000000000007</v>
          </cell>
          <cell r="M87">
            <v>1</v>
          </cell>
          <cell r="N87"/>
          <cell r="O87"/>
          <cell r="P87">
            <v>1</v>
          </cell>
          <cell r="X87">
            <v>88</v>
          </cell>
          <cell r="Y87" t="str">
            <v>F/P</v>
          </cell>
          <cell r="Z87" t="str">
            <v>PT 1 coupe</v>
          </cell>
          <cell r="AA87" t="str">
            <v>PT</v>
          </cell>
        </row>
        <row r="88">
          <cell r="A88">
            <v>89</v>
          </cell>
          <cell r="B88" t="str">
            <v>F/P</v>
          </cell>
          <cell r="C88" t="str">
            <v>PT 1 coupe</v>
          </cell>
          <cell r="D88" t="str">
            <v>zone 2</v>
          </cell>
          <cell r="E88">
            <v>0.85600000000000009</v>
          </cell>
          <cell r="F88">
            <v>1.4231</v>
          </cell>
          <cell r="G88">
            <v>1.0015200000000002</v>
          </cell>
          <cell r="H88">
            <v>0.1</v>
          </cell>
          <cell r="I88">
            <v>0.82625400000000015</v>
          </cell>
          <cell r="J88">
            <v>0</v>
          </cell>
          <cell r="K88">
            <v>3.4668000000000005</v>
          </cell>
          <cell r="L88">
            <v>7.6736740000000019</v>
          </cell>
          <cell r="M88">
            <v>1</v>
          </cell>
          <cell r="N88"/>
          <cell r="O88"/>
          <cell r="P88">
            <v>1</v>
          </cell>
          <cell r="X88">
            <v>89</v>
          </cell>
          <cell r="Y88" t="str">
            <v>F/P</v>
          </cell>
          <cell r="Z88" t="str">
            <v>PT 1 coupe</v>
          </cell>
          <cell r="AA88" t="str">
            <v>PT</v>
          </cell>
        </row>
        <row r="89">
          <cell r="A89">
            <v>90</v>
          </cell>
          <cell r="B89" t="str">
            <v>F/P</v>
          </cell>
          <cell r="C89" t="str">
            <v>PT 1 coupe</v>
          </cell>
          <cell r="D89" t="str">
            <v>zone 3</v>
          </cell>
          <cell r="E89">
            <v>1.07</v>
          </cell>
          <cell r="F89">
            <v>1.498</v>
          </cell>
          <cell r="G89">
            <v>2.7820000000000005</v>
          </cell>
          <cell r="H89">
            <v>0</v>
          </cell>
          <cell r="I89">
            <v>0</v>
          </cell>
          <cell r="J89">
            <v>0</v>
          </cell>
          <cell r="K89">
            <v>3.8520000000000003</v>
          </cell>
          <cell r="L89">
            <v>9.2020000000000017</v>
          </cell>
          <cell r="M89">
            <v>1</v>
          </cell>
          <cell r="N89"/>
          <cell r="O89"/>
          <cell r="P89">
            <v>1</v>
          </cell>
          <cell r="X89">
            <v>90</v>
          </cell>
          <cell r="Y89" t="str">
            <v>F/P</v>
          </cell>
          <cell r="Z89" t="str">
            <v>PT 1 coupe</v>
          </cell>
          <cell r="AA89" t="str">
            <v>PT</v>
          </cell>
        </row>
        <row r="90">
          <cell r="A90">
            <v>91</v>
          </cell>
          <cell r="B90" t="str">
            <v>F/P</v>
          </cell>
          <cell r="C90" t="str">
            <v>PT 1 coupe</v>
          </cell>
          <cell r="D90" t="str">
            <v>zone 4</v>
          </cell>
          <cell r="E90">
            <v>1.07</v>
          </cell>
          <cell r="F90">
            <v>1.498</v>
          </cell>
          <cell r="G90">
            <v>2.7820000000000005</v>
          </cell>
          <cell r="H90">
            <v>0</v>
          </cell>
          <cell r="I90">
            <v>0</v>
          </cell>
          <cell r="J90">
            <v>0</v>
          </cell>
          <cell r="K90">
            <v>3.8520000000000003</v>
          </cell>
          <cell r="L90">
            <v>9.2020000000000017</v>
          </cell>
          <cell r="M90">
            <v>1</v>
          </cell>
          <cell r="N90"/>
          <cell r="O90"/>
          <cell r="P90">
            <v>1</v>
          </cell>
          <cell r="X90">
            <v>91</v>
          </cell>
          <cell r="Y90" t="str">
            <v>F/P</v>
          </cell>
          <cell r="Z90" t="str">
            <v>PT 1 coupe</v>
          </cell>
          <cell r="AA90" t="str">
            <v>PT</v>
          </cell>
        </row>
        <row r="91">
          <cell r="A91">
            <v>92</v>
          </cell>
          <cell r="B91" t="str">
            <v>F/P</v>
          </cell>
          <cell r="C91" t="str">
            <v>PT 1 coupe</v>
          </cell>
          <cell r="D91" t="str">
            <v>zone 5</v>
          </cell>
          <cell r="E91">
            <v>1.07</v>
          </cell>
          <cell r="F91">
            <v>1.498</v>
          </cell>
          <cell r="G91">
            <v>2.7820000000000005</v>
          </cell>
          <cell r="H91">
            <v>0</v>
          </cell>
          <cell r="I91">
            <v>0</v>
          </cell>
          <cell r="J91">
            <v>0</v>
          </cell>
          <cell r="K91">
            <v>3.8520000000000003</v>
          </cell>
          <cell r="L91">
            <v>9.2020000000000017</v>
          </cell>
          <cell r="M91">
            <v>1</v>
          </cell>
          <cell r="N91"/>
          <cell r="O91"/>
          <cell r="P91">
            <v>1</v>
          </cell>
          <cell r="X91">
            <v>92</v>
          </cell>
          <cell r="Y91" t="str">
            <v>F/P</v>
          </cell>
          <cell r="Z91" t="str">
            <v>PT 1 coupe</v>
          </cell>
          <cell r="AA91" t="str">
            <v>PT</v>
          </cell>
        </row>
        <row r="92">
          <cell r="A92">
            <v>93</v>
          </cell>
          <cell r="B92" t="str">
            <v>P</v>
          </cell>
          <cell r="C92" t="str">
            <v xml:space="preserve">landes privées </v>
          </cell>
          <cell r="D92" t="str">
            <v xml:space="preserve">zone 2 </v>
          </cell>
          <cell r="E92">
            <v>0.5</v>
          </cell>
          <cell r="F92">
            <v>0.25</v>
          </cell>
          <cell r="G92">
            <v>0.3</v>
          </cell>
          <cell r="H92">
            <v>0.22</v>
          </cell>
          <cell r="I92">
            <v>0.22</v>
          </cell>
          <cell r="J92"/>
          <cell r="K92">
            <v>0</v>
          </cell>
          <cell r="L92">
            <v>1.49</v>
          </cell>
          <cell r="M92">
            <v>0</v>
          </cell>
          <cell r="N92"/>
          <cell r="O92"/>
          <cell r="P92"/>
          <cell r="X92">
            <v>93</v>
          </cell>
          <cell r="Y92" t="str">
            <v>P</v>
          </cell>
          <cell r="Z92" t="str">
            <v xml:space="preserve">landes privées </v>
          </cell>
          <cell r="AA92" t="str">
            <v>lande</v>
          </cell>
        </row>
        <row r="93">
          <cell r="A93">
            <v>94</v>
          </cell>
          <cell r="B93" t="str">
            <v>P</v>
          </cell>
          <cell r="C93" t="str">
            <v>landes Privées</v>
          </cell>
          <cell r="D93" t="str">
            <v xml:space="preserve">zone 5 </v>
          </cell>
          <cell r="E93">
            <v>0.5</v>
          </cell>
          <cell r="F93">
            <v>0.25</v>
          </cell>
          <cell r="G93">
            <v>0.75</v>
          </cell>
          <cell r="H93"/>
          <cell r="I93"/>
          <cell r="J93"/>
          <cell r="K93">
            <v>0</v>
          </cell>
          <cell r="L93">
            <v>1.5</v>
          </cell>
          <cell r="M93">
            <v>0</v>
          </cell>
          <cell r="N93"/>
          <cell r="O93"/>
          <cell r="P93"/>
          <cell r="X93">
            <v>94</v>
          </cell>
          <cell r="Y93" t="str">
            <v>P</v>
          </cell>
          <cell r="Z93" t="str">
            <v>landes Privées</v>
          </cell>
          <cell r="AA93" t="str">
            <v>lande</v>
          </cell>
        </row>
        <row r="94">
          <cell r="A94">
            <v>95</v>
          </cell>
          <cell r="B94" t="str">
            <v>P</v>
          </cell>
          <cell r="C94" t="str">
            <v>PP bonne</v>
          </cell>
          <cell r="D94" t="str">
            <v xml:space="preserve">zone 2 </v>
          </cell>
          <cell r="E94">
            <v>3.6808000000000001</v>
          </cell>
          <cell r="F94">
            <v>1.4231</v>
          </cell>
          <cell r="G94">
            <v>0.8474400000000003</v>
          </cell>
          <cell r="H94">
            <v>0.1</v>
          </cell>
          <cell r="I94">
            <v>0.69913800000000026</v>
          </cell>
          <cell r="J94">
            <v>0</v>
          </cell>
          <cell r="K94">
            <v>0</v>
          </cell>
          <cell r="L94">
            <v>6.7504780000000011</v>
          </cell>
          <cell r="M94">
            <v>0</v>
          </cell>
          <cell r="N94"/>
          <cell r="O94"/>
          <cell r="P94"/>
          <cell r="X94">
            <v>95</v>
          </cell>
          <cell r="Y94" t="str">
            <v>P</v>
          </cell>
          <cell r="Z94" t="str">
            <v>PP bonne</v>
          </cell>
          <cell r="AA94" t="str">
            <v>PP</v>
          </cell>
        </row>
        <row r="95">
          <cell r="A95">
            <v>101</v>
          </cell>
          <cell r="B95" t="str">
            <v>F</v>
          </cell>
          <cell r="C95" t="str">
            <v>luzernière fauchée 3-4 coupes</v>
          </cell>
          <cell r="D95" t="str">
            <v xml:space="preserve">zone 5 </v>
          </cell>
          <cell r="E95">
            <v>0</v>
          </cell>
          <cell r="F95">
            <v>0</v>
          </cell>
          <cell r="G95">
            <v>0</v>
          </cell>
          <cell r="H95"/>
          <cell r="I95"/>
          <cell r="J95"/>
          <cell r="K95">
            <v>7</v>
          </cell>
          <cell r="L95">
            <v>7</v>
          </cell>
          <cell r="M95">
            <v>3</v>
          </cell>
          <cell r="N95"/>
          <cell r="O95">
            <v>1</v>
          </cell>
          <cell r="P95">
            <v>1</v>
          </cell>
          <cell r="Q95"/>
          <cell r="X95">
            <v>101</v>
          </cell>
          <cell r="Y95" t="str">
            <v>F</v>
          </cell>
          <cell r="Z95" t="str">
            <v>luzernière fauchée 3-4 coupes</v>
          </cell>
          <cell r="AA95" t="str">
            <v>PT</v>
          </cell>
        </row>
        <row r="96">
          <cell r="A96">
            <v>102</v>
          </cell>
          <cell r="B96" t="str">
            <v>F/P</v>
          </cell>
          <cell r="C96" t="str">
            <v>luzernière fauchée 2 coupes + paturée</v>
          </cell>
          <cell r="D96" t="str">
            <v>zone 5</v>
          </cell>
          <cell r="E96">
            <v>0</v>
          </cell>
          <cell r="F96">
            <v>1.5</v>
          </cell>
          <cell r="G96">
            <v>1.5</v>
          </cell>
          <cell r="H96"/>
          <cell r="I96"/>
          <cell r="J96"/>
          <cell r="K96">
            <v>5</v>
          </cell>
          <cell r="L96">
            <v>8</v>
          </cell>
          <cell r="M96">
            <v>2</v>
          </cell>
          <cell r="N96"/>
          <cell r="O96">
            <v>1</v>
          </cell>
          <cell r="P96">
            <v>1</v>
          </cell>
          <cell r="Q96"/>
          <cell r="X96">
            <v>102</v>
          </cell>
          <cell r="Y96" t="str">
            <v>F/P</v>
          </cell>
          <cell r="Z96" t="str">
            <v>luzernière fauchée 2 coupes + paturée</v>
          </cell>
          <cell r="AA96" t="str">
            <v>PT</v>
          </cell>
        </row>
        <row r="97">
          <cell r="A97">
            <v>118</v>
          </cell>
          <cell r="B97" t="str">
            <v>F/P</v>
          </cell>
          <cell r="C97" t="str">
            <v xml:space="preserve">landes privées </v>
          </cell>
          <cell r="D97" t="str">
            <v>zone 1</v>
          </cell>
          <cell r="E97">
            <v>0.5</v>
          </cell>
          <cell r="F97">
            <v>0.25</v>
          </cell>
          <cell r="G97">
            <v>0.3</v>
          </cell>
          <cell r="H97">
            <v>0.22</v>
          </cell>
          <cell r="I97">
            <v>0.22</v>
          </cell>
          <cell r="J97"/>
          <cell r="K97">
            <v>0</v>
          </cell>
          <cell r="L97">
            <v>1.49</v>
          </cell>
          <cell r="M97">
            <v>0</v>
          </cell>
          <cell r="N97"/>
          <cell r="O97"/>
          <cell r="P97"/>
          <cell r="X97">
            <v>118</v>
          </cell>
          <cell r="Y97" t="str">
            <v>F/P</v>
          </cell>
          <cell r="Z97" t="str">
            <v xml:space="preserve">landes privées </v>
          </cell>
          <cell r="AA97" t="str">
            <v>lande</v>
          </cell>
        </row>
        <row r="98">
          <cell r="A98">
            <v>119</v>
          </cell>
          <cell r="B98" t="str">
            <v>F/P</v>
          </cell>
          <cell r="C98" t="str">
            <v xml:space="preserve">landes privées </v>
          </cell>
          <cell r="D98" t="str">
            <v>zone 2</v>
          </cell>
          <cell r="E98">
            <v>0.5</v>
          </cell>
          <cell r="F98">
            <v>0.25</v>
          </cell>
          <cell r="G98">
            <v>0.3</v>
          </cell>
          <cell r="H98">
            <v>0.22</v>
          </cell>
          <cell r="I98">
            <v>0.22</v>
          </cell>
          <cell r="J98"/>
          <cell r="K98">
            <v>0</v>
          </cell>
          <cell r="L98">
            <v>1.49</v>
          </cell>
          <cell r="M98">
            <v>0</v>
          </cell>
          <cell r="N98"/>
          <cell r="O98"/>
          <cell r="P98"/>
          <cell r="X98">
            <v>119</v>
          </cell>
          <cell r="Y98" t="str">
            <v>F/P</v>
          </cell>
          <cell r="Z98" t="str">
            <v xml:space="preserve">landes privées </v>
          </cell>
          <cell r="AA98" t="str">
            <v>lande</v>
          </cell>
        </row>
        <row r="99">
          <cell r="A99">
            <v>120</v>
          </cell>
          <cell r="B99" t="str">
            <v>F/P</v>
          </cell>
          <cell r="C99" t="str">
            <v xml:space="preserve">landes privées </v>
          </cell>
          <cell r="D99" t="str">
            <v>zone 3</v>
          </cell>
          <cell r="E99">
            <v>0.5</v>
          </cell>
          <cell r="F99">
            <v>0.25</v>
          </cell>
          <cell r="G99">
            <v>0.75</v>
          </cell>
          <cell r="H99"/>
          <cell r="I99"/>
          <cell r="J99"/>
          <cell r="K99">
            <v>0</v>
          </cell>
          <cell r="L99">
            <v>1.5</v>
          </cell>
          <cell r="M99">
            <v>0</v>
          </cell>
          <cell r="N99"/>
          <cell r="O99"/>
          <cell r="P99"/>
          <cell r="X99">
            <v>120</v>
          </cell>
          <cell r="Y99" t="str">
            <v>F/P</v>
          </cell>
          <cell r="Z99" t="str">
            <v xml:space="preserve">landes privées </v>
          </cell>
          <cell r="AA99" t="str">
            <v>lande</v>
          </cell>
        </row>
        <row r="100">
          <cell r="A100">
            <v>121</v>
          </cell>
          <cell r="B100" t="str">
            <v>F/P</v>
          </cell>
          <cell r="C100" t="str">
            <v>landes privées</v>
          </cell>
          <cell r="D100" t="str">
            <v>zone 4</v>
          </cell>
          <cell r="E100">
            <v>0.5</v>
          </cell>
          <cell r="F100">
            <v>0.25</v>
          </cell>
          <cell r="G100">
            <v>0.75</v>
          </cell>
          <cell r="H100"/>
          <cell r="I100"/>
          <cell r="J100"/>
          <cell r="K100">
            <v>0</v>
          </cell>
          <cell r="L100">
            <v>1.5</v>
          </cell>
          <cell r="M100">
            <v>0</v>
          </cell>
          <cell r="N100"/>
          <cell r="O100"/>
          <cell r="P100"/>
          <cell r="X100">
            <v>121</v>
          </cell>
          <cell r="Y100" t="str">
            <v>F/P</v>
          </cell>
          <cell r="Z100" t="str">
            <v>landes privées</v>
          </cell>
          <cell r="AA100" t="str">
            <v>lande</v>
          </cell>
        </row>
        <row r="101">
          <cell r="A101">
            <v>122</v>
          </cell>
          <cell r="B101" t="str">
            <v>F/P</v>
          </cell>
          <cell r="C101" t="str">
            <v xml:space="preserve">landes privées </v>
          </cell>
          <cell r="D101" t="str">
            <v>zone 5</v>
          </cell>
          <cell r="E101">
            <v>0.5</v>
          </cell>
          <cell r="F101">
            <v>0.25</v>
          </cell>
          <cell r="G101">
            <v>0.75</v>
          </cell>
          <cell r="H101"/>
          <cell r="I101"/>
          <cell r="J101"/>
          <cell r="K101">
            <v>0</v>
          </cell>
          <cell r="L101">
            <v>1.5</v>
          </cell>
          <cell r="M101">
            <v>0</v>
          </cell>
          <cell r="N101"/>
          <cell r="O101"/>
          <cell r="P101"/>
          <cell r="X101">
            <v>122</v>
          </cell>
          <cell r="Y101" t="str">
            <v>F/P</v>
          </cell>
          <cell r="Z101" t="str">
            <v xml:space="preserve">landes privées </v>
          </cell>
          <cell r="AA101" t="str">
            <v>lande</v>
          </cell>
        </row>
        <row r="102">
          <cell r="A102">
            <v>124</v>
          </cell>
          <cell r="B102" t="str">
            <v>F</v>
          </cell>
          <cell r="C102" t="str">
            <v xml:space="preserve">trèfle violet </v>
          </cell>
          <cell r="D102" t="str">
            <v xml:space="preserve">zone 4 </v>
          </cell>
          <cell r="E102">
            <v>0</v>
          </cell>
          <cell r="F102">
            <v>0</v>
          </cell>
          <cell r="G102">
            <v>0</v>
          </cell>
          <cell r="H102"/>
          <cell r="I102"/>
          <cell r="J102"/>
          <cell r="K102">
            <v>7</v>
          </cell>
          <cell r="L102">
            <v>7</v>
          </cell>
          <cell r="M102">
            <v>3</v>
          </cell>
          <cell r="N102"/>
          <cell r="O102">
            <v>1</v>
          </cell>
          <cell r="P102">
            <v>1</v>
          </cell>
          <cell r="Q102"/>
          <cell r="X102">
            <v>124</v>
          </cell>
          <cell r="Y102" t="str">
            <v>F</v>
          </cell>
          <cell r="Z102" t="str">
            <v xml:space="preserve">trèfle violet </v>
          </cell>
          <cell r="AA102" t="str">
            <v>PT</v>
          </cell>
        </row>
        <row r="103">
          <cell r="A103">
            <v>127</v>
          </cell>
          <cell r="B103" t="str">
            <v>P</v>
          </cell>
          <cell r="C103" t="str">
            <v>PP moyenne</v>
          </cell>
          <cell r="D103" t="str">
            <v>zone 3</v>
          </cell>
          <cell r="E103">
            <v>3</v>
          </cell>
          <cell r="F103">
            <v>1</v>
          </cell>
          <cell r="G103">
            <v>1.6</v>
          </cell>
          <cell r="H103"/>
          <cell r="I103"/>
          <cell r="J103"/>
          <cell r="K103">
            <v>0</v>
          </cell>
          <cell r="L103">
            <v>5.6</v>
          </cell>
          <cell r="M103">
            <v>0</v>
          </cell>
          <cell r="N103"/>
          <cell r="O103"/>
          <cell r="P103"/>
          <cell r="Q103" t="str">
            <v>objectif total entre 5 et 6</v>
          </cell>
          <cell r="X103">
            <v>127</v>
          </cell>
          <cell r="Y103" t="str">
            <v>P</v>
          </cell>
          <cell r="Z103" t="str">
            <v>PP moyenne</v>
          </cell>
          <cell r="AA103" t="str">
            <v>PP</v>
          </cell>
        </row>
        <row r="104">
          <cell r="A104">
            <v>128</v>
          </cell>
          <cell r="B104" t="str">
            <v>P</v>
          </cell>
          <cell r="C104" t="str">
            <v>PP bonne</v>
          </cell>
          <cell r="D104" t="str">
            <v>zone 3</v>
          </cell>
          <cell r="E104">
            <v>4.601</v>
          </cell>
          <cell r="F104">
            <v>1.498</v>
          </cell>
          <cell r="G104">
            <v>2.3540000000000005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8.4530000000000012</v>
          </cell>
          <cell r="M104">
            <v>0</v>
          </cell>
          <cell r="N104"/>
          <cell r="O104"/>
          <cell r="P104"/>
          <cell r="Q104" t="str">
            <v xml:space="preserve">objectif total entre 7 et 8 </v>
          </cell>
          <cell r="X104">
            <v>128</v>
          </cell>
          <cell r="Y104" t="str">
            <v>P</v>
          </cell>
          <cell r="Z104" t="str">
            <v>PP bonne</v>
          </cell>
          <cell r="AA104" t="str">
            <v>PP</v>
          </cell>
        </row>
        <row r="105">
          <cell r="A105">
            <v>129</v>
          </cell>
          <cell r="B105" t="str">
            <v>F/P</v>
          </cell>
          <cell r="C105" t="str">
            <v>PP bonne 1 coupe</v>
          </cell>
          <cell r="D105" t="str">
            <v>zone 3</v>
          </cell>
          <cell r="E105">
            <v>1.07</v>
          </cell>
          <cell r="F105">
            <v>1.498</v>
          </cell>
          <cell r="G105">
            <v>2.3540000000000005</v>
          </cell>
          <cell r="H105">
            <v>0</v>
          </cell>
          <cell r="I105">
            <v>0</v>
          </cell>
          <cell r="J105">
            <v>0</v>
          </cell>
          <cell r="K105">
            <v>3.6379999999999999</v>
          </cell>
          <cell r="L105">
            <v>8.56</v>
          </cell>
          <cell r="M105">
            <v>1</v>
          </cell>
          <cell r="N105"/>
          <cell r="O105"/>
          <cell r="P105"/>
          <cell r="X105">
            <v>129</v>
          </cell>
          <cell r="Y105" t="str">
            <v>F/P</v>
          </cell>
          <cell r="Z105" t="str">
            <v>PP bonne 1 coupe</v>
          </cell>
          <cell r="AA105" t="str">
            <v>PP</v>
          </cell>
        </row>
        <row r="106">
          <cell r="A106">
            <v>130</v>
          </cell>
          <cell r="B106" t="str">
            <v>F/P</v>
          </cell>
          <cell r="C106" t="str">
            <v>PP médiocre 1 coupe</v>
          </cell>
          <cell r="D106" t="str">
            <v>zone 3</v>
          </cell>
          <cell r="E106">
            <v>0</v>
          </cell>
          <cell r="F106">
            <v>0.9</v>
          </cell>
          <cell r="G106">
            <v>1.6</v>
          </cell>
          <cell r="H106"/>
          <cell r="I106"/>
          <cell r="J106"/>
          <cell r="K106">
            <v>1.5</v>
          </cell>
          <cell r="L106">
            <v>4</v>
          </cell>
          <cell r="M106">
            <v>1</v>
          </cell>
          <cell r="N106"/>
          <cell r="O106"/>
          <cell r="P106"/>
          <cell r="X106">
            <v>130</v>
          </cell>
          <cell r="Y106" t="str">
            <v>F/P</v>
          </cell>
          <cell r="Z106" t="str">
            <v>PP médiocre 1 coupe</v>
          </cell>
          <cell r="AA106" t="str">
            <v>PP</v>
          </cell>
        </row>
        <row r="107">
          <cell r="A107">
            <v>131</v>
          </cell>
          <cell r="B107" t="str">
            <v>F/P</v>
          </cell>
          <cell r="C107" t="str">
            <v>PP moyenne 2 coupes</v>
          </cell>
          <cell r="D107" t="str">
            <v>zone 3</v>
          </cell>
          <cell r="E107">
            <v>0.5</v>
          </cell>
          <cell r="F107">
            <v>0</v>
          </cell>
          <cell r="G107">
            <v>1.8</v>
          </cell>
          <cell r="H107"/>
          <cell r="I107"/>
          <cell r="J107"/>
          <cell r="K107">
            <v>3.8</v>
          </cell>
          <cell r="L107">
            <v>6.1</v>
          </cell>
          <cell r="M107">
            <v>2</v>
          </cell>
          <cell r="N107"/>
          <cell r="O107"/>
          <cell r="P107"/>
          <cell r="X107">
            <v>131</v>
          </cell>
          <cell r="Y107" t="str">
            <v>F/P</v>
          </cell>
          <cell r="Z107" t="str">
            <v>PP moyenne 2 coupes</v>
          </cell>
          <cell r="AA107" t="str">
            <v>PP</v>
          </cell>
        </row>
        <row r="108">
          <cell r="A108">
            <v>132</v>
          </cell>
          <cell r="B108" t="str">
            <v>P</v>
          </cell>
          <cell r="C108" t="str">
            <v>landes privées</v>
          </cell>
          <cell r="D108" t="str">
            <v>zone 3</v>
          </cell>
          <cell r="E108">
            <v>0.5</v>
          </cell>
          <cell r="F108">
            <v>0.25</v>
          </cell>
          <cell r="G108">
            <v>0</v>
          </cell>
          <cell r="H108"/>
          <cell r="I108"/>
          <cell r="J108"/>
          <cell r="K108">
            <v>0</v>
          </cell>
          <cell r="L108">
            <v>0.75</v>
          </cell>
          <cell r="M108">
            <v>0</v>
          </cell>
          <cell r="N108"/>
          <cell r="O108"/>
          <cell r="P108"/>
          <cell r="X108">
            <v>132</v>
          </cell>
          <cell r="Y108" t="str">
            <v>P</v>
          </cell>
          <cell r="Z108" t="str">
            <v>landes privées</v>
          </cell>
          <cell r="AA108" t="str">
            <v>lande</v>
          </cell>
        </row>
        <row r="109">
          <cell r="A109">
            <v>133</v>
          </cell>
          <cell r="B109" t="str">
            <v>F/P</v>
          </cell>
          <cell r="C109" t="str">
            <v xml:space="preserve">dérobé </v>
          </cell>
          <cell r="D109" t="str">
            <v>zone 3</v>
          </cell>
          <cell r="E109">
            <v>0</v>
          </cell>
          <cell r="F109">
            <v>0</v>
          </cell>
          <cell r="G109">
            <v>3</v>
          </cell>
          <cell r="H109"/>
          <cell r="I109"/>
          <cell r="J109"/>
          <cell r="K109">
            <v>1.5</v>
          </cell>
          <cell r="L109">
            <v>4.5</v>
          </cell>
          <cell r="M109">
            <v>1</v>
          </cell>
          <cell r="N109">
            <v>1</v>
          </cell>
          <cell r="O109"/>
          <cell r="P109"/>
          <cell r="X109">
            <v>133</v>
          </cell>
          <cell r="Y109" t="str">
            <v>F/P</v>
          </cell>
          <cell r="Z109" t="str">
            <v xml:space="preserve">dérobé </v>
          </cell>
          <cell r="AA109" t="str">
            <v>dérobé</v>
          </cell>
        </row>
        <row r="110">
          <cell r="A110">
            <v>134</v>
          </cell>
          <cell r="B110" t="str">
            <v>P</v>
          </cell>
          <cell r="C110" t="str">
            <v xml:space="preserve">Landes privées </v>
          </cell>
          <cell r="D110" t="str">
            <v xml:space="preserve">zone 4 </v>
          </cell>
          <cell r="E110">
            <v>0.5</v>
          </cell>
          <cell r="F110">
            <v>0.25</v>
          </cell>
          <cell r="G110">
            <v>0</v>
          </cell>
          <cell r="H110"/>
          <cell r="I110"/>
          <cell r="J110"/>
          <cell r="K110">
            <v>0</v>
          </cell>
          <cell r="L110"/>
          <cell r="M110">
            <v>0</v>
          </cell>
          <cell r="N110"/>
          <cell r="O110"/>
          <cell r="P110"/>
          <cell r="X110">
            <v>134</v>
          </cell>
          <cell r="Y110" t="str">
            <v>P</v>
          </cell>
          <cell r="Z110" t="str">
            <v xml:space="preserve">Landes privées </v>
          </cell>
          <cell r="AA110" t="str">
            <v>lande</v>
          </cell>
        </row>
        <row r="111">
          <cell r="A111">
            <v>135</v>
          </cell>
          <cell r="B111" t="str">
            <v>P</v>
          </cell>
          <cell r="C111" t="str">
            <v>PP médiocre</v>
          </cell>
          <cell r="D111" t="str">
            <v>zone 4</v>
          </cell>
          <cell r="E111">
            <v>1.3</v>
          </cell>
          <cell r="F111">
            <v>0.9</v>
          </cell>
          <cell r="G111">
            <v>1.6</v>
          </cell>
          <cell r="H111"/>
          <cell r="I111"/>
          <cell r="J111"/>
          <cell r="K111">
            <v>0</v>
          </cell>
          <cell r="L111">
            <v>3.8000000000000003</v>
          </cell>
          <cell r="M111">
            <v>0</v>
          </cell>
          <cell r="N111"/>
          <cell r="O111"/>
          <cell r="P111"/>
          <cell r="X111">
            <v>135</v>
          </cell>
          <cell r="Y111" t="str">
            <v>P</v>
          </cell>
          <cell r="Z111" t="str">
            <v>PP médiocre</v>
          </cell>
          <cell r="AA111" t="str">
            <v>PP</v>
          </cell>
        </row>
        <row r="112">
          <cell r="A112">
            <v>136</v>
          </cell>
          <cell r="B112" t="str">
            <v>F/P</v>
          </cell>
          <cell r="C112" t="str">
            <v>PP médiocre 1 coupe</v>
          </cell>
          <cell r="D112" t="str">
            <v>zone 4</v>
          </cell>
          <cell r="E112">
            <v>0</v>
          </cell>
          <cell r="F112">
            <v>0.9</v>
          </cell>
          <cell r="G112">
            <v>1.6</v>
          </cell>
          <cell r="H112"/>
          <cell r="I112"/>
          <cell r="J112"/>
          <cell r="K112">
            <v>1.5</v>
          </cell>
          <cell r="L112">
            <v>4</v>
          </cell>
          <cell r="M112">
            <v>1</v>
          </cell>
          <cell r="N112"/>
          <cell r="O112"/>
          <cell r="P112"/>
          <cell r="X112">
            <v>136</v>
          </cell>
          <cell r="Y112" t="str">
            <v>F/P</v>
          </cell>
          <cell r="Z112" t="str">
            <v>PP médiocre 1 coupe</v>
          </cell>
          <cell r="AA112" t="str">
            <v>PP</v>
          </cell>
        </row>
        <row r="113">
          <cell r="A113">
            <v>137</v>
          </cell>
          <cell r="B113" t="str">
            <v>P</v>
          </cell>
          <cell r="C113" t="str">
            <v>PP moyenne</v>
          </cell>
          <cell r="D113" t="str">
            <v>zone 4</v>
          </cell>
          <cell r="E113">
            <v>2.7</v>
          </cell>
          <cell r="F113">
            <v>0.9</v>
          </cell>
          <cell r="G113">
            <v>1.6</v>
          </cell>
          <cell r="H113"/>
          <cell r="I113"/>
          <cell r="J113"/>
          <cell r="K113">
            <v>0</v>
          </cell>
          <cell r="L113">
            <v>5.2</v>
          </cell>
          <cell r="M113">
            <v>0</v>
          </cell>
          <cell r="N113"/>
          <cell r="O113"/>
          <cell r="P113"/>
          <cell r="X113">
            <v>137</v>
          </cell>
          <cell r="Y113" t="str">
            <v>P</v>
          </cell>
          <cell r="Z113" t="str">
            <v>PP moyenne</v>
          </cell>
          <cell r="AA113" t="str">
            <v>PP</v>
          </cell>
        </row>
        <row r="114">
          <cell r="A114">
            <v>138</v>
          </cell>
          <cell r="B114" t="str">
            <v>F/P</v>
          </cell>
          <cell r="C114" t="str">
            <v>PP moyenne 1 coupe</v>
          </cell>
          <cell r="D114" t="str">
            <v>zone 4</v>
          </cell>
          <cell r="E114">
            <v>0.5</v>
          </cell>
          <cell r="F114">
            <v>0.7</v>
          </cell>
          <cell r="G114">
            <v>1.9</v>
          </cell>
          <cell r="H114"/>
          <cell r="I114"/>
          <cell r="J114"/>
          <cell r="K114">
            <v>2.8</v>
          </cell>
          <cell r="L114">
            <v>5.8999999999999995</v>
          </cell>
          <cell r="M114">
            <v>1</v>
          </cell>
          <cell r="N114"/>
          <cell r="O114"/>
          <cell r="P114"/>
          <cell r="X114">
            <v>138</v>
          </cell>
          <cell r="Y114" t="str">
            <v>F/P</v>
          </cell>
          <cell r="Z114" t="str">
            <v>PP moyenne 1 coupe</v>
          </cell>
          <cell r="AA114" t="str">
            <v>PP</v>
          </cell>
        </row>
        <row r="115">
          <cell r="A115">
            <v>139</v>
          </cell>
          <cell r="B115" t="str">
            <v>F/P</v>
          </cell>
          <cell r="C115" t="str">
            <v>PP moyenne 2 coupes</v>
          </cell>
          <cell r="D115" t="str">
            <v>zone 4</v>
          </cell>
          <cell r="E115">
            <v>0.5</v>
          </cell>
          <cell r="F115">
            <v>0</v>
          </cell>
          <cell r="G115">
            <v>1.8</v>
          </cell>
          <cell r="H115"/>
          <cell r="I115"/>
          <cell r="J115"/>
          <cell r="K115">
            <v>3.8</v>
          </cell>
          <cell r="L115">
            <v>6.1</v>
          </cell>
          <cell r="M115">
            <v>2</v>
          </cell>
          <cell r="N115"/>
          <cell r="O115"/>
          <cell r="P115"/>
          <cell r="X115">
            <v>139</v>
          </cell>
          <cell r="Y115" t="str">
            <v>F/P</v>
          </cell>
          <cell r="Z115" t="str">
            <v>PP moyenne 2 coupes</v>
          </cell>
          <cell r="AA115" t="str">
            <v>PP</v>
          </cell>
        </row>
        <row r="116">
          <cell r="A116">
            <v>140</v>
          </cell>
          <cell r="B116" t="str">
            <v>P</v>
          </cell>
          <cell r="C116" t="str">
            <v>PP médiocre</v>
          </cell>
          <cell r="D116" t="str">
            <v>zone 5</v>
          </cell>
          <cell r="E116">
            <v>1.3</v>
          </cell>
          <cell r="F116">
            <v>0.9</v>
          </cell>
          <cell r="G116">
            <v>1.6</v>
          </cell>
          <cell r="H116"/>
          <cell r="I116"/>
          <cell r="J116"/>
          <cell r="K116">
            <v>0</v>
          </cell>
          <cell r="L116">
            <v>3.8000000000000003</v>
          </cell>
          <cell r="M116">
            <v>0</v>
          </cell>
          <cell r="N116"/>
          <cell r="O116"/>
          <cell r="P116"/>
          <cell r="Q116" t="str">
            <v>topo Hf35.1 50-51</v>
          </cell>
          <cell r="X116">
            <v>140</v>
          </cell>
          <cell r="Y116" t="str">
            <v>P</v>
          </cell>
          <cell r="Z116" t="str">
            <v>PP médiocre</v>
          </cell>
          <cell r="AA116" t="str">
            <v>PP</v>
          </cell>
        </row>
        <row r="117">
          <cell r="A117">
            <v>141</v>
          </cell>
          <cell r="B117" t="str">
            <v>F/P</v>
          </cell>
          <cell r="C117" t="str">
            <v>PP médiocre 1 coupe</v>
          </cell>
          <cell r="D117" t="str">
            <v>zone 5</v>
          </cell>
          <cell r="E117">
            <v>0</v>
          </cell>
          <cell r="F117">
            <v>0.9</v>
          </cell>
          <cell r="G117">
            <v>1.6</v>
          </cell>
          <cell r="H117"/>
          <cell r="I117"/>
          <cell r="J117"/>
          <cell r="K117">
            <v>1.5</v>
          </cell>
          <cell r="L117">
            <v>4</v>
          </cell>
          <cell r="M117">
            <v>1</v>
          </cell>
          <cell r="N117"/>
          <cell r="O117"/>
          <cell r="P117"/>
          <cell r="X117">
            <v>141</v>
          </cell>
          <cell r="Y117" t="str">
            <v>F/P</v>
          </cell>
          <cell r="Z117" t="str">
            <v>PP médiocre 1 coupe</v>
          </cell>
          <cell r="AA117" t="str">
            <v>PP</v>
          </cell>
        </row>
        <row r="118">
          <cell r="A118">
            <v>142</v>
          </cell>
          <cell r="B118" t="str">
            <v>P</v>
          </cell>
          <cell r="C118" t="str">
            <v>PP moyenne</v>
          </cell>
          <cell r="D118" t="str">
            <v>zone 5</v>
          </cell>
          <cell r="E118">
            <v>2.7</v>
          </cell>
          <cell r="F118">
            <v>0.9</v>
          </cell>
          <cell r="G118">
            <v>1.6</v>
          </cell>
          <cell r="H118"/>
          <cell r="I118"/>
          <cell r="J118"/>
          <cell r="K118">
            <v>0</v>
          </cell>
          <cell r="L118">
            <v>5.2</v>
          </cell>
          <cell r="M118">
            <v>0</v>
          </cell>
          <cell r="N118"/>
          <cell r="O118"/>
          <cell r="P118"/>
          <cell r="Q118" t="str">
            <v>objectif total entre 5 et 6</v>
          </cell>
          <cell r="X118">
            <v>142</v>
          </cell>
          <cell r="Y118" t="str">
            <v>P</v>
          </cell>
          <cell r="Z118" t="str">
            <v>PP moyenne</v>
          </cell>
          <cell r="AA118" t="str">
            <v>PP</v>
          </cell>
        </row>
        <row r="119">
          <cell r="A119">
            <v>143</v>
          </cell>
          <cell r="B119" t="str">
            <v>F/P</v>
          </cell>
          <cell r="C119" t="str">
            <v>PP moyenne 1 coupe</v>
          </cell>
          <cell r="D119" t="str">
            <v>zone 5</v>
          </cell>
          <cell r="E119">
            <v>0.5</v>
          </cell>
          <cell r="F119">
            <v>0.7</v>
          </cell>
          <cell r="G119">
            <v>1.9</v>
          </cell>
          <cell r="H119"/>
          <cell r="I119"/>
          <cell r="J119"/>
          <cell r="K119">
            <v>2.8</v>
          </cell>
          <cell r="L119">
            <v>5.8999999999999995</v>
          </cell>
          <cell r="M119">
            <v>1</v>
          </cell>
          <cell r="N119"/>
          <cell r="O119"/>
          <cell r="P119"/>
          <cell r="X119">
            <v>143</v>
          </cell>
          <cell r="Y119" t="str">
            <v>F/P</v>
          </cell>
          <cell r="Z119" t="str">
            <v>PP moyenne 1 coupe</v>
          </cell>
          <cell r="AA119" t="str">
            <v>PP</v>
          </cell>
        </row>
        <row r="120">
          <cell r="A120">
            <v>144</v>
          </cell>
          <cell r="B120" t="str">
            <v>F/P</v>
          </cell>
          <cell r="C120" t="str">
            <v>PP moyenne 2 coupes</v>
          </cell>
          <cell r="D120" t="str">
            <v>zone 5</v>
          </cell>
          <cell r="E120">
            <v>0.5</v>
          </cell>
          <cell r="F120">
            <v>0</v>
          </cell>
          <cell r="G120">
            <v>1.8</v>
          </cell>
          <cell r="H120"/>
          <cell r="I120"/>
          <cell r="J120"/>
          <cell r="K120">
            <v>3.8</v>
          </cell>
          <cell r="L120">
            <v>6.1</v>
          </cell>
          <cell r="M120">
            <v>2</v>
          </cell>
          <cell r="N120"/>
          <cell r="O120"/>
          <cell r="P120"/>
          <cell r="X120">
            <v>144</v>
          </cell>
          <cell r="Y120" t="str">
            <v>F/P</v>
          </cell>
          <cell r="Z120" t="str">
            <v>PP moyenne 2 coupes</v>
          </cell>
          <cell r="AA120" t="str">
            <v>PP</v>
          </cell>
        </row>
        <row r="121">
          <cell r="A121">
            <v>145</v>
          </cell>
          <cell r="B121" t="str">
            <v>P</v>
          </cell>
          <cell r="C121" t="str">
            <v>Landes privée</v>
          </cell>
          <cell r="D121" t="str">
            <v xml:space="preserve">zone 5 </v>
          </cell>
          <cell r="E121">
            <v>0.5</v>
          </cell>
          <cell r="F121">
            <v>0.25</v>
          </cell>
          <cell r="G121">
            <v>0</v>
          </cell>
          <cell r="H121"/>
          <cell r="I121"/>
          <cell r="J121"/>
          <cell r="K121"/>
          <cell r="L121">
            <v>0.75</v>
          </cell>
          <cell r="M121">
            <v>0</v>
          </cell>
          <cell r="N121"/>
          <cell r="O121"/>
          <cell r="P121"/>
          <cell r="X121">
            <v>145</v>
          </cell>
          <cell r="Y121" t="str">
            <v>P</v>
          </cell>
          <cell r="Z121" t="str">
            <v>Landes privée</v>
          </cell>
          <cell r="AA121" t="str">
            <v>lande</v>
          </cell>
        </row>
        <row r="122">
          <cell r="A122">
            <v>146</v>
          </cell>
          <cell r="B122" t="str">
            <v>P</v>
          </cell>
          <cell r="C122" t="str">
            <v xml:space="preserve">landes privées </v>
          </cell>
          <cell r="D122" t="str">
            <v>zone 1</v>
          </cell>
          <cell r="E122">
            <v>0.5</v>
          </cell>
          <cell r="F122">
            <v>0.25</v>
          </cell>
          <cell r="G122">
            <v>0</v>
          </cell>
          <cell r="H122">
            <v>0</v>
          </cell>
          <cell r="I122">
            <v>0</v>
          </cell>
          <cell r="J122"/>
          <cell r="K122">
            <v>0</v>
          </cell>
          <cell r="L122">
            <v>0.75</v>
          </cell>
          <cell r="M122">
            <v>0</v>
          </cell>
          <cell r="N122"/>
          <cell r="O122"/>
          <cell r="P122"/>
          <cell r="X122">
            <v>146</v>
          </cell>
          <cell r="Y122" t="str">
            <v>P</v>
          </cell>
          <cell r="Z122" t="str">
            <v xml:space="preserve">landes privées </v>
          </cell>
          <cell r="AA122" t="str">
            <v>lande</v>
          </cell>
        </row>
        <row r="123">
          <cell r="A123">
            <v>147</v>
          </cell>
          <cell r="B123" t="str">
            <v>P</v>
          </cell>
          <cell r="C123" t="str">
            <v>landes privées</v>
          </cell>
          <cell r="D123" t="str">
            <v>zone 2</v>
          </cell>
          <cell r="E123">
            <v>0.5</v>
          </cell>
          <cell r="F123">
            <v>0.25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0.75</v>
          </cell>
          <cell r="M123">
            <v>0</v>
          </cell>
          <cell r="N123"/>
          <cell r="O123"/>
          <cell r="P123"/>
          <cell r="X123">
            <v>147</v>
          </cell>
          <cell r="Y123" t="str">
            <v>P</v>
          </cell>
          <cell r="Z123" t="str">
            <v>landes privées</v>
          </cell>
          <cell r="AA123" t="str">
            <v>lande</v>
          </cell>
        </row>
        <row r="124">
          <cell r="A124">
            <v>148</v>
          </cell>
          <cell r="B124" t="str">
            <v>F</v>
          </cell>
          <cell r="C124" t="str">
            <v>PT 2 coupes</v>
          </cell>
          <cell r="D124" t="str">
            <v>zone 3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6.6340000000000003</v>
          </cell>
          <cell r="L124">
            <v>6.6340000000000003</v>
          </cell>
          <cell r="M124">
            <v>2</v>
          </cell>
          <cell r="N124"/>
          <cell r="O124"/>
          <cell r="P124">
            <v>1</v>
          </cell>
          <cell r="X124">
            <v>148</v>
          </cell>
          <cell r="Y124" t="str">
            <v>F</v>
          </cell>
          <cell r="Z124" t="str">
            <v>PT 2 coupes</v>
          </cell>
          <cell r="AA124" t="str">
            <v>PT</v>
          </cell>
        </row>
        <row r="125">
          <cell r="A125">
            <v>149</v>
          </cell>
          <cell r="B125" t="str">
            <v>F</v>
          </cell>
          <cell r="C125" t="str">
            <v>PP moyenne 1 coupe</v>
          </cell>
          <cell r="D125" t="str">
            <v>zone 3</v>
          </cell>
          <cell r="E125">
            <v>0</v>
          </cell>
          <cell r="F125">
            <v>0</v>
          </cell>
          <cell r="G125">
            <v>0</v>
          </cell>
          <cell r="H125"/>
          <cell r="I125"/>
          <cell r="J125"/>
          <cell r="K125">
            <v>2.2000000000000002</v>
          </cell>
          <cell r="L125">
            <v>2.2000000000000002</v>
          </cell>
          <cell r="M125">
            <v>1</v>
          </cell>
          <cell r="N125"/>
          <cell r="O125"/>
          <cell r="P125"/>
          <cell r="X125">
            <v>149</v>
          </cell>
          <cell r="Y125" t="str">
            <v>F</v>
          </cell>
          <cell r="Z125" t="str">
            <v>PP moyenne 1 coupe</v>
          </cell>
          <cell r="AA125" t="str">
            <v>PP</v>
          </cell>
        </row>
        <row r="126">
          <cell r="A126">
            <v>150</v>
          </cell>
          <cell r="B126" t="str">
            <v>F</v>
          </cell>
          <cell r="C126" t="str">
            <v>PP moyenne 2 coupes</v>
          </cell>
          <cell r="D126" t="str">
            <v>zone 3</v>
          </cell>
          <cell r="E126">
            <v>0</v>
          </cell>
          <cell r="F126">
            <v>0</v>
          </cell>
          <cell r="G126">
            <v>0</v>
          </cell>
          <cell r="H126"/>
          <cell r="I126"/>
          <cell r="J126"/>
          <cell r="K126">
            <v>5.2</v>
          </cell>
          <cell r="L126">
            <v>5.2</v>
          </cell>
          <cell r="M126">
            <v>2</v>
          </cell>
          <cell r="N126"/>
          <cell r="O126"/>
          <cell r="P126"/>
          <cell r="X126">
            <v>150</v>
          </cell>
          <cell r="Y126" t="str">
            <v>F</v>
          </cell>
          <cell r="Z126" t="str">
            <v>PP moyenne 2 coupes</v>
          </cell>
          <cell r="AA126" t="str">
            <v>PP</v>
          </cell>
        </row>
        <row r="127">
          <cell r="A127">
            <v>151</v>
          </cell>
          <cell r="B127" t="str">
            <v>F</v>
          </cell>
          <cell r="C127" t="str">
            <v xml:space="preserve">PT 2 coupes </v>
          </cell>
          <cell r="D127" t="str">
            <v>zone 4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6.6340000000000003</v>
          </cell>
          <cell r="L127">
            <v>6.6340000000000003</v>
          </cell>
          <cell r="M127">
            <v>2</v>
          </cell>
          <cell r="N127"/>
          <cell r="O127"/>
          <cell r="P127">
            <v>1</v>
          </cell>
          <cell r="X127">
            <v>151</v>
          </cell>
          <cell r="Y127" t="str">
            <v>F</v>
          </cell>
          <cell r="Z127" t="str">
            <v xml:space="preserve">PT 2 coupes </v>
          </cell>
          <cell r="AA127" t="str">
            <v>PT</v>
          </cell>
        </row>
        <row r="128">
          <cell r="A128">
            <v>152</v>
          </cell>
          <cell r="B128" t="str">
            <v>F</v>
          </cell>
          <cell r="C128" t="str">
            <v>PP moyenne 1 coupe</v>
          </cell>
          <cell r="D128" t="str">
            <v>zone 4</v>
          </cell>
          <cell r="E128">
            <v>0</v>
          </cell>
          <cell r="F128">
            <v>0</v>
          </cell>
          <cell r="G128">
            <v>0</v>
          </cell>
          <cell r="H128"/>
          <cell r="I128"/>
          <cell r="J128"/>
          <cell r="K128">
            <v>2.2000000000000002</v>
          </cell>
          <cell r="L128">
            <v>2.2000000000000002</v>
          </cell>
          <cell r="M128">
            <v>1</v>
          </cell>
          <cell r="N128"/>
          <cell r="O128"/>
          <cell r="P128"/>
          <cell r="X128">
            <v>152</v>
          </cell>
          <cell r="Y128" t="str">
            <v>F</v>
          </cell>
          <cell r="Z128" t="str">
            <v>PP moyenne 1 coupe</v>
          </cell>
          <cell r="AA128" t="str">
            <v>PP</v>
          </cell>
        </row>
        <row r="129">
          <cell r="A129">
            <v>153</v>
          </cell>
          <cell r="B129" t="str">
            <v>F</v>
          </cell>
          <cell r="C129" t="str">
            <v>PP moyenne 2 coupes</v>
          </cell>
          <cell r="D129" t="str">
            <v>zone 4</v>
          </cell>
          <cell r="E129">
            <v>0</v>
          </cell>
          <cell r="F129">
            <v>0</v>
          </cell>
          <cell r="G129">
            <v>0</v>
          </cell>
          <cell r="H129"/>
          <cell r="I129"/>
          <cell r="J129"/>
          <cell r="K129">
            <v>3.2</v>
          </cell>
          <cell r="L129">
            <v>3.2</v>
          </cell>
          <cell r="M129">
            <v>2</v>
          </cell>
          <cell r="N129"/>
          <cell r="O129"/>
          <cell r="P129"/>
          <cell r="X129">
            <v>153</v>
          </cell>
          <cell r="Y129" t="str">
            <v>F</v>
          </cell>
          <cell r="Z129" t="str">
            <v>PP moyenne 2 coupes</v>
          </cell>
          <cell r="AA129" t="str">
            <v>PP</v>
          </cell>
        </row>
        <row r="130">
          <cell r="A130">
            <v>154</v>
          </cell>
          <cell r="B130" t="str">
            <v>F/P</v>
          </cell>
          <cell r="C130" t="str">
            <v>luzernière 3-4 coupes</v>
          </cell>
          <cell r="D130" t="str">
            <v>zone 5</v>
          </cell>
          <cell r="E130">
            <v>0</v>
          </cell>
          <cell r="F130">
            <v>0</v>
          </cell>
          <cell r="G130">
            <v>1.5</v>
          </cell>
          <cell r="H130"/>
          <cell r="I130"/>
          <cell r="J130"/>
          <cell r="K130">
            <v>7</v>
          </cell>
          <cell r="L130">
            <v>8.5</v>
          </cell>
          <cell r="M130">
            <v>3</v>
          </cell>
          <cell r="N130"/>
          <cell r="O130">
            <v>1</v>
          </cell>
          <cell r="P130">
            <v>1</v>
          </cell>
          <cell r="X130">
            <v>154</v>
          </cell>
          <cell r="Y130" t="str">
            <v>F/P</v>
          </cell>
          <cell r="Z130" t="str">
            <v>luzernière 3-4 coupes</v>
          </cell>
          <cell r="AA130" t="str">
            <v>PT</v>
          </cell>
        </row>
        <row r="131">
          <cell r="A131">
            <v>155</v>
          </cell>
          <cell r="B131" t="str">
            <v>F</v>
          </cell>
          <cell r="C131" t="str">
            <v>PP moyenne 1 coupe</v>
          </cell>
          <cell r="D131" t="str">
            <v>zone 5</v>
          </cell>
          <cell r="E131">
            <v>0</v>
          </cell>
          <cell r="F131">
            <v>0</v>
          </cell>
          <cell r="G131">
            <v>0</v>
          </cell>
          <cell r="H131"/>
          <cell r="I131"/>
          <cell r="J131"/>
          <cell r="K131">
            <v>2.2000000000000002</v>
          </cell>
          <cell r="L131">
            <v>2.2000000000000002</v>
          </cell>
          <cell r="M131">
            <v>1</v>
          </cell>
          <cell r="N131"/>
          <cell r="O131"/>
          <cell r="P131"/>
          <cell r="X131">
            <v>155</v>
          </cell>
          <cell r="Y131" t="str">
            <v>F</v>
          </cell>
          <cell r="Z131" t="str">
            <v>PP moyenne 1 coupe</v>
          </cell>
          <cell r="AA131" t="str">
            <v>PP</v>
          </cell>
        </row>
        <row r="132">
          <cell r="A132">
            <v>156</v>
          </cell>
          <cell r="B132" t="str">
            <v>F</v>
          </cell>
          <cell r="C132" t="str">
            <v>PP moyenne 2 coupes</v>
          </cell>
          <cell r="D132" t="str">
            <v>zone 5</v>
          </cell>
          <cell r="E132">
            <v>0</v>
          </cell>
          <cell r="F132">
            <v>0</v>
          </cell>
          <cell r="G132">
            <v>0</v>
          </cell>
          <cell r="H132"/>
          <cell r="I132"/>
          <cell r="J132"/>
          <cell r="K132">
            <v>3.2</v>
          </cell>
          <cell r="L132">
            <v>3.2</v>
          </cell>
          <cell r="M132">
            <v>2</v>
          </cell>
          <cell r="N132"/>
          <cell r="O132"/>
          <cell r="P132"/>
          <cell r="X132">
            <v>156</v>
          </cell>
          <cell r="Y132" t="str">
            <v>F</v>
          </cell>
          <cell r="Z132" t="str">
            <v>PP moyenne 2 coupes</v>
          </cell>
          <cell r="AA132" t="str">
            <v>PP</v>
          </cell>
        </row>
        <row r="133">
          <cell r="A133">
            <v>157</v>
          </cell>
          <cell r="B133" t="str">
            <v>F/P</v>
          </cell>
          <cell r="C133" t="str">
            <v>luzernière 3-4 coupes</v>
          </cell>
          <cell r="D133" t="str">
            <v>zone 4</v>
          </cell>
          <cell r="E133">
            <v>0</v>
          </cell>
          <cell r="F133">
            <v>0</v>
          </cell>
          <cell r="G133">
            <v>1.5</v>
          </cell>
          <cell r="H133"/>
          <cell r="I133"/>
          <cell r="J133"/>
          <cell r="K133">
            <v>7</v>
          </cell>
          <cell r="L133">
            <v>8.5</v>
          </cell>
          <cell r="M133">
            <v>3</v>
          </cell>
          <cell r="N133"/>
          <cell r="O133">
            <v>1</v>
          </cell>
          <cell r="P133">
            <v>1</v>
          </cell>
          <cell r="X133">
            <v>157</v>
          </cell>
          <cell r="Y133" t="str">
            <v>F/P</v>
          </cell>
          <cell r="Z133" t="str">
            <v>luzernière 3-4 coupes</v>
          </cell>
          <cell r="AA133" t="str">
            <v>PT</v>
          </cell>
        </row>
        <row r="134">
          <cell r="A134">
            <v>158</v>
          </cell>
          <cell r="B134" t="str">
            <v>F/P</v>
          </cell>
          <cell r="C134" t="str">
            <v>luzernière fauchée 2 coupes + paturée</v>
          </cell>
          <cell r="D134" t="str">
            <v>zone 4</v>
          </cell>
          <cell r="E134">
            <v>0</v>
          </cell>
          <cell r="F134">
            <v>1.5</v>
          </cell>
          <cell r="G134">
            <v>1.5</v>
          </cell>
          <cell r="H134"/>
          <cell r="I134"/>
          <cell r="J134"/>
          <cell r="K134">
            <v>5</v>
          </cell>
          <cell r="L134">
            <v>8</v>
          </cell>
          <cell r="M134">
            <v>2</v>
          </cell>
          <cell r="N134"/>
          <cell r="O134">
            <v>1</v>
          </cell>
          <cell r="P134">
            <v>1</v>
          </cell>
          <cell r="X134">
            <v>158</v>
          </cell>
          <cell r="Y134" t="str">
            <v>F/P</v>
          </cell>
          <cell r="Z134" t="str">
            <v>luzernière fauchée 2 coupes + paturée</v>
          </cell>
          <cell r="AA134" t="str">
            <v>PT</v>
          </cell>
        </row>
        <row r="135">
          <cell r="A135">
            <v>159</v>
          </cell>
          <cell r="B135" t="str">
            <v>F</v>
          </cell>
          <cell r="C135" t="str">
            <v>luzernière fauchée 3-4 coupes</v>
          </cell>
          <cell r="D135" t="str">
            <v>zone 4</v>
          </cell>
          <cell r="E135">
            <v>0</v>
          </cell>
          <cell r="F135">
            <v>0</v>
          </cell>
          <cell r="G135">
            <v>0</v>
          </cell>
          <cell r="H135"/>
          <cell r="I135"/>
          <cell r="J135"/>
          <cell r="K135">
            <v>7</v>
          </cell>
          <cell r="L135">
            <v>7</v>
          </cell>
          <cell r="M135">
            <v>3</v>
          </cell>
          <cell r="N135"/>
          <cell r="O135">
            <v>1</v>
          </cell>
          <cell r="P135">
            <v>1</v>
          </cell>
          <cell r="X135">
            <v>159</v>
          </cell>
          <cell r="Y135" t="str">
            <v>F</v>
          </cell>
          <cell r="Z135" t="str">
            <v>luzernière fauchée 3-4 coupes</v>
          </cell>
          <cell r="AA135" t="str">
            <v>PT</v>
          </cell>
        </row>
        <row r="136">
          <cell r="A136">
            <v>160</v>
          </cell>
          <cell r="B136" t="str">
            <v>F/P</v>
          </cell>
          <cell r="C136" t="str">
            <v>luzernière 3-4 coupes</v>
          </cell>
          <cell r="D136" t="str">
            <v>zone 3</v>
          </cell>
          <cell r="E136">
            <v>0</v>
          </cell>
          <cell r="F136">
            <v>0</v>
          </cell>
          <cell r="G136">
            <v>1.5</v>
          </cell>
          <cell r="H136"/>
          <cell r="I136"/>
          <cell r="J136"/>
          <cell r="K136">
            <v>7</v>
          </cell>
          <cell r="L136">
            <v>8.5</v>
          </cell>
          <cell r="M136">
            <v>3</v>
          </cell>
          <cell r="N136"/>
          <cell r="O136">
            <v>1</v>
          </cell>
          <cell r="P136">
            <v>1</v>
          </cell>
          <cell r="X136">
            <v>160</v>
          </cell>
          <cell r="Y136" t="str">
            <v>F/P</v>
          </cell>
          <cell r="Z136" t="str">
            <v>luzernière 3-4 coupes</v>
          </cell>
          <cell r="AA136" t="str">
            <v>PT</v>
          </cell>
        </row>
        <row r="137">
          <cell r="A137">
            <v>161</v>
          </cell>
          <cell r="B137" t="str">
            <v>F/P</v>
          </cell>
          <cell r="C137" t="str">
            <v>luzernière fauchée 2 coupes + paturée</v>
          </cell>
          <cell r="D137" t="str">
            <v>zone 3</v>
          </cell>
          <cell r="E137">
            <v>0</v>
          </cell>
          <cell r="F137">
            <v>1.5</v>
          </cell>
          <cell r="G137">
            <v>1.5</v>
          </cell>
          <cell r="H137"/>
          <cell r="I137"/>
          <cell r="J137"/>
          <cell r="K137">
            <v>5</v>
          </cell>
          <cell r="L137">
            <v>8</v>
          </cell>
          <cell r="M137">
            <v>2</v>
          </cell>
          <cell r="N137"/>
          <cell r="O137">
            <v>1</v>
          </cell>
          <cell r="P137">
            <v>1</v>
          </cell>
          <cell r="X137">
            <v>161</v>
          </cell>
          <cell r="Y137" t="str">
            <v>F/P</v>
          </cell>
          <cell r="Z137" t="str">
            <v>luzernière fauchée 2 coupes + paturée</v>
          </cell>
          <cell r="AA137" t="str">
            <v>PT</v>
          </cell>
        </row>
        <row r="138">
          <cell r="A138">
            <v>162</v>
          </cell>
          <cell r="B138" t="str">
            <v>F</v>
          </cell>
          <cell r="C138" t="str">
            <v>luzernière fauchée 3-4 coupes</v>
          </cell>
          <cell r="D138" t="str">
            <v>zone 3</v>
          </cell>
          <cell r="E138">
            <v>0</v>
          </cell>
          <cell r="F138">
            <v>0</v>
          </cell>
          <cell r="G138">
            <v>0</v>
          </cell>
          <cell r="H138"/>
          <cell r="I138"/>
          <cell r="J138"/>
          <cell r="K138">
            <v>7</v>
          </cell>
          <cell r="L138">
            <v>7</v>
          </cell>
          <cell r="M138">
            <v>3</v>
          </cell>
          <cell r="N138"/>
          <cell r="O138">
            <v>1</v>
          </cell>
          <cell r="P138">
            <v>1</v>
          </cell>
          <cell r="X138">
            <v>162</v>
          </cell>
          <cell r="Y138" t="str">
            <v>F</v>
          </cell>
          <cell r="Z138" t="str">
            <v>luzernière fauchée 3-4 coupes</v>
          </cell>
          <cell r="AA138" t="str">
            <v>PT</v>
          </cell>
        </row>
        <row r="139">
          <cell r="A139">
            <v>163</v>
          </cell>
          <cell r="B139" t="str">
            <v>F/P</v>
          </cell>
          <cell r="C139" t="str">
            <v>landes privées</v>
          </cell>
          <cell r="D139" t="str">
            <v>zone 3</v>
          </cell>
          <cell r="E139">
            <v>0.5</v>
          </cell>
          <cell r="F139">
            <v>0.25</v>
          </cell>
          <cell r="G139">
            <v>0</v>
          </cell>
          <cell r="H139"/>
          <cell r="I139"/>
          <cell r="J139"/>
          <cell r="K139">
            <v>0</v>
          </cell>
          <cell r="L139">
            <v>0.75</v>
          </cell>
          <cell r="M139">
            <v>0</v>
          </cell>
          <cell r="N139"/>
          <cell r="O139"/>
          <cell r="P139"/>
          <cell r="X139">
            <v>163</v>
          </cell>
          <cell r="Y139" t="str">
            <v>F/P</v>
          </cell>
          <cell r="Z139" t="str">
            <v>landes privées</v>
          </cell>
          <cell r="AA139" t="str">
            <v>lande</v>
          </cell>
        </row>
        <row r="140">
          <cell r="A140">
            <v>164</v>
          </cell>
          <cell r="B140" t="str">
            <v>F/P</v>
          </cell>
          <cell r="C140" t="str">
            <v>landes privées</v>
          </cell>
          <cell r="D140" t="str">
            <v>zone 4</v>
          </cell>
          <cell r="E140">
            <v>0.5</v>
          </cell>
          <cell r="F140">
            <v>0.25</v>
          </cell>
          <cell r="G140">
            <v>0</v>
          </cell>
          <cell r="H140"/>
          <cell r="I140"/>
          <cell r="J140"/>
          <cell r="K140">
            <v>0</v>
          </cell>
          <cell r="L140">
            <v>0.75</v>
          </cell>
          <cell r="M140">
            <v>0</v>
          </cell>
          <cell r="N140"/>
          <cell r="O140"/>
          <cell r="P140"/>
          <cell r="X140">
            <v>164</v>
          </cell>
          <cell r="Y140" t="str">
            <v>F/P</v>
          </cell>
          <cell r="Z140" t="str">
            <v>landes privées</v>
          </cell>
          <cell r="AA140" t="str">
            <v>lande</v>
          </cell>
        </row>
        <row r="141">
          <cell r="A141">
            <v>165</v>
          </cell>
          <cell r="B141" t="str">
            <v>F/P</v>
          </cell>
          <cell r="C141" t="str">
            <v xml:space="preserve">landes privées </v>
          </cell>
          <cell r="D141" t="str">
            <v>zone 5</v>
          </cell>
          <cell r="E141">
            <v>0.5</v>
          </cell>
          <cell r="F141">
            <v>0.25</v>
          </cell>
          <cell r="G141">
            <v>0</v>
          </cell>
          <cell r="H141"/>
          <cell r="I141"/>
          <cell r="J141"/>
          <cell r="K141">
            <v>0</v>
          </cell>
          <cell r="L141">
            <v>0.75</v>
          </cell>
          <cell r="M141">
            <v>0</v>
          </cell>
          <cell r="N141"/>
          <cell r="O141"/>
          <cell r="P141"/>
          <cell r="X141">
            <v>165</v>
          </cell>
          <cell r="Y141" t="str">
            <v>F/P</v>
          </cell>
          <cell r="Z141" t="str">
            <v xml:space="preserve">landes privées </v>
          </cell>
          <cell r="AA141" t="str">
            <v>lande</v>
          </cell>
        </row>
        <row r="142">
          <cell r="A142">
            <v>166</v>
          </cell>
          <cell r="B142" t="str">
            <v>F/P</v>
          </cell>
          <cell r="C142" t="str">
            <v xml:space="preserve">landes privées </v>
          </cell>
          <cell r="D142" t="str">
            <v>zone 1</v>
          </cell>
          <cell r="E142">
            <v>0.5</v>
          </cell>
          <cell r="F142">
            <v>0.25</v>
          </cell>
          <cell r="G142">
            <v>0</v>
          </cell>
          <cell r="H142">
            <v>0</v>
          </cell>
          <cell r="I142">
            <v>0</v>
          </cell>
          <cell r="J142"/>
          <cell r="K142">
            <v>0</v>
          </cell>
          <cell r="L142">
            <v>0.75</v>
          </cell>
          <cell r="M142">
            <v>0</v>
          </cell>
          <cell r="N142"/>
          <cell r="O142"/>
          <cell r="P142"/>
          <cell r="X142">
            <v>166</v>
          </cell>
          <cell r="Y142" t="str">
            <v>F/P</v>
          </cell>
          <cell r="Z142" t="str">
            <v xml:space="preserve">landes privées </v>
          </cell>
          <cell r="AA142" t="str">
            <v>lande</v>
          </cell>
        </row>
        <row r="143">
          <cell r="A143">
            <v>167</v>
          </cell>
          <cell r="B143" t="str">
            <v>F/P</v>
          </cell>
          <cell r="C143" t="str">
            <v xml:space="preserve">landes privées </v>
          </cell>
          <cell r="D143" t="str">
            <v>zone 2</v>
          </cell>
          <cell r="E143">
            <v>0.5</v>
          </cell>
          <cell r="F143">
            <v>0.25</v>
          </cell>
          <cell r="G143">
            <v>0</v>
          </cell>
          <cell r="H143">
            <v>0</v>
          </cell>
          <cell r="I143">
            <v>0</v>
          </cell>
          <cell r="J143"/>
          <cell r="K143">
            <v>0</v>
          </cell>
          <cell r="L143">
            <v>0.75</v>
          </cell>
          <cell r="M143">
            <v>0</v>
          </cell>
          <cell r="N143"/>
          <cell r="O143"/>
          <cell r="P143"/>
          <cell r="X143">
            <v>167</v>
          </cell>
          <cell r="Y143" t="str">
            <v>F/P</v>
          </cell>
          <cell r="Z143" t="str">
            <v xml:space="preserve">landes privées </v>
          </cell>
          <cell r="AA143" t="str">
            <v>lande</v>
          </cell>
        </row>
        <row r="144">
          <cell r="A144">
            <v>168</v>
          </cell>
          <cell r="B144" t="str">
            <v>P</v>
          </cell>
          <cell r="C144" t="str">
            <v xml:space="preserve">landes privées </v>
          </cell>
          <cell r="D144" t="str">
            <v>zone 1</v>
          </cell>
          <cell r="E144">
            <v>0</v>
          </cell>
          <cell r="F144">
            <v>0</v>
          </cell>
          <cell r="G144">
            <v>0</v>
          </cell>
          <cell r="H144">
            <v>0.35</v>
          </cell>
          <cell r="I144">
            <v>0.35</v>
          </cell>
          <cell r="J144"/>
          <cell r="K144">
            <v>0</v>
          </cell>
          <cell r="L144">
            <v>0.7</v>
          </cell>
          <cell r="M144">
            <v>0</v>
          </cell>
          <cell r="N144"/>
          <cell r="O144"/>
          <cell r="P144"/>
          <cell r="X144">
            <v>168</v>
          </cell>
          <cell r="Y144" t="str">
            <v>P</v>
          </cell>
          <cell r="Z144" t="str">
            <v xml:space="preserve">landes privées </v>
          </cell>
          <cell r="AA144" t="str">
            <v>lande</v>
          </cell>
        </row>
        <row r="145">
          <cell r="A145">
            <v>169</v>
          </cell>
          <cell r="B145" t="str">
            <v>P</v>
          </cell>
          <cell r="C145" t="str">
            <v xml:space="preserve">landes privées </v>
          </cell>
          <cell r="D145" t="str">
            <v>zone 2</v>
          </cell>
          <cell r="E145">
            <v>0</v>
          </cell>
          <cell r="F145">
            <v>0</v>
          </cell>
          <cell r="G145">
            <v>0</v>
          </cell>
          <cell r="H145">
            <v>0.35</v>
          </cell>
          <cell r="I145">
            <v>0.35</v>
          </cell>
          <cell r="J145"/>
          <cell r="K145">
            <v>0</v>
          </cell>
          <cell r="L145">
            <v>0.7</v>
          </cell>
          <cell r="M145">
            <v>0</v>
          </cell>
          <cell r="N145"/>
          <cell r="O145"/>
          <cell r="P145"/>
          <cell r="X145">
            <v>169</v>
          </cell>
          <cell r="Y145" t="str">
            <v>P</v>
          </cell>
          <cell r="Z145" t="str">
            <v xml:space="preserve">landes privées </v>
          </cell>
          <cell r="AA145" t="str">
            <v>lande</v>
          </cell>
        </row>
        <row r="146">
          <cell r="A146">
            <v>170</v>
          </cell>
          <cell r="B146" t="str">
            <v>F/P</v>
          </cell>
          <cell r="C146" t="str">
            <v xml:space="preserve">landes privées </v>
          </cell>
          <cell r="D146" t="str">
            <v>zone 1</v>
          </cell>
          <cell r="E146">
            <v>0</v>
          </cell>
          <cell r="F146">
            <v>0</v>
          </cell>
          <cell r="G146">
            <v>0</v>
          </cell>
          <cell r="H146">
            <v>0.35</v>
          </cell>
          <cell r="I146">
            <v>0.35</v>
          </cell>
          <cell r="J146"/>
          <cell r="K146">
            <v>0</v>
          </cell>
          <cell r="L146">
            <v>0.7</v>
          </cell>
          <cell r="M146">
            <v>0</v>
          </cell>
          <cell r="N146"/>
          <cell r="O146"/>
          <cell r="P146"/>
          <cell r="X146">
            <v>170</v>
          </cell>
          <cell r="Y146" t="str">
            <v>F/P</v>
          </cell>
          <cell r="Z146" t="str">
            <v xml:space="preserve">landes privées </v>
          </cell>
          <cell r="AA146" t="str">
            <v>lande</v>
          </cell>
        </row>
        <row r="147">
          <cell r="A147">
            <v>171</v>
          </cell>
          <cell r="B147" t="str">
            <v>F/P</v>
          </cell>
          <cell r="C147" t="str">
            <v xml:space="preserve">landes privées </v>
          </cell>
          <cell r="D147" t="str">
            <v>zone 2</v>
          </cell>
          <cell r="E147">
            <v>0</v>
          </cell>
          <cell r="F147">
            <v>0</v>
          </cell>
          <cell r="G147">
            <v>0</v>
          </cell>
          <cell r="H147">
            <v>0.35</v>
          </cell>
          <cell r="I147">
            <v>0.35</v>
          </cell>
          <cell r="J147"/>
          <cell r="K147">
            <v>0</v>
          </cell>
          <cell r="L147">
            <v>0.7</v>
          </cell>
          <cell r="M147">
            <v>0</v>
          </cell>
          <cell r="N147"/>
          <cell r="O147"/>
          <cell r="P147"/>
          <cell r="X147">
            <v>171</v>
          </cell>
          <cell r="Y147" t="str">
            <v>F/P</v>
          </cell>
          <cell r="Z147" t="str">
            <v xml:space="preserve">landes privées </v>
          </cell>
          <cell r="AA147" t="str">
            <v>lande</v>
          </cell>
        </row>
        <row r="148">
          <cell r="A148">
            <v>172</v>
          </cell>
          <cell r="B148" t="str">
            <v>P</v>
          </cell>
          <cell r="C148" t="str">
            <v xml:space="preserve">landes privées </v>
          </cell>
          <cell r="D148" t="str">
            <v>zone 1</v>
          </cell>
          <cell r="E148">
            <v>0</v>
          </cell>
          <cell r="F148">
            <v>0</v>
          </cell>
          <cell r="G148">
            <v>0.75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0.75</v>
          </cell>
          <cell r="M148">
            <v>0</v>
          </cell>
          <cell r="N148"/>
          <cell r="O148"/>
          <cell r="P148"/>
          <cell r="X148">
            <v>172</v>
          </cell>
          <cell r="Y148" t="str">
            <v>P</v>
          </cell>
          <cell r="Z148" t="str">
            <v xml:space="preserve">landes privées </v>
          </cell>
          <cell r="AA148" t="str">
            <v>lande</v>
          </cell>
        </row>
        <row r="149">
          <cell r="A149">
            <v>173</v>
          </cell>
          <cell r="B149" t="str">
            <v>P</v>
          </cell>
          <cell r="C149" t="str">
            <v xml:space="preserve">landes privées </v>
          </cell>
          <cell r="D149" t="str">
            <v>zone 2</v>
          </cell>
          <cell r="E149">
            <v>0</v>
          </cell>
          <cell r="F149">
            <v>0</v>
          </cell>
          <cell r="G149">
            <v>0.75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0.75</v>
          </cell>
          <cell r="M149">
            <v>0</v>
          </cell>
          <cell r="N149"/>
          <cell r="O149"/>
          <cell r="P149"/>
          <cell r="X149">
            <v>173</v>
          </cell>
          <cell r="Y149" t="str">
            <v>P</v>
          </cell>
          <cell r="Z149" t="str">
            <v xml:space="preserve">landes privées </v>
          </cell>
          <cell r="AA149" t="str">
            <v>lande</v>
          </cell>
        </row>
        <row r="150">
          <cell r="A150">
            <v>174</v>
          </cell>
          <cell r="B150" t="str">
            <v>F/P</v>
          </cell>
          <cell r="C150" t="str">
            <v xml:space="preserve">landes privées </v>
          </cell>
          <cell r="D150" t="str">
            <v>zone 1</v>
          </cell>
          <cell r="E150">
            <v>0</v>
          </cell>
          <cell r="F150">
            <v>0</v>
          </cell>
          <cell r="G150">
            <v>0.75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0.75</v>
          </cell>
          <cell r="M150">
            <v>0</v>
          </cell>
          <cell r="N150"/>
          <cell r="O150"/>
          <cell r="P150"/>
          <cell r="X150">
            <v>174</v>
          </cell>
          <cell r="Y150" t="str">
            <v>F/P</v>
          </cell>
          <cell r="Z150" t="str">
            <v xml:space="preserve">landes privées </v>
          </cell>
          <cell r="AA150" t="str">
            <v>lande</v>
          </cell>
        </row>
        <row r="151">
          <cell r="A151">
            <v>175</v>
          </cell>
          <cell r="B151" t="str">
            <v>F/P</v>
          </cell>
          <cell r="C151" t="str">
            <v xml:space="preserve">landes privées </v>
          </cell>
          <cell r="D151" t="str">
            <v>zone 2</v>
          </cell>
          <cell r="E151">
            <v>0</v>
          </cell>
          <cell r="F151">
            <v>0</v>
          </cell>
          <cell r="G151">
            <v>0.75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0.75</v>
          </cell>
          <cell r="M151">
            <v>0</v>
          </cell>
          <cell r="N151"/>
          <cell r="O151"/>
          <cell r="P151"/>
          <cell r="X151">
            <v>175</v>
          </cell>
          <cell r="Y151" t="str">
            <v>F/P</v>
          </cell>
          <cell r="Z151" t="str">
            <v xml:space="preserve">landes privées </v>
          </cell>
          <cell r="AA151" t="str">
            <v>lande</v>
          </cell>
        </row>
        <row r="152">
          <cell r="A152">
            <v>176</v>
          </cell>
          <cell r="B152" t="str">
            <v>P</v>
          </cell>
          <cell r="C152" t="str">
            <v xml:space="preserve">landes privées </v>
          </cell>
          <cell r="D152" t="str">
            <v>zone 1</v>
          </cell>
          <cell r="E152">
            <v>0</v>
          </cell>
          <cell r="F152">
            <v>0.5</v>
          </cell>
          <cell r="G152">
            <v>0</v>
          </cell>
          <cell r="H152">
            <v>0.35</v>
          </cell>
          <cell r="I152">
            <v>0.35</v>
          </cell>
          <cell r="J152"/>
          <cell r="K152">
            <v>0</v>
          </cell>
          <cell r="L152">
            <v>1.2</v>
          </cell>
          <cell r="M152">
            <v>0</v>
          </cell>
          <cell r="N152"/>
          <cell r="O152"/>
          <cell r="P152"/>
          <cell r="X152">
            <v>176</v>
          </cell>
          <cell r="Y152" t="str">
            <v>P</v>
          </cell>
          <cell r="Z152" t="str">
            <v xml:space="preserve">landes privées </v>
          </cell>
          <cell r="AA152" t="str">
            <v>lande</v>
          </cell>
        </row>
        <row r="153">
          <cell r="A153">
            <v>177</v>
          </cell>
          <cell r="B153" t="str">
            <v>P</v>
          </cell>
          <cell r="C153" t="str">
            <v xml:space="preserve">landes privées </v>
          </cell>
          <cell r="D153" t="str">
            <v>zone 2</v>
          </cell>
          <cell r="E153">
            <v>0</v>
          </cell>
          <cell r="F153">
            <v>0.5</v>
          </cell>
          <cell r="G153">
            <v>0</v>
          </cell>
          <cell r="H153">
            <v>0.35</v>
          </cell>
          <cell r="I153">
            <v>0.35</v>
          </cell>
          <cell r="J153"/>
          <cell r="K153">
            <v>0</v>
          </cell>
          <cell r="L153">
            <v>1.2</v>
          </cell>
          <cell r="M153">
            <v>0</v>
          </cell>
          <cell r="N153"/>
          <cell r="O153"/>
          <cell r="P153"/>
          <cell r="X153">
            <v>177</v>
          </cell>
          <cell r="Y153" t="str">
            <v>P</v>
          </cell>
          <cell r="Z153" t="str">
            <v xml:space="preserve">landes privées </v>
          </cell>
          <cell r="AA153" t="str">
            <v>lande</v>
          </cell>
        </row>
        <row r="154">
          <cell r="A154">
            <v>178</v>
          </cell>
          <cell r="B154" t="str">
            <v>F/P</v>
          </cell>
          <cell r="C154" t="str">
            <v xml:space="preserve">landes privées </v>
          </cell>
          <cell r="D154" t="str">
            <v>zone 1</v>
          </cell>
          <cell r="E154">
            <v>0</v>
          </cell>
          <cell r="F154">
            <v>0.5</v>
          </cell>
          <cell r="G154">
            <v>0</v>
          </cell>
          <cell r="H154">
            <v>0.35</v>
          </cell>
          <cell r="I154">
            <v>0.35</v>
          </cell>
          <cell r="J154"/>
          <cell r="K154">
            <v>0</v>
          </cell>
          <cell r="L154">
            <v>1.2</v>
          </cell>
          <cell r="M154">
            <v>0</v>
          </cell>
          <cell r="N154"/>
          <cell r="O154"/>
          <cell r="P154"/>
          <cell r="X154">
            <v>178</v>
          </cell>
          <cell r="Y154" t="str">
            <v>F/P</v>
          </cell>
          <cell r="Z154" t="str">
            <v xml:space="preserve">landes privées </v>
          </cell>
          <cell r="AA154" t="str">
            <v>lande</v>
          </cell>
        </row>
        <row r="155">
          <cell r="A155">
            <v>179</v>
          </cell>
          <cell r="B155" t="str">
            <v>F/P</v>
          </cell>
          <cell r="C155" t="str">
            <v xml:space="preserve">landes privées </v>
          </cell>
          <cell r="D155" t="str">
            <v>zone 2</v>
          </cell>
          <cell r="E155">
            <v>0</v>
          </cell>
          <cell r="F155">
            <v>0.5</v>
          </cell>
          <cell r="G155">
            <v>0</v>
          </cell>
          <cell r="H155">
            <v>0.35</v>
          </cell>
          <cell r="I155">
            <v>0.35</v>
          </cell>
          <cell r="J155"/>
          <cell r="K155">
            <v>0</v>
          </cell>
          <cell r="L155">
            <v>1.2</v>
          </cell>
          <cell r="M155">
            <v>0</v>
          </cell>
          <cell r="N155"/>
          <cell r="O155"/>
          <cell r="P155"/>
          <cell r="X155">
            <v>179</v>
          </cell>
          <cell r="Y155" t="str">
            <v>F/P</v>
          </cell>
          <cell r="Z155" t="str">
            <v xml:space="preserve">landes privées </v>
          </cell>
          <cell r="AA155" t="str">
            <v>lande</v>
          </cell>
        </row>
        <row r="156">
          <cell r="A156">
            <v>180</v>
          </cell>
          <cell r="B156" t="str">
            <v>F</v>
          </cell>
          <cell r="C156" t="str">
            <v>dérobé</v>
          </cell>
          <cell r="D156" t="str">
            <v>zone 1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/>
          <cell r="K156">
            <v>4</v>
          </cell>
          <cell r="L156">
            <v>4</v>
          </cell>
          <cell r="M156">
            <v>1</v>
          </cell>
          <cell r="N156">
            <v>1</v>
          </cell>
          <cell r="O156"/>
          <cell r="P156"/>
          <cell r="X156">
            <v>180</v>
          </cell>
          <cell r="Y156" t="str">
            <v>F</v>
          </cell>
          <cell r="Z156" t="str">
            <v>dérobé</v>
          </cell>
          <cell r="AA156" t="str">
            <v>dérobé</v>
          </cell>
        </row>
        <row r="157">
          <cell r="A157">
            <v>181</v>
          </cell>
          <cell r="B157" t="str">
            <v>P</v>
          </cell>
          <cell r="C157" t="str">
            <v>PP médiocre</v>
          </cell>
          <cell r="D157" t="str">
            <v>zone 1</v>
          </cell>
          <cell r="E157">
            <v>1.04</v>
          </cell>
          <cell r="F157">
            <v>0.85499999999999998</v>
          </cell>
          <cell r="G157">
            <v>0.57600000000000007</v>
          </cell>
          <cell r="H157">
            <v>0.14400000000000002</v>
          </cell>
          <cell r="I157">
            <v>0.72000000000000008</v>
          </cell>
          <cell r="J157">
            <v>0</v>
          </cell>
          <cell r="K157">
            <v>0</v>
          </cell>
          <cell r="L157">
            <v>3.3350000000000004</v>
          </cell>
          <cell r="M157">
            <v>0</v>
          </cell>
          <cell r="N157"/>
          <cell r="O157"/>
          <cell r="P157"/>
          <cell r="X157">
            <v>181</v>
          </cell>
          <cell r="Y157" t="str">
            <v>P</v>
          </cell>
          <cell r="Z157" t="str">
            <v>PP médiocre</v>
          </cell>
          <cell r="AA157" t="str">
            <v>PP</v>
          </cell>
        </row>
        <row r="158">
          <cell r="A158">
            <v>182</v>
          </cell>
          <cell r="B158" t="str">
            <v>P</v>
          </cell>
          <cell r="C158" t="str">
            <v>PP médiocre</v>
          </cell>
          <cell r="D158" t="str">
            <v xml:space="preserve">zone 2 </v>
          </cell>
          <cell r="E158">
            <v>1.04</v>
          </cell>
          <cell r="F158">
            <v>0.85499999999999998</v>
          </cell>
          <cell r="G158">
            <v>0.57600000000000007</v>
          </cell>
          <cell r="H158">
            <v>0.1</v>
          </cell>
          <cell r="I158">
            <v>0.47520000000000007</v>
          </cell>
          <cell r="J158">
            <v>0</v>
          </cell>
          <cell r="K158">
            <v>0</v>
          </cell>
          <cell r="L158">
            <v>3.0462000000000002</v>
          </cell>
          <cell r="M158">
            <v>0</v>
          </cell>
          <cell r="N158"/>
          <cell r="O158"/>
          <cell r="P158"/>
          <cell r="X158">
            <v>182</v>
          </cell>
          <cell r="Y158" t="str">
            <v>P</v>
          </cell>
          <cell r="Z158" t="str">
            <v>PP médiocre</v>
          </cell>
          <cell r="AA158" t="str">
            <v>PP</v>
          </cell>
        </row>
        <row r="159">
          <cell r="A159">
            <v>183</v>
          </cell>
          <cell r="B159" t="str">
            <v>F/P</v>
          </cell>
          <cell r="C159" t="str">
            <v>PP médiocre 1 coupe</v>
          </cell>
          <cell r="D159" t="str">
            <v xml:space="preserve">zone 1 </v>
          </cell>
          <cell r="E159">
            <v>0</v>
          </cell>
          <cell r="F159">
            <v>0.85499999999999998</v>
          </cell>
          <cell r="G159">
            <v>0.57600000000000007</v>
          </cell>
          <cell r="H159">
            <v>0.14400000000000002</v>
          </cell>
          <cell r="I159">
            <v>0.72000000000000008</v>
          </cell>
          <cell r="J159">
            <v>0</v>
          </cell>
          <cell r="K159">
            <v>1.35</v>
          </cell>
          <cell r="L159">
            <v>3.6450000000000005</v>
          </cell>
          <cell r="M159">
            <v>1</v>
          </cell>
          <cell r="N159"/>
          <cell r="O159"/>
          <cell r="P159"/>
          <cell r="X159">
            <v>183</v>
          </cell>
          <cell r="Y159" t="str">
            <v>F/P</v>
          </cell>
          <cell r="Z159" t="str">
            <v>PP médiocre 1 coupe</v>
          </cell>
          <cell r="AA159" t="str">
            <v>PP</v>
          </cell>
        </row>
        <row r="160">
          <cell r="A160">
            <v>184</v>
          </cell>
          <cell r="B160" t="str">
            <v>F/P</v>
          </cell>
          <cell r="C160" t="str">
            <v>PP médiocre 1 coupe</v>
          </cell>
          <cell r="D160" t="str">
            <v xml:space="preserve">zone 2 </v>
          </cell>
          <cell r="E160">
            <v>0</v>
          </cell>
          <cell r="F160">
            <v>0.85499999999999998</v>
          </cell>
          <cell r="G160">
            <v>0.57600000000000007</v>
          </cell>
          <cell r="H160">
            <v>0.1</v>
          </cell>
          <cell r="I160">
            <v>0.47520000000000007</v>
          </cell>
          <cell r="J160">
            <v>0</v>
          </cell>
          <cell r="K160">
            <v>1.35</v>
          </cell>
          <cell r="L160">
            <v>3.3562000000000003</v>
          </cell>
          <cell r="M160">
            <v>1</v>
          </cell>
          <cell r="N160"/>
          <cell r="O160"/>
          <cell r="P160"/>
          <cell r="X160">
            <v>184</v>
          </cell>
          <cell r="Y160" t="str">
            <v>F/P</v>
          </cell>
          <cell r="Z160" t="str">
            <v>PP médiocre 1 coupe</v>
          </cell>
          <cell r="AA160" t="str">
            <v>PP</v>
          </cell>
        </row>
        <row r="161">
          <cell r="A161">
            <v>185</v>
          </cell>
          <cell r="B161" t="str">
            <v>P</v>
          </cell>
          <cell r="C161" t="str">
            <v>PP moyenne</v>
          </cell>
          <cell r="D161" t="str">
            <v>zone 1</v>
          </cell>
          <cell r="E161">
            <v>2.16</v>
          </cell>
          <cell r="F161">
            <v>0.85499999999999998</v>
          </cell>
          <cell r="G161">
            <v>0.57600000000000007</v>
          </cell>
          <cell r="H161">
            <v>0.14400000000000002</v>
          </cell>
          <cell r="I161">
            <v>0.72000000000000008</v>
          </cell>
          <cell r="J161">
            <v>0</v>
          </cell>
          <cell r="K161">
            <v>0</v>
          </cell>
          <cell r="L161">
            <v>4.4550000000000001</v>
          </cell>
          <cell r="M161">
            <v>0</v>
          </cell>
          <cell r="N161"/>
          <cell r="O161"/>
          <cell r="P161"/>
          <cell r="X161">
            <v>185</v>
          </cell>
          <cell r="Y161" t="str">
            <v>P</v>
          </cell>
          <cell r="Z161" t="str">
            <v>PP moyenne</v>
          </cell>
          <cell r="AA161" t="str">
            <v>PP</v>
          </cell>
        </row>
        <row r="162">
          <cell r="A162">
            <v>186</v>
          </cell>
          <cell r="B162" t="str">
            <v>P</v>
          </cell>
          <cell r="C162" t="str">
            <v>PP moyenne</v>
          </cell>
          <cell r="D162" t="str">
            <v>zone 2</v>
          </cell>
          <cell r="E162">
            <v>2.16</v>
          </cell>
          <cell r="F162">
            <v>0.85499999999999998</v>
          </cell>
          <cell r="G162">
            <v>0.57600000000000007</v>
          </cell>
          <cell r="H162">
            <v>0.1</v>
          </cell>
          <cell r="I162">
            <v>0.47520000000000007</v>
          </cell>
          <cell r="J162">
            <v>0</v>
          </cell>
          <cell r="K162">
            <v>0</v>
          </cell>
          <cell r="L162">
            <v>4.1661999999999999</v>
          </cell>
          <cell r="M162">
            <v>0</v>
          </cell>
          <cell r="N162"/>
          <cell r="O162"/>
          <cell r="P162"/>
          <cell r="X162">
            <v>186</v>
          </cell>
          <cell r="Y162" t="str">
            <v>P</v>
          </cell>
          <cell r="Z162" t="str">
            <v>PP moyenne</v>
          </cell>
          <cell r="AA162" t="str">
            <v>PP</v>
          </cell>
        </row>
        <row r="163">
          <cell r="A163">
            <v>187</v>
          </cell>
          <cell r="B163" t="str">
            <v>F/P</v>
          </cell>
          <cell r="C163" t="str">
            <v>PP moyenne 1 coupe</v>
          </cell>
          <cell r="D163" t="str">
            <v>zone 1</v>
          </cell>
          <cell r="E163">
            <v>0.4</v>
          </cell>
          <cell r="F163">
            <v>0.66499999999999992</v>
          </cell>
          <cell r="G163">
            <v>0.68400000000000005</v>
          </cell>
          <cell r="H163">
            <v>0.17100000000000001</v>
          </cell>
          <cell r="I163">
            <v>0.85499999999999998</v>
          </cell>
          <cell r="J163">
            <v>0</v>
          </cell>
          <cell r="K163">
            <v>2.52</v>
          </cell>
          <cell r="L163">
            <v>5.2949999999999999</v>
          </cell>
          <cell r="M163">
            <v>1</v>
          </cell>
          <cell r="N163"/>
          <cell r="O163"/>
          <cell r="P163"/>
          <cell r="X163">
            <v>187</v>
          </cell>
          <cell r="Y163" t="str">
            <v>F/P</v>
          </cell>
          <cell r="Z163" t="str">
            <v>PP moyenne 1 coupe</v>
          </cell>
          <cell r="AA163" t="str">
            <v>PP</v>
          </cell>
        </row>
        <row r="164">
          <cell r="A164">
            <v>188</v>
          </cell>
          <cell r="B164" t="str">
            <v>F/P</v>
          </cell>
          <cell r="C164" t="str">
            <v>PP moyenne 1 coupe</v>
          </cell>
          <cell r="D164" t="str">
            <v>zone 2</v>
          </cell>
          <cell r="E164">
            <v>0.4</v>
          </cell>
          <cell r="F164">
            <v>0.66499999999999992</v>
          </cell>
          <cell r="G164">
            <v>0.68400000000000005</v>
          </cell>
          <cell r="H164">
            <v>0.1</v>
          </cell>
          <cell r="I164">
            <v>0.56430000000000002</v>
          </cell>
          <cell r="J164">
            <v>0</v>
          </cell>
          <cell r="K164">
            <v>2.52</v>
          </cell>
          <cell r="L164">
            <v>4.9333000000000009</v>
          </cell>
          <cell r="M164">
            <v>1</v>
          </cell>
          <cell r="N164"/>
          <cell r="O164"/>
          <cell r="P164"/>
          <cell r="X164">
            <v>188</v>
          </cell>
          <cell r="Y164" t="str">
            <v>F/P</v>
          </cell>
          <cell r="Z164" t="str">
            <v>PP moyenne 1 coupe</v>
          </cell>
          <cell r="AA164" t="str">
            <v>PP</v>
          </cell>
        </row>
        <row r="165">
          <cell r="A165">
            <v>189</v>
          </cell>
          <cell r="B165" t="str">
            <v>F/P</v>
          </cell>
          <cell r="C165" t="str">
            <v>PP moyenne 2 coupes</v>
          </cell>
          <cell r="D165" t="str">
            <v>zone 1</v>
          </cell>
          <cell r="E165">
            <v>0.4</v>
          </cell>
          <cell r="F165">
            <v>0</v>
          </cell>
          <cell r="G165">
            <v>0.64800000000000013</v>
          </cell>
          <cell r="H165">
            <v>0.16200000000000003</v>
          </cell>
          <cell r="I165">
            <v>0.81</v>
          </cell>
          <cell r="J165">
            <v>0</v>
          </cell>
          <cell r="K165">
            <v>3.42</v>
          </cell>
          <cell r="L165">
            <v>5.4399999999999995</v>
          </cell>
          <cell r="M165">
            <v>2</v>
          </cell>
          <cell r="N165"/>
          <cell r="O165"/>
          <cell r="P165"/>
          <cell r="X165">
            <v>189</v>
          </cell>
          <cell r="Y165" t="str">
            <v>F/P</v>
          </cell>
          <cell r="Z165" t="str">
            <v>PP moyenne 2 coupes</v>
          </cell>
          <cell r="AA165" t="str">
            <v>PP</v>
          </cell>
        </row>
        <row r="166">
          <cell r="A166">
            <v>190</v>
          </cell>
          <cell r="B166" t="str">
            <v>F</v>
          </cell>
          <cell r="C166" t="str">
            <v>PP moyenne 2 coupes</v>
          </cell>
          <cell r="D166" t="str">
            <v>zone 1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/>
          <cell r="K166">
            <v>2.8800000000000003</v>
          </cell>
          <cell r="L166">
            <v>2.8800000000000003</v>
          </cell>
          <cell r="M166">
            <v>2</v>
          </cell>
          <cell r="N166"/>
          <cell r="O166"/>
          <cell r="P166"/>
          <cell r="R166"/>
          <cell r="X166">
            <v>190</v>
          </cell>
          <cell r="Y166" t="str">
            <v>F</v>
          </cell>
          <cell r="Z166" t="str">
            <v>PP moyenne 2 coupes</v>
          </cell>
          <cell r="AA166" t="str">
            <v>PP</v>
          </cell>
        </row>
        <row r="167">
          <cell r="A167">
            <v>191</v>
          </cell>
          <cell r="B167" t="str">
            <v>F/P</v>
          </cell>
          <cell r="C167" t="str">
            <v>PP moyenne 2 coupes</v>
          </cell>
          <cell r="D167" t="str">
            <v>zone 2</v>
          </cell>
          <cell r="E167">
            <v>0.4</v>
          </cell>
          <cell r="F167">
            <v>0</v>
          </cell>
          <cell r="G167">
            <v>0.64800000000000013</v>
          </cell>
          <cell r="H167">
            <v>0.1</v>
          </cell>
          <cell r="I167">
            <v>0.53460000000000008</v>
          </cell>
          <cell r="J167">
            <v>0</v>
          </cell>
          <cell r="K167">
            <v>3.42</v>
          </cell>
          <cell r="L167">
            <v>5.1026000000000007</v>
          </cell>
          <cell r="M167">
            <v>2</v>
          </cell>
          <cell r="N167"/>
          <cell r="O167"/>
          <cell r="P167"/>
          <cell r="X167">
            <v>191</v>
          </cell>
          <cell r="Y167" t="str">
            <v>F/P</v>
          </cell>
          <cell r="Z167" t="str">
            <v>PP moyenne 2 coupes</v>
          </cell>
          <cell r="AA167" t="str">
            <v>PP</v>
          </cell>
        </row>
        <row r="168">
          <cell r="A168">
            <v>192</v>
          </cell>
          <cell r="B168" t="str">
            <v>F</v>
          </cell>
          <cell r="C168" t="str">
            <v>PP moyenne 2 coupes</v>
          </cell>
          <cell r="D168" t="str">
            <v>zone 2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/>
          <cell r="K168">
            <v>2.8800000000000003</v>
          </cell>
          <cell r="L168">
            <v>2.8800000000000003</v>
          </cell>
          <cell r="M168">
            <v>2</v>
          </cell>
          <cell r="N168"/>
          <cell r="O168"/>
          <cell r="P168"/>
          <cell r="X168">
            <v>192</v>
          </cell>
          <cell r="Y168" t="str">
            <v>F</v>
          </cell>
          <cell r="Z168" t="str">
            <v>PP moyenne 2 coupes</v>
          </cell>
          <cell r="AA168" t="str">
            <v>PP</v>
          </cell>
        </row>
        <row r="169">
          <cell r="A169">
            <v>193</v>
          </cell>
          <cell r="B169" t="str">
            <v>P</v>
          </cell>
          <cell r="C169" t="str">
            <v>dérobé ray grass 18 mois première année</v>
          </cell>
          <cell r="D169" t="str">
            <v xml:space="preserve">zone 3 </v>
          </cell>
          <cell r="E169">
            <v>4</v>
          </cell>
          <cell r="F169">
            <v>0.7</v>
          </cell>
          <cell r="G169">
            <v>3.3</v>
          </cell>
          <cell r="H169">
            <v>0</v>
          </cell>
          <cell r="I169">
            <v>0</v>
          </cell>
          <cell r="J169"/>
          <cell r="K169">
            <v>0</v>
          </cell>
          <cell r="L169">
            <v>8</v>
          </cell>
          <cell r="M169">
            <v>0</v>
          </cell>
          <cell r="N169">
            <v>1</v>
          </cell>
          <cell r="O169"/>
          <cell r="P169"/>
          <cell r="X169">
            <v>193</v>
          </cell>
          <cell r="Y169" t="str">
            <v>P</v>
          </cell>
          <cell r="Z169" t="str">
            <v>dérobé ray grass 18 mois première année</v>
          </cell>
          <cell r="AA169" t="str">
            <v>dérobé</v>
          </cell>
        </row>
        <row r="170">
          <cell r="A170">
            <v>194</v>
          </cell>
          <cell r="B170" t="str">
            <v>F/P</v>
          </cell>
          <cell r="C170" t="str">
            <v>PT Excellente 2 coupes avec deprimage</v>
          </cell>
          <cell r="D170" t="str">
            <v>zone 1</v>
          </cell>
          <cell r="E170">
            <v>0.88000000000000012</v>
          </cell>
          <cell r="F170">
            <v>0</v>
          </cell>
          <cell r="G170">
            <v>0.82799999999999996</v>
          </cell>
          <cell r="H170">
            <v>0.20699999999999999</v>
          </cell>
          <cell r="I170">
            <v>1.0349999999999999</v>
          </cell>
          <cell r="J170">
            <v>0</v>
          </cell>
          <cell r="K170">
            <v>6.75</v>
          </cell>
          <cell r="L170">
            <v>9.6999999999999993</v>
          </cell>
          <cell r="M170">
            <v>2</v>
          </cell>
          <cell r="N170"/>
          <cell r="O170"/>
          <cell r="P170">
            <v>1</v>
          </cell>
          <cell r="X170">
            <v>194</v>
          </cell>
          <cell r="Y170" t="str">
            <v>F/P</v>
          </cell>
          <cell r="Z170" t="str">
            <v>PT Excellente 2 coupes avec deprimage</v>
          </cell>
          <cell r="AA170" t="str">
            <v>PT</v>
          </cell>
        </row>
        <row r="171">
          <cell r="A171">
            <v>195</v>
          </cell>
          <cell r="B171" t="str">
            <v>F/P</v>
          </cell>
          <cell r="C171" t="str">
            <v>PT Excellente 2 coupes avec deprimage</v>
          </cell>
          <cell r="D171" t="str">
            <v>zone 2</v>
          </cell>
          <cell r="E171">
            <v>0.88000000000000012</v>
          </cell>
          <cell r="F171">
            <v>0</v>
          </cell>
          <cell r="G171">
            <v>0.82799999999999996</v>
          </cell>
          <cell r="H171">
            <v>0.1</v>
          </cell>
          <cell r="I171">
            <v>0.68309999999999993</v>
          </cell>
          <cell r="J171">
            <v>0</v>
          </cell>
          <cell r="K171">
            <v>6.75</v>
          </cell>
          <cell r="L171">
            <v>9.2410999999999994</v>
          </cell>
          <cell r="M171">
            <v>2</v>
          </cell>
          <cell r="N171"/>
          <cell r="O171"/>
          <cell r="P171">
            <v>1</v>
          </cell>
          <cell r="X171">
            <v>195</v>
          </cell>
          <cell r="Y171" t="str">
            <v>F/P</v>
          </cell>
          <cell r="Z171" t="str">
            <v>PT Excellente 2 coupes avec deprimage</v>
          </cell>
          <cell r="AA171" t="str">
            <v>PT</v>
          </cell>
        </row>
        <row r="172">
          <cell r="A172">
            <v>196</v>
          </cell>
          <cell r="B172" t="str">
            <v>F/P</v>
          </cell>
          <cell r="C172" t="str">
            <v>PT Excellente 2 coupes sans deprimage</v>
          </cell>
          <cell r="D172" t="str">
            <v>zone 1</v>
          </cell>
          <cell r="E172">
            <v>0</v>
          </cell>
          <cell r="F172">
            <v>0</v>
          </cell>
          <cell r="G172">
            <v>0.82799999999999996</v>
          </cell>
          <cell r="H172">
            <v>0.20699999999999999</v>
          </cell>
          <cell r="I172">
            <v>1.0349999999999999</v>
          </cell>
          <cell r="J172">
            <v>0</v>
          </cell>
          <cell r="K172">
            <v>7.2</v>
          </cell>
          <cell r="L172">
            <v>9.27</v>
          </cell>
          <cell r="M172">
            <v>2</v>
          </cell>
          <cell r="N172"/>
          <cell r="O172"/>
          <cell r="P172">
            <v>1</v>
          </cell>
          <cell r="X172">
            <v>196</v>
          </cell>
          <cell r="Y172" t="str">
            <v>F/P</v>
          </cell>
          <cell r="Z172" t="str">
            <v>PT Excellente 2 coupes sans deprimage</v>
          </cell>
          <cell r="AA172" t="str">
            <v>PT</v>
          </cell>
        </row>
        <row r="173">
          <cell r="A173">
            <v>197</v>
          </cell>
          <cell r="B173" t="str">
            <v>F/P</v>
          </cell>
          <cell r="C173" t="str">
            <v>PT Excellente 2 coupes sans deprimage</v>
          </cell>
          <cell r="D173" t="str">
            <v>zone 2</v>
          </cell>
          <cell r="E173">
            <v>0</v>
          </cell>
          <cell r="F173">
            <v>0</v>
          </cell>
          <cell r="G173">
            <v>0.82799999999999996</v>
          </cell>
          <cell r="H173">
            <v>0.1</v>
          </cell>
          <cell r="I173">
            <v>0.68309999999999993</v>
          </cell>
          <cell r="J173">
            <v>0</v>
          </cell>
          <cell r="K173">
            <v>7.2</v>
          </cell>
          <cell r="L173">
            <v>8.8110999999999997</v>
          </cell>
          <cell r="M173">
            <v>2</v>
          </cell>
          <cell r="N173"/>
          <cell r="O173"/>
          <cell r="P173">
            <v>1</v>
          </cell>
          <cell r="X173">
            <v>197</v>
          </cell>
          <cell r="Y173" t="str">
            <v>F/P</v>
          </cell>
          <cell r="Z173" t="str">
            <v>PT Excellente 2 coupes sans deprimage</v>
          </cell>
          <cell r="AA173" t="str">
            <v>PT</v>
          </cell>
        </row>
        <row r="174">
          <cell r="A174">
            <v>198</v>
          </cell>
          <cell r="B174" t="str">
            <v>F/P</v>
          </cell>
          <cell r="C174" t="str">
            <v>PT Excellente 2 coupes avec deprimage</v>
          </cell>
          <cell r="D174" t="str">
            <v>zone 3</v>
          </cell>
          <cell r="E174">
            <v>1.1000000000000001</v>
          </cell>
          <cell r="F174">
            <v>0</v>
          </cell>
          <cell r="G174">
            <v>2.2999999999999998</v>
          </cell>
          <cell r="H174"/>
          <cell r="I174"/>
          <cell r="J174"/>
          <cell r="K174">
            <v>7.5</v>
          </cell>
          <cell r="L174">
            <v>10.9</v>
          </cell>
          <cell r="M174">
            <v>2</v>
          </cell>
          <cell r="N174"/>
          <cell r="O174"/>
          <cell r="P174">
            <v>1</v>
          </cell>
          <cell r="Q174"/>
          <cell r="X174">
            <v>198</v>
          </cell>
          <cell r="Y174" t="str">
            <v>F/P</v>
          </cell>
          <cell r="Z174" t="str">
            <v>PT Excellente 2 coupes avec deprimage</v>
          </cell>
          <cell r="AA174" t="str">
            <v>PT</v>
          </cell>
        </row>
        <row r="175">
          <cell r="A175">
            <v>199</v>
          </cell>
          <cell r="B175" t="str">
            <v>F/P</v>
          </cell>
          <cell r="C175" t="str">
            <v>PT Excellente 2 coupes avec deprimage</v>
          </cell>
          <cell r="D175" t="str">
            <v>zone 4</v>
          </cell>
          <cell r="E175">
            <v>1.1000000000000001</v>
          </cell>
          <cell r="F175">
            <v>0</v>
          </cell>
          <cell r="G175">
            <v>2.2999999999999998</v>
          </cell>
          <cell r="H175"/>
          <cell r="I175"/>
          <cell r="J175"/>
          <cell r="K175">
            <v>7.5</v>
          </cell>
          <cell r="L175">
            <v>10.9</v>
          </cell>
          <cell r="M175">
            <v>2</v>
          </cell>
          <cell r="N175"/>
          <cell r="O175"/>
          <cell r="P175">
            <v>1</v>
          </cell>
          <cell r="Q175"/>
          <cell r="X175">
            <v>199</v>
          </cell>
          <cell r="Y175" t="str">
            <v>F/P</v>
          </cell>
          <cell r="Z175" t="str">
            <v>PT Excellente 2 coupes avec deprimage</v>
          </cell>
          <cell r="AA175" t="str">
            <v>PT</v>
          </cell>
        </row>
        <row r="176">
          <cell r="A176">
            <v>200</v>
          </cell>
          <cell r="B176" t="str">
            <v>F/P</v>
          </cell>
          <cell r="C176" t="str">
            <v>PT Excellente 2 coupes avec deprimage</v>
          </cell>
          <cell r="D176" t="str">
            <v>zone 5</v>
          </cell>
          <cell r="E176">
            <v>1.1000000000000001</v>
          </cell>
          <cell r="F176">
            <v>0</v>
          </cell>
          <cell r="G176">
            <v>2.2999999999999998</v>
          </cell>
          <cell r="H176"/>
          <cell r="I176"/>
          <cell r="J176"/>
          <cell r="K176">
            <v>7.5</v>
          </cell>
          <cell r="L176">
            <v>10.9</v>
          </cell>
          <cell r="M176">
            <v>2</v>
          </cell>
          <cell r="N176"/>
          <cell r="O176"/>
          <cell r="P176">
            <v>1</v>
          </cell>
          <cell r="Q176"/>
          <cell r="X176">
            <v>200</v>
          </cell>
          <cell r="Y176" t="str">
            <v>F/P</v>
          </cell>
          <cell r="Z176" t="str">
            <v>PT Excellente 2 coupes avec deprimage</v>
          </cell>
          <cell r="AA176" t="str">
            <v>PT</v>
          </cell>
        </row>
        <row r="177">
          <cell r="A177">
            <v>201</v>
          </cell>
          <cell r="B177" t="str">
            <v>F/P</v>
          </cell>
          <cell r="C177" t="str">
            <v>PT Excellente 2 coupes sans deprimage</v>
          </cell>
          <cell r="D177" t="str">
            <v>zone 3</v>
          </cell>
          <cell r="E177">
            <v>0</v>
          </cell>
          <cell r="F177">
            <v>0</v>
          </cell>
          <cell r="G177">
            <v>2.2999999999999998</v>
          </cell>
          <cell r="H177"/>
          <cell r="I177"/>
          <cell r="J177"/>
          <cell r="K177">
            <v>8</v>
          </cell>
          <cell r="L177">
            <v>10.3</v>
          </cell>
          <cell r="M177">
            <v>2</v>
          </cell>
          <cell r="N177"/>
          <cell r="O177"/>
          <cell r="P177">
            <v>1</v>
          </cell>
          <cell r="Q177"/>
          <cell r="X177">
            <v>201</v>
          </cell>
          <cell r="Y177" t="str">
            <v>F/P</v>
          </cell>
          <cell r="Z177" t="str">
            <v>PT Excellente 2 coupes sans deprimage</v>
          </cell>
          <cell r="AA177" t="str">
            <v>PT</v>
          </cell>
        </row>
        <row r="178">
          <cell r="A178">
            <v>202</v>
          </cell>
          <cell r="B178" t="str">
            <v>F/P</v>
          </cell>
          <cell r="C178" t="str">
            <v>PT Excellente 2 coupes sans deprimage</v>
          </cell>
          <cell r="D178" t="str">
            <v>zone 4</v>
          </cell>
          <cell r="E178">
            <v>0</v>
          </cell>
          <cell r="F178">
            <v>0</v>
          </cell>
          <cell r="G178">
            <v>2.2999999999999998</v>
          </cell>
          <cell r="H178"/>
          <cell r="I178"/>
          <cell r="J178"/>
          <cell r="K178">
            <v>8</v>
          </cell>
          <cell r="L178">
            <v>10.3</v>
          </cell>
          <cell r="M178">
            <v>2</v>
          </cell>
          <cell r="N178"/>
          <cell r="O178"/>
          <cell r="P178">
            <v>1</v>
          </cell>
          <cell r="Q178"/>
          <cell r="X178">
            <v>202</v>
          </cell>
          <cell r="Y178" t="str">
            <v>F/P</v>
          </cell>
          <cell r="Z178" t="str">
            <v>PT Excellente 2 coupes sans deprimage</v>
          </cell>
          <cell r="AA178" t="str">
            <v>PT</v>
          </cell>
        </row>
        <row r="179">
          <cell r="A179">
            <v>203</v>
          </cell>
          <cell r="B179" t="str">
            <v>F/P</v>
          </cell>
          <cell r="C179" t="str">
            <v>PT Excellente 2 coupes sans deprimage</v>
          </cell>
          <cell r="D179" t="str">
            <v>zone 5</v>
          </cell>
          <cell r="E179">
            <v>0</v>
          </cell>
          <cell r="F179">
            <v>0</v>
          </cell>
          <cell r="G179">
            <v>2.2999999999999998</v>
          </cell>
          <cell r="H179"/>
          <cell r="I179"/>
          <cell r="J179"/>
          <cell r="K179">
            <v>8</v>
          </cell>
          <cell r="L179">
            <v>10.3</v>
          </cell>
          <cell r="M179">
            <v>2</v>
          </cell>
          <cell r="N179"/>
          <cell r="O179"/>
          <cell r="P179">
            <v>1</v>
          </cell>
          <cell r="Q179"/>
          <cell r="X179">
            <v>203</v>
          </cell>
          <cell r="Y179" t="str">
            <v>F/P</v>
          </cell>
          <cell r="Z179" t="str">
            <v>PT Excellente 2 coupes sans deprimage</v>
          </cell>
          <cell r="AA179" t="str">
            <v>PT</v>
          </cell>
        </row>
        <row r="180">
          <cell r="A180">
            <v>204</v>
          </cell>
          <cell r="B180" t="str">
            <v>F</v>
          </cell>
          <cell r="C180" t="str">
            <v xml:space="preserve">PT Excellente 2 coupes </v>
          </cell>
          <cell r="D180" t="str">
            <v>zone 1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/>
          <cell r="K180">
            <v>8</v>
          </cell>
          <cell r="L180">
            <v>8</v>
          </cell>
          <cell r="M180">
            <v>2</v>
          </cell>
          <cell r="N180"/>
          <cell r="O180"/>
          <cell r="P180">
            <v>1</v>
          </cell>
          <cell r="X180">
            <v>204</v>
          </cell>
          <cell r="Y180" t="str">
            <v>F</v>
          </cell>
          <cell r="Z180" t="str">
            <v xml:space="preserve">PT Excellente 2 coupes </v>
          </cell>
          <cell r="AA180" t="str">
            <v>PT</v>
          </cell>
        </row>
        <row r="181">
          <cell r="A181">
            <v>205</v>
          </cell>
          <cell r="B181" t="str">
            <v>F</v>
          </cell>
          <cell r="C181" t="str">
            <v xml:space="preserve">PT Excellente 2 coupes </v>
          </cell>
          <cell r="D181" t="str">
            <v>zone 2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/>
          <cell r="K181">
            <v>8</v>
          </cell>
          <cell r="L181">
            <v>8</v>
          </cell>
          <cell r="M181">
            <v>2</v>
          </cell>
          <cell r="N181"/>
          <cell r="O181"/>
          <cell r="P181">
            <v>1</v>
          </cell>
          <cell r="X181">
            <v>205</v>
          </cell>
          <cell r="Y181" t="str">
            <v>F</v>
          </cell>
          <cell r="Z181" t="str">
            <v xml:space="preserve">PT Excellente 2 coupes </v>
          </cell>
          <cell r="AA181" t="str">
            <v>PT</v>
          </cell>
        </row>
        <row r="182">
          <cell r="A182">
            <v>206</v>
          </cell>
          <cell r="B182" t="str">
            <v>F</v>
          </cell>
          <cell r="C182" t="str">
            <v xml:space="preserve">PT Excellente 2 coupes </v>
          </cell>
          <cell r="D182" t="str">
            <v>zone 3</v>
          </cell>
          <cell r="E182">
            <v>0</v>
          </cell>
          <cell r="F182">
            <v>0</v>
          </cell>
          <cell r="G182">
            <v>0</v>
          </cell>
          <cell r="H182"/>
          <cell r="I182"/>
          <cell r="J182"/>
          <cell r="K182">
            <v>8</v>
          </cell>
          <cell r="L182">
            <v>8</v>
          </cell>
          <cell r="M182">
            <v>2</v>
          </cell>
          <cell r="N182"/>
          <cell r="O182"/>
          <cell r="P182">
            <v>1</v>
          </cell>
          <cell r="X182">
            <v>206</v>
          </cell>
          <cell r="Y182" t="str">
            <v>F</v>
          </cell>
          <cell r="Z182" t="str">
            <v xml:space="preserve">PT Excellente 2 coupes </v>
          </cell>
          <cell r="AA182" t="str">
            <v>PT</v>
          </cell>
        </row>
        <row r="183">
          <cell r="A183">
            <v>207</v>
          </cell>
          <cell r="B183" t="str">
            <v>F</v>
          </cell>
          <cell r="C183" t="str">
            <v xml:space="preserve">PT Excellente 2 coupes </v>
          </cell>
          <cell r="D183" t="str">
            <v>zone 4</v>
          </cell>
          <cell r="E183">
            <v>0</v>
          </cell>
          <cell r="F183">
            <v>0</v>
          </cell>
          <cell r="G183">
            <v>0</v>
          </cell>
          <cell r="H183"/>
          <cell r="I183"/>
          <cell r="J183"/>
          <cell r="K183">
            <v>8</v>
          </cell>
          <cell r="L183">
            <v>8</v>
          </cell>
          <cell r="M183">
            <v>2</v>
          </cell>
          <cell r="N183"/>
          <cell r="O183"/>
          <cell r="P183">
            <v>1</v>
          </cell>
          <cell r="X183">
            <v>207</v>
          </cell>
          <cell r="Y183" t="str">
            <v>F</v>
          </cell>
          <cell r="Z183" t="str">
            <v xml:space="preserve">PT Excellente 2 coupes </v>
          </cell>
          <cell r="AA183" t="str">
            <v>PT</v>
          </cell>
        </row>
        <row r="184">
          <cell r="A184">
            <v>208</v>
          </cell>
          <cell r="B184" t="str">
            <v>F</v>
          </cell>
          <cell r="C184" t="str">
            <v xml:space="preserve">PT Excellente 2 coupes </v>
          </cell>
          <cell r="D184" t="str">
            <v>zone 5</v>
          </cell>
          <cell r="E184">
            <v>0</v>
          </cell>
          <cell r="F184">
            <v>0</v>
          </cell>
          <cell r="G184">
            <v>0</v>
          </cell>
          <cell r="H184"/>
          <cell r="I184"/>
          <cell r="J184"/>
          <cell r="K184">
            <v>8</v>
          </cell>
          <cell r="L184">
            <v>8</v>
          </cell>
          <cell r="M184">
            <v>2</v>
          </cell>
          <cell r="N184"/>
          <cell r="O184"/>
          <cell r="P184">
            <v>1</v>
          </cell>
          <cell r="X184">
            <v>208</v>
          </cell>
          <cell r="Y184" t="str">
            <v>F</v>
          </cell>
          <cell r="Z184" t="str">
            <v xml:space="preserve">PT Excellente 2 coupes </v>
          </cell>
          <cell r="AA184" t="str">
            <v>PT</v>
          </cell>
        </row>
        <row r="185">
          <cell r="A185">
            <v>209</v>
          </cell>
          <cell r="B185" t="str">
            <v>F</v>
          </cell>
          <cell r="C185" t="str">
            <v xml:space="preserve">dérobé fauché </v>
          </cell>
          <cell r="D185" t="str">
            <v xml:space="preserve">zone 4 </v>
          </cell>
          <cell r="E185">
            <v>0</v>
          </cell>
          <cell r="F185">
            <v>0</v>
          </cell>
          <cell r="G185">
            <v>0</v>
          </cell>
          <cell r="H185"/>
          <cell r="I185"/>
          <cell r="J185"/>
          <cell r="K185">
            <v>4</v>
          </cell>
          <cell r="L185">
            <v>4</v>
          </cell>
          <cell r="M185">
            <v>1</v>
          </cell>
          <cell r="N185">
            <v>1</v>
          </cell>
          <cell r="O185"/>
          <cell r="P185"/>
          <cell r="X185">
            <v>209</v>
          </cell>
          <cell r="Y185" t="str">
            <v>F</v>
          </cell>
          <cell r="Z185" t="str">
            <v xml:space="preserve">dérobé fauché </v>
          </cell>
          <cell r="AA185" t="str">
            <v>dérobé</v>
          </cell>
        </row>
        <row r="186">
          <cell r="A186">
            <v>210</v>
          </cell>
          <cell r="B186" t="str">
            <v>F/P</v>
          </cell>
          <cell r="C186" t="str">
            <v>PT 1 coupe estivale</v>
          </cell>
          <cell r="D186" t="str">
            <v xml:space="preserve">zone 3 </v>
          </cell>
          <cell r="E186">
            <v>3.7</v>
          </cell>
          <cell r="F186">
            <v>0</v>
          </cell>
          <cell r="G186">
            <v>2</v>
          </cell>
          <cell r="H186"/>
          <cell r="I186"/>
          <cell r="J186"/>
          <cell r="K186">
            <v>3.85</v>
          </cell>
          <cell r="L186">
            <v>9.5500000000000007</v>
          </cell>
          <cell r="M186">
            <v>1</v>
          </cell>
          <cell r="N186"/>
          <cell r="O186"/>
          <cell r="P186">
            <v>1</v>
          </cell>
          <cell r="X186">
            <v>210</v>
          </cell>
          <cell r="Y186" t="str">
            <v>F</v>
          </cell>
          <cell r="Z186" t="str">
            <v xml:space="preserve">trèfle violet </v>
          </cell>
          <cell r="AA186" t="str">
            <v>PT</v>
          </cell>
        </row>
        <row r="187">
          <cell r="A187">
            <v>211</v>
          </cell>
          <cell r="B187" t="str">
            <v>F</v>
          </cell>
          <cell r="C187" t="str">
            <v xml:space="preserve">trèfle violet </v>
          </cell>
          <cell r="D187" t="str">
            <v>zone 1</v>
          </cell>
          <cell r="E187">
            <v>0</v>
          </cell>
          <cell r="F187">
            <v>0</v>
          </cell>
          <cell r="G187">
            <v>0</v>
          </cell>
          <cell r="H187"/>
          <cell r="I187"/>
          <cell r="J187"/>
          <cell r="K187">
            <v>6</v>
          </cell>
          <cell r="L187">
            <v>6</v>
          </cell>
          <cell r="M187">
            <v>3</v>
          </cell>
          <cell r="N187"/>
          <cell r="O187">
            <v>1</v>
          </cell>
          <cell r="P187">
            <v>1</v>
          </cell>
          <cell r="X187">
            <v>211</v>
          </cell>
          <cell r="Y187" t="str">
            <v>F</v>
          </cell>
          <cell r="Z187" t="str">
            <v xml:space="preserve">trèfle violet </v>
          </cell>
          <cell r="AA187" t="str">
            <v>PT</v>
          </cell>
        </row>
        <row r="188">
          <cell r="A188">
            <v>212</v>
          </cell>
          <cell r="B188" t="str">
            <v>F/P</v>
          </cell>
          <cell r="C188" t="str">
            <v>PP bonne 2 coupes estivales</v>
          </cell>
          <cell r="D188" t="str">
            <v>zone 1</v>
          </cell>
          <cell r="E188">
            <v>2.2080000000000002</v>
          </cell>
          <cell r="F188">
            <v>0</v>
          </cell>
          <cell r="G188">
            <v>0.77</v>
          </cell>
          <cell r="H188">
            <v>0.19</v>
          </cell>
          <cell r="I188">
            <v>0.96</v>
          </cell>
          <cell r="J188"/>
          <cell r="K188">
            <v>3.5</v>
          </cell>
          <cell r="L188">
            <v>7.6280000000000001</v>
          </cell>
          <cell r="M188">
            <v>2</v>
          </cell>
          <cell r="N188"/>
          <cell r="O188"/>
          <cell r="P188"/>
          <cell r="X188">
            <v>212</v>
          </cell>
          <cell r="Y188" t="str">
            <v>F/P</v>
          </cell>
          <cell r="AA188" t="str">
            <v>PP</v>
          </cell>
        </row>
        <row r="189">
          <cell r="A189">
            <v>213</v>
          </cell>
          <cell r="B189" t="str">
            <v>F/P</v>
          </cell>
          <cell r="C189" t="str">
            <v>PP moyenne 2 coupes estivales</v>
          </cell>
          <cell r="D189" t="str">
            <v xml:space="preserve">zone 1 </v>
          </cell>
          <cell r="E189">
            <v>1.296</v>
          </cell>
          <cell r="F189">
            <v>0</v>
          </cell>
          <cell r="G189">
            <v>0.64800000000000002</v>
          </cell>
          <cell r="H189">
            <v>0.16200000000000001</v>
          </cell>
          <cell r="I189">
            <v>0.81</v>
          </cell>
          <cell r="J189"/>
          <cell r="K189">
            <v>2.0628000000000002</v>
          </cell>
          <cell r="L189">
            <v>4.9787999999999997</v>
          </cell>
          <cell r="M189">
            <v>2</v>
          </cell>
          <cell r="N189"/>
          <cell r="O189"/>
          <cell r="P189"/>
          <cell r="X189">
            <v>213</v>
          </cell>
          <cell r="Y189" t="str">
            <v>F/P</v>
          </cell>
          <cell r="AA189" t="str">
            <v>PP</v>
          </cell>
        </row>
        <row r="190">
          <cell r="A190">
            <v>214</v>
          </cell>
          <cell r="B190" t="str">
            <v>F/P</v>
          </cell>
          <cell r="C190" t="str">
            <v>PP bonne 2 coupes estivales</v>
          </cell>
          <cell r="D190" t="str">
            <v>zone 2</v>
          </cell>
          <cell r="E190">
            <v>2.1648000000000001</v>
          </cell>
          <cell r="F190">
            <v>0</v>
          </cell>
          <cell r="G190">
            <v>0.77039999999999997</v>
          </cell>
          <cell r="H190">
            <v>0.1</v>
          </cell>
          <cell r="I190">
            <v>0.63558000000000003</v>
          </cell>
          <cell r="J190">
            <v>0</v>
          </cell>
          <cell r="K190">
            <v>3.4395600000000002</v>
          </cell>
          <cell r="L190">
            <v>7.1103400000000008</v>
          </cell>
          <cell r="M190">
            <v>2</v>
          </cell>
          <cell r="N190"/>
          <cell r="O190"/>
          <cell r="P190"/>
          <cell r="X190">
            <v>214</v>
          </cell>
          <cell r="Y190" t="str">
            <v>F/P</v>
          </cell>
          <cell r="AA190" t="str">
            <v>PP</v>
          </cell>
        </row>
        <row r="191">
          <cell r="A191">
            <v>215</v>
          </cell>
          <cell r="B191" t="str">
            <v>F/P</v>
          </cell>
          <cell r="C191" t="str">
            <v>PP moyenne 2 coupes estivales</v>
          </cell>
          <cell r="D191" t="str">
            <v>zone 2</v>
          </cell>
          <cell r="E191">
            <v>1.296</v>
          </cell>
          <cell r="F191">
            <v>0</v>
          </cell>
          <cell r="G191">
            <v>0.64800000000000002</v>
          </cell>
          <cell r="H191">
            <v>0.1</v>
          </cell>
          <cell r="I191">
            <v>0.53459999999999996</v>
          </cell>
          <cell r="J191">
            <v>0</v>
          </cell>
          <cell r="K191">
            <v>2.0628000000000002</v>
          </cell>
          <cell r="L191">
            <v>4.6414</v>
          </cell>
          <cell r="M191">
            <v>2</v>
          </cell>
          <cell r="N191"/>
          <cell r="O191"/>
          <cell r="P191"/>
          <cell r="X191">
            <v>215</v>
          </cell>
          <cell r="Y191" t="str">
            <v>F/P</v>
          </cell>
          <cell r="AA191" t="str">
            <v>PP</v>
          </cell>
        </row>
        <row r="192">
          <cell r="A192">
            <v>216</v>
          </cell>
          <cell r="B192" t="str">
            <v>F/P</v>
          </cell>
          <cell r="C192" t="str">
            <v>PP bonne 2 coupes estivales</v>
          </cell>
          <cell r="D192" t="str">
            <v>zone 3</v>
          </cell>
          <cell r="E192">
            <v>2.7606000000000002</v>
          </cell>
          <cell r="F192">
            <v>0</v>
          </cell>
          <cell r="G192">
            <v>2.14</v>
          </cell>
          <cell r="H192">
            <v>0</v>
          </cell>
          <cell r="I192">
            <v>0</v>
          </cell>
          <cell r="J192">
            <v>0</v>
          </cell>
          <cell r="K192">
            <v>4.0060799999999999</v>
          </cell>
          <cell r="L192">
            <v>8.9066800000000015</v>
          </cell>
          <cell r="M192">
            <v>2</v>
          </cell>
          <cell r="N192"/>
          <cell r="O192"/>
          <cell r="P192"/>
          <cell r="X192">
            <v>216</v>
          </cell>
          <cell r="Y192" t="str">
            <v>F/P</v>
          </cell>
          <cell r="AA192" t="str">
            <v>PP</v>
          </cell>
        </row>
        <row r="193">
          <cell r="A193">
            <v>217</v>
          </cell>
          <cell r="B193" t="str">
            <v>F/P</v>
          </cell>
          <cell r="C193" t="str">
            <v>PP moyenne 2 coupes estivales</v>
          </cell>
          <cell r="D193" t="str">
            <v>zone 3</v>
          </cell>
          <cell r="E193">
            <v>1.62</v>
          </cell>
          <cell r="F193">
            <v>0</v>
          </cell>
          <cell r="G193">
            <v>1.8</v>
          </cell>
          <cell r="H193">
            <v>0</v>
          </cell>
          <cell r="I193">
            <v>0</v>
          </cell>
          <cell r="J193">
            <v>0</v>
          </cell>
          <cell r="K193">
            <v>2.3759999999999999</v>
          </cell>
          <cell r="L193">
            <v>5.7959999999999994</v>
          </cell>
          <cell r="M193">
            <v>2</v>
          </cell>
          <cell r="N193"/>
          <cell r="O193"/>
          <cell r="P193"/>
          <cell r="X193">
            <v>217</v>
          </cell>
          <cell r="Y193" t="str">
            <v>F/P</v>
          </cell>
          <cell r="AA193" t="str">
            <v>PP</v>
          </cell>
        </row>
        <row r="194">
          <cell r="A194">
            <v>218</v>
          </cell>
          <cell r="B194" t="str">
            <v>F/P</v>
          </cell>
          <cell r="C194" t="str">
            <v>PP bonne 2 coupes estivales</v>
          </cell>
          <cell r="D194" t="str">
            <v>zone 4</v>
          </cell>
          <cell r="E194">
            <v>2.7606000000000002</v>
          </cell>
          <cell r="F194">
            <v>0</v>
          </cell>
          <cell r="G194">
            <v>2.14</v>
          </cell>
          <cell r="H194">
            <v>0</v>
          </cell>
          <cell r="I194">
            <v>0</v>
          </cell>
          <cell r="J194">
            <v>0</v>
          </cell>
          <cell r="K194">
            <v>4.0060799999999999</v>
          </cell>
          <cell r="L194">
            <v>8.9066800000000015</v>
          </cell>
          <cell r="M194">
            <v>2</v>
          </cell>
          <cell r="N194"/>
          <cell r="O194"/>
          <cell r="P194"/>
          <cell r="X194">
            <v>218</v>
          </cell>
          <cell r="Y194" t="str">
            <v>F/P</v>
          </cell>
          <cell r="AA194" t="str">
            <v>PP</v>
          </cell>
        </row>
        <row r="195">
          <cell r="A195">
            <v>219</v>
          </cell>
          <cell r="B195" t="str">
            <v>F/P</v>
          </cell>
          <cell r="C195" t="str">
            <v>PP moyenne 2 coupes estivales</v>
          </cell>
          <cell r="D195" t="str">
            <v>zone 4</v>
          </cell>
          <cell r="E195">
            <v>1.62</v>
          </cell>
          <cell r="F195">
            <v>0</v>
          </cell>
          <cell r="G195">
            <v>1.8</v>
          </cell>
          <cell r="H195">
            <v>0</v>
          </cell>
          <cell r="I195">
            <v>0</v>
          </cell>
          <cell r="J195">
            <v>0</v>
          </cell>
          <cell r="K195">
            <v>2.3759999999999999</v>
          </cell>
          <cell r="L195">
            <v>5.7959999999999994</v>
          </cell>
          <cell r="M195">
            <v>2</v>
          </cell>
          <cell r="N195"/>
          <cell r="O195"/>
          <cell r="P195"/>
          <cell r="X195">
            <v>219</v>
          </cell>
          <cell r="Y195" t="str">
            <v>F/P</v>
          </cell>
          <cell r="AA195" t="str">
            <v>PP</v>
          </cell>
        </row>
        <row r="196">
          <cell r="A196">
            <v>220</v>
          </cell>
          <cell r="B196" t="str">
            <v>F</v>
          </cell>
          <cell r="C196" t="str">
            <v>PP médiocre 1 coupe</v>
          </cell>
          <cell r="D196" t="str">
            <v xml:space="preserve">zone 1 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1.35</v>
          </cell>
          <cell r="L196">
            <v>1.35</v>
          </cell>
          <cell r="M196">
            <v>1</v>
          </cell>
          <cell r="N196"/>
          <cell r="O196"/>
          <cell r="P196"/>
          <cell r="Y196" t="str">
            <v>F</v>
          </cell>
        </row>
        <row r="197">
          <cell r="A197">
            <v>221</v>
          </cell>
          <cell r="B197" t="str">
            <v>F</v>
          </cell>
          <cell r="C197" t="str">
            <v>PP médiocre 1 coupe</v>
          </cell>
          <cell r="D197" t="str">
            <v>zone 2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1.35</v>
          </cell>
          <cell r="L197">
            <v>1.35</v>
          </cell>
          <cell r="M197">
            <v>1</v>
          </cell>
          <cell r="N197"/>
          <cell r="O197"/>
          <cell r="P197"/>
        </row>
        <row r="198">
          <cell r="A198">
            <v>222</v>
          </cell>
          <cell r="B198" t="str">
            <v>F</v>
          </cell>
          <cell r="C198" t="str">
            <v>PP médiocre 2 coupes</v>
          </cell>
          <cell r="D198" t="str">
            <v>zone 3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3.5</v>
          </cell>
          <cell r="L198">
            <v>3.5</v>
          </cell>
          <cell r="M198">
            <v>2</v>
          </cell>
          <cell r="N198"/>
          <cell r="O198"/>
          <cell r="P198"/>
        </row>
        <row r="199">
          <cell r="A199">
            <v>223</v>
          </cell>
          <cell r="B199" t="str">
            <v>F</v>
          </cell>
          <cell r="C199" t="str">
            <v>PP médiocre 1 coupe</v>
          </cell>
          <cell r="D199" t="str">
            <v>zone 4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1.5</v>
          </cell>
          <cell r="L199">
            <v>1.5</v>
          </cell>
          <cell r="M199">
            <v>1</v>
          </cell>
          <cell r="N199"/>
          <cell r="O199"/>
          <cell r="P199"/>
        </row>
        <row r="200">
          <cell r="A200">
            <v>224</v>
          </cell>
          <cell r="B200" t="str">
            <v>F</v>
          </cell>
          <cell r="C200" t="str">
            <v>PP médiocre 1 coupe</v>
          </cell>
          <cell r="D200" t="str">
            <v>zone 5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1.5</v>
          </cell>
          <cell r="L200">
            <v>1.5</v>
          </cell>
          <cell r="M200">
            <v>1</v>
          </cell>
          <cell r="N200"/>
          <cell r="O200"/>
          <cell r="P200"/>
        </row>
        <row r="201">
          <cell r="A201">
            <v>225</v>
          </cell>
          <cell r="B201" t="str">
            <v>P</v>
          </cell>
          <cell r="C201" t="str">
            <v>PP bonne prélevt étalé</v>
          </cell>
          <cell r="D201" t="str">
            <v>zone 3</v>
          </cell>
          <cell r="E201">
            <v>3.5</v>
          </cell>
          <cell r="F201">
            <v>2.6</v>
          </cell>
          <cell r="G201">
            <v>1.5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7.6</v>
          </cell>
          <cell r="M201">
            <v>0</v>
          </cell>
          <cell r="N201"/>
          <cell r="O201"/>
          <cell r="P201"/>
        </row>
        <row r="202">
          <cell r="A202">
            <v>226</v>
          </cell>
          <cell r="B202" t="str">
            <v>F/P</v>
          </cell>
          <cell r="C202" t="str">
            <v>PP bonne 2 coupes SANS  P printemps</v>
          </cell>
          <cell r="D202" t="str">
            <v>zone 3</v>
          </cell>
          <cell r="E202">
            <v>0</v>
          </cell>
          <cell r="F202">
            <v>0.8</v>
          </cell>
          <cell r="G202">
            <v>2</v>
          </cell>
          <cell r="H202">
            <v>0</v>
          </cell>
          <cell r="I202">
            <v>0</v>
          </cell>
          <cell r="J202">
            <v>0</v>
          </cell>
          <cell r="K202">
            <v>5.5</v>
          </cell>
          <cell r="L202">
            <v>8.3000000000000007</v>
          </cell>
          <cell r="M202">
            <v>2</v>
          </cell>
          <cell r="N202"/>
          <cell r="O202"/>
          <cell r="P202"/>
        </row>
        <row r="203">
          <cell r="A203">
            <v>227</v>
          </cell>
          <cell r="B203" t="str">
            <v>F/P</v>
          </cell>
          <cell r="C203" t="str">
            <v>PP bonne 2 coupes, P printemps</v>
          </cell>
          <cell r="D203" t="str">
            <v>zone 3</v>
          </cell>
          <cell r="E203">
            <v>2</v>
          </cell>
          <cell r="F203">
            <v>0</v>
          </cell>
          <cell r="G203">
            <v>2.14</v>
          </cell>
          <cell r="H203">
            <v>0</v>
          </cell>
          <cell r="I203">
            <v>0</v>
          </cell>
          <cell r="J203">
            <v>0</v>
          </cell>
          <cell r="K203">
            <v>4</v>
          </cell>
          <cell r="L203">
            <v>8.14</v>
          </cell>
          <cell r="M203">
            <v>2</v>
          </cell>
          <cell r="N203"/>
          <cell r="O203"/>
          <cell r="P203"/>
        </row>
        <row r="204">
          <cell r="A204">
            <v>228</v>
          </cell>
          <cell r="B204" t="str">
            <v>P</v>
          </cell>
          <cell r="C204" t="str">
            <v>PP moyenne prélvt étalé</v>
          </cell>
          <cell r="D204" t="str">
            <v>zone 3</v>
          </cell>
          <cell r="E204">
            <v>1.6</v>
          </cell>
          <cell r="F204">
            <v>1.4</v>
          </cell>
          <cell r="G204">
            <v>1.2</v>
          </cell>
          <cell r="H204"/>
          <cell r="I204"/>
          <cell r="J204"/>
          <cell r="K204"/>
          <cell r="L204">
            <v>4.2</v>
          </cell>
          <cell r="M204">
            <v>0</v>
          </cell>
          <cell r="N204"/>
          <cell r="O204"/>
          <cell r="P204"/>
        </row>
        <row r="205">
          <cell r="A205">
            <v>229</v>
          </cell>
          <cell r="B205" t="str">
            <v>F/P</v>
          </cell>
          <cell r="C205" t="str">
            <v>PP moyenne 2 coupes P printemps</v>
          </cell>
          <cell r="D205" t="str">
            <v>zone 3</v>
          </cell>
          <cell r="E205">
            <v>1.3</v>
          </cell>
          <cell r="F205">
            <v>0</v>
          </cell>
          <cell r="G205">
            <v>1.8</v>
          </cell>
          <cell r="H205"/>
          <cell r="I205"/>
          <cell r="J205"/>
          <cell r="K205">
            <v>2.7</v>
          </cell>
          <cell r="L205">
            <v>5.8000000000000007</v>
          </cell>
          <cell r="M205">
            <v>2</v>
          </cell>
          <cell r="N205"/>
          <cell r="O205"/>
          <cell r="P205"/>
        </row>
        <row r="206">
          <cell r="A206">
            <v>230</v>
          </cell>
          <cell r="B206" t="str">
            <v>F/P</v>
          </cell>
          <cell r="C206" t="str">
            <v>PP bonne 2 coupes SANS  P printemps</v>
          </cell>
          <cell r="D206" t="str">
            <v>zone 2</v>
          </cell>
          <cell r="E206">
            <v>0</v>
          </cell>
          <cell r="F206">
            <v>0</v>
          </cell>
          <cell r="G206">
            <v>0.8</v>
          </cell>
          <cell r="H206">
            <v>0</v>
          </cell>
          <cell r="I206">
            <v>0</v>
          </cell>
          <cell r="J206"/>
          <cell r="K206">
            <v>5</v>
          </cell>
          <cell r="L206">
            <v>5.8</v>
          </cell>
          <cell r="M206">
            <v>2</v>
          </cell>
          <cell r="N206"/>
          <cell r="O206"/>
          <cell r="P206"/>
        </row>
        <row r="207">
          <cell r="A207">
            <v>231</v>
          </cell>
          <cell r="B207" t="str">
            <v>F/P</v>
          </cell>
          <cell r="C207" t="str">
            <v>PP moyenne 2 coupes SANS P printemps</v>
          </cell>
          <cell r="D207" t="str">
            <v>zone 2</v>
          </cell>
          <cell r="E207">
            <v>0</v>
          </cell>
          <cell r="F207">
            <v>0</v>
          </cell>
          <cell r="G207">
            <v>0.65</v>
          </cell>
          <cell r="H207">
            <v>0</v>
          </cell>
          <cell r="I207">
            <v>0</v>
          </cell>
          <cell r="J207"/>
          <cell r="K207">
            <v>3.4</v>
          </cell>
          <cell r="L207">
            <v>4.05</v>
          </cell>
          <cell r="M207">
            <v>2</v>
          </cell>
          <cell r="N207"/>
          <cell r="O207"/>
          <cell r="P207"/>
        </row>
        <row r="208">
          <cell r="A208">
            <v>232</v>
          </cell>
          <cell r="B208" t="str">
            <v>F/P</v>
          </cell>
          <cell r="C208" t="str">
            <v>PP bonne P prtps et 1 C été</v>
          </cell>
          <cell r="D208" t="str">
            <v>zone 2</v>
          </cell>
          <cell r="E208">
            <v>2.7</v>
          </cell>
          <cell r="F208">
            <v>0</v>
          </cell>
          <cell r="G208">
            <v>0.8</v>
          </cell>
          <cell r="H208">
            <v>0</v>
          </cell>
          <cell r="I208">
            <v>1</v>
          </cell>
          <cell r="J208"/>
          <cell r="K208">
            <v>2</v>
          </cell>
          <cell r="L208">
            <v>6.5</v>
          </cell>
          <cell r="M208">
            <v>1</v>
          </cell>
          <cell r="N208"/>
          <cell r="O208"/>
          <cell r="P208"/>
        </row>
        <row r="209">
          <cell r="A209">
            <v>233</v>
          </cell>
          <cell r="B209" t="str">
            <v>F/P</v>
          </cell>
          <cell r="C209" t="str">
            <v>PP moyenne P prtps et 1 C été</v>
          </cell>
          <cell r="D209" t="str">
            <v>zone 2</v>
          </cell>
          <cell r="E209">
            <v>2.2000000000000002</v>
          </cell>
          <cell r="F209">
            <v>0</v>
          </cell>
          <cell r="G209">
            <v>0.65</v>
          </cell>
          <cell r="H209">
            <v>0</v>
          </cell>
          <cell r="I209">
            <v>0.75</v>
          </cell>
          <cell r="J209"/>
          <cell r="K209">
            <v>1.5</v>
          </cell>
          <cell r="L209">
            <v>5.0999999999999996</v>
          </cell>
          <cell r="M209">
            <v>1</v>
          </cell>
          <cell r="N209"/>
          <cell r="O209"/>
          <cell r="P209"/>
        </row>
        <row r="210">
          <cell r="A210">
            <v>234</v>
          </cell>
          <cell r="B210" t="str">
            <v>F/P</v>
          </cell>
          <cell r="C210" t="str">
            <v>PP médiocre P prtps et 1 C été</v>
          </cell>
          <cell r="D210" t="str">
            <v>zone 2</v>
          </cell>
          <cell r="E210">
            <v>1.5</v>
          </cell>
          <cell r="F210">
            <v>0</v>
          </cell>
          <cell r="G210">
            <v>0.5</v>
          </cell>
          <cell r="H210">
            <v>0</v>
          </cell>
          <cell r="I210">
            <v>0.35</v>
          </cell>
          <cell r="J210"/>
          <cell r="K210">
            <v>1</v>
          </cell>
          <cell r="L210">
            <v>3.35</v>
          </cell>
          <cell r="M210">
            <v>1</v>
          </cell>
          <cell r="N210"/>
          <cell r="O210"/>
          <cell r="P210"/>
        </row>
        <row r="211">
          <cell r="A211">
            <v>235</v>
          </cell>
          <cell r="B211" t="str">
            <v>P</v>
          </cell>
          <cell r="C211" t="str">
            <v>landes privées pâture P/A</v>
          </cell>
          <cell r="D211" t="str">
            <v>zone 2</v>
          </cell>
          <cell r="E211">
            <v>0.5</v>
          </cell>
          <cell r="F211">
            <v>0</v>
          </cell>
          <cell r="G211">
            <v>0.3</v>
          </cell>
          <cell r="H211">
            <v>0</v>
          </cell>
          <cell r="I211">
            <v>0</v>
          </cell>
          <cell r="J211"/>
          <cell r="K211">
            <v>0</v>
          </cell>
          <cell r="L211">
            <v>0.8</v>
          </cell>
          <cell r="M211">
            <v>0</v>
          </cell>
          <cell r="N211"/>
          <cell r="O211"/>
          <cell r="P211"/>
        </row>
        <row r="212">
          <cell r="A212">
            <v>236</v>
          </cell>
          <cell r="B212" t="str">
            <v>F/P</v>
          </cell>
          <cell r="C212" t="str">
            <v>PP bonne 1 coupe Prtps sans P prtps</v>
          </cell>
          <cell r="D212" t="str">
            <v>zone 2</v>
          </cell>
          <cell r="E212">
            <v>0</v>
          </cell>
          <cell r="F212">
            <v>1.423</v>
          </cell>
          <cell r="G212">
            <v>0.85</v>
          </cell>
          <cell r="H212">
            <v>0</v>
          </cell>
          <cell r="I212">
            <v>0</v>
          </cell>
          <cell r="J212"/>
          <cell r="K212">
            <v>3.27</v>
          </cell>
          <cell r="L212">
            <v>5.5430000000000001</v>
          </cell>
          <cell r="M212">
            <v>1</v>
          </cell>
          <cell r="N212"/>
          <cell r="O212"/>
          <cell r="P212"/>
        </row>
        <row r="213">
          <cell r="A213">
            <v>237</v>
          </cell>
          <cell r="B213" t="str">
            <v>P</v>
          </cell>
          <cell r="C213" t="str">
            <v>landes privées pâture P/A</v>
          </cell>
          <cell r="D213" t="str">
            <v>zone 1</v>
          </cell>
          <cell r="E213">
            <v>0.6</v>
          </cell>
          <cell r="F213">
            <v>0</v>
          </cell>
          <cell r="G213">
            <v>0.3</v>
          </cell>
          <cell r="H213">
            <v>0</v>
          </cell>
          <cell r="I213">
            <v>0</v>
          </cell>
          <cell r="J213"/>
          <cell r="K213">
            <v>0</v>
          </cell>
          <cell r="L213">
            <v>0.89999999999999991</v>
          </cell>
          <cell r="M213">
            <v>0</v>
          </cell>
          <cell r="N213"/>
          <cell r="O213"/>
          <cell r="P213"/>
        </row>
        <row r="214">
          <cell r="A214">
            <v>238</v>
          </cell>
          <cell r="B214" t="str">
            <v>P</v>
          </cell>
          <cell r="C214" t="str">
            <v>PP moyenne P prélèvement étalé</v>
          </cell>
          <cell r="D214" t="str">
            <v>zone 1</v>
          </cell>
          <cell r="E214">
            <v>2</v>
          </cell>
          <cell r="F214">
            <v>1.3</v>
          </cell>
          <cell r="G214">
            <v>0.3</v>
          </cell>
          <cell r="H214">
            <v>0</v>
          </cell>
          <cell r="I214">
            <v>0</v>
          </cell>
          <cell r="J214"/>
          <cell r="K214"/>
          <cell r="L214">
            <v>3.5999999999999996</v>
          </cell>
          <cell r="M214">
            <v>0</v>
          </cell>
          <cell r="N214"/>
          <cell r="O214"/>
          <cell r="P214"/>
        </row>
        <row r="215">
          <cell r="A215">
            <v>239</v>
          </cell>
          <cell r="B215" t="str">
            <v>P</v>
          </cell>
          <cell r="C215" t="str">
            <v>PP bonnne P prélèvement étalé</v>
          </cell>
          <cell r="D215" t="str">
            <v>zone 1</v>
          </cell>
          <cell r="E215">
            <v>3</v>
          </cell>
          <cell r="F215">
            <v>2</v>
          </cell>
          <cell r="G215">
            <v>1.5</v>
          </cell>
          <cell r="H215">
            <v>0.5</v>
          </cell>
          <cell r="I215">
            <v>0.5</v>
          </cell>
          <cell r="J215"/>
          <cell r="K215">
            <v>0</v>
          </cell>
          <cell r="L215">
            <v>7.5</v>
          </cell>
          <cell r="M215">
            <v>0</v>
          </cell>
          <cell r="N215"/>
          <cell r="O215"/>
          <cell r="P215"/>
        </row>
        <row r="216">
          <cell r="A216">
            <v>240</v>
          </cell>
          <cell r="B216" t="str">
            <v>F/P</v>
          </cell>
          <cell r="C216" t="str">
            <v>PP excellente 3 coupes estivales</v>
          </cell>
          <cell r="D216" t="str">
            <v>zone 1</v>
          </cell>
          <cell r="E216">
            <v>1</v>
          </cell>
          <cell r="F216">
            <v>0</v>
          </cell>
          <cell r="G216">
            <v>0.35</v>
          </cell>
          <cell r="H216">
            <v>0.35</v>
          </cell>
          <cell r="I216">
            <v>1.5</v>
          </cell>
          <cell r="J216"/>
          <cell r="K216">
            <v>6.5</v>
          </cell>
          <cell r="L216">
            <v>9.6999999999999993</v>
          </cell>
          <cell r="M216">
            <v>3</v>
          </cell>
          <cell r="N216"/>
          <cell r="O216"/>
          <cell r="P216"/>
        </row>
        <row r="217">
          <cell r="A217">
            <v>241</v>
          </cell>
          <cell r="B217" t="str">
            <v>F/P</v>
          </cell>
          <cell r="C217" t="str">
            <v>PP excellente 2 coupes estivales</v>
          </cell>
          <cell r="D217" t="str">
            <v>zone 1</v>
          </cell>
          <cell r="E217">
            <v>1.5</v>
          </cell>
          <cell r="F217">
            <v>0</v>
          </cell>
          <cell r="G217">
            <v>0.75</v>
          </cell>
          <cell r="H217">
            <v>0.75</v>
          </cell>
          <cell r="I217">
            <v>1</v>
          </cell>
          <cell r="J217"/>
          <cell r="K217">
            <v>5</v>
          </cell>
          <cell r="L217">
            <v>9</v>
          </cell>
          <cell r="M217">
            <v>2</v>
          </cell>
          <cell r="N217"/>
          <cell r="O217"/>
          <cell r="P217"/>
        </row>
        <row r="218">
          <cell r="A218">
            <v>242</v>
          </cell>
          <cell r="B218" t="str">
            <v>F/P</v>
          </cell>
          <cell r="C218" t="str">
            <v>PP bonne 1 coupe estivales</v>
          </cell>
          <cell r="D218" t="str">
            <v>zone 1</v>
          </cell>
          <cell r="E218">
            <v>1.5</v>
          </cell>
          <cell r="F218">
            <v>0</v>
          </cell>
          <cell r="G218">
            <v>0.75</v>
          </cell>
          <cell r="H218">
            <v>0.75</v>
          </cell>
          <cell r="I218">
            <v>1.06</v>
          </cell>
          <cell r="J218"/>
          <cell r="K218">
            <v>3.27</v>
          </cell>
          <cell r="L218">
            <v>7.33</v>
          </cell>
          <cell r="M218">
            <v>1</v>
          </cell>
          <cell r="N218"/>
          <cell r="O218"/>
          <cell r="P218"/>
        </row>
        <row r="219">
          <cell r="A219">
            <v>243</v>
          </cell>
          <cell r="B219" t="str">
            <v>P</v>
          </cell>
          <cell r="C219" t="str">
            <v>PP moyenne prélvt étalé</v>
          </cell>
          <cell r="D219" t="str">
            <v>zone 1</v>
          </cell>
          <cell r="E219">
            <v>1</v>
          </cell>
          <cell r="F219">
            <v>1</v>
          </cell>
          <cell r="G219">
            <v>0.75</v>
          </cell>
          <cell r="H219">
            <v>0.75</v>
          </cell>
          <cell r="I219">
            <v>1</v>
          </cell>
          <cell r="J219"/>
          <cell r="K219">
            <v>0</v>
          </cell>
          <cell r="L219">
            <v>4.5</v>
          </cell>
          <cell r="M219">
            <v>0</v>
          </cell>
          <cell r="N219"/>
          <cell r="O219"/>
          <cell r="P219"/>
        </row>
        <row r="220">
          <cell r="A220">
            <v>244</v>
          </cell>
          <cell r="B220" t="str">
            <v>P</v>
          </cell>
          <cell r="C220" t="str">
            <v>landes privées Ptps/AS</v>
          </cell>
          <cell r="D220" t="str">
            <v>zone 1</v>
          </cell>
          <cell r="E220">
            <v>0.5</v>
          </cell>
          <cell r="F220">
            <v>0</v>
          </cell>
          <cell r="G220">
            <v>0.5</v>
          </cell>
          <cell r="H220">
            <v>0.3</v>
          </cell>
          <cell r="I220">
            <v>0</v>
          </cell>
          <cell r="J220"/>
          <cell r="K220">
            <v>0</v>
          </cell>
          <cell r="L220">
            <v>1.3</v>
          </cell>
          <cell r="M220">
            <v>0</v>
          </cell>
          <cell r="N220"/>
          <cell r="O220"/>
          <cell r="P220"/>
        </row>
        <row r="221">
          <cell r="A221">
            <v>245</v>
          </cell>
          <cell r="B221" t="str">
            <v>F/P</v>
          </cell>
          <cell r="C221" t="str">
            <v>PP bonne 2 coupes SANS  P printemps</v>
          </cell>
          <cell r="D221" t="str">
            <v>zone 1</v>
          </cell>
          <cell r="E221">
            <v>0</v>
          </cell>
          <cell r="F221">
            <v>0</v>
          </cell>
          <cell r="G221">
            <v>0.75</v>
          </cell>
          <cell r="H221">
            <v>0.75</v>
          </cell>
          <cell r="I221">
            <v>1</v>
          </cell>
          <cell r="J221"/>
          <cell r="K221">
            <v>5</v>
          </cell>
          <cell r="L221">
            <v>7.5</v>
          </cell>
          <cell r="M221">
            <v>2</v>
          </cell>
          <cell r="N221"/>
          <cell r="O221"/>
          <cell r="P221"/>
        </row>
        <row r="222">
          <cell r="A222">
            <v>246</v>
          </cell>
          <cell r="B222" t="str">
            <v>F/P</v>
          </cell>
          <cell r="C222" t="str">
            <v>PP bonne 1 coupe SANS  P printemps</v>
          </cell>
          <cell r="D222" t="str">
            <v>zone 1</v>
          </cell>
          <cell r="E222">
            <v>0</v>
          </cell>
          <cell r="F222">
            <v>1.5</v>
          </cell>
          <cell r="G222">
            <v>0.8474400000000003</v>
          </cell>
          <cell r="H222">
            <v>0</v>
          </cell>
          <cell r="I222">
            <v>0</v>
          </cell>
          <cell r="J222"/>
          <cell r="K222">
            <v>3.75</v>
          </cell>
          <cell r="L222">
            <v>6.0974400000000006</v>
          </cell>
          <cell r="M222">
            <v>1</v>
          </cell>
          <cell r="N222"/>
          <cell r="O222"/>
          <cell r="P222"/>
        </row>
        <row r="223">
          <cell r="A223">
            <v>247</v>
          </cell>
          <cell r="B223" t="str">
            <v>P</v>
          </cell>
          <cell r="C223" t="str">
            <v>Bois pâturé aux 3 saisons</v>
          </cell>
          <cell r="D223" t="str">
            <v>zone 1</v>
          </cell>
          <cell r="E223">
            <v>0.5</v>
          </cell>
          <cell r="F223">
            <v>0.5</v>
          </cell>
          <cell r="G223">
            <v>0.5</v>
          </cell>
          <cell r="H223"/>
          <cell r="I223"/>
          <cell r="J223"/>
          <cell r="K223">
            <v>0</v>
          </cell>
          <cell r="L223">
            <v>1.5</v>
          </cell>
          <cell r="M223">
            <v>0</v>
          </cell>
          <cell r="N223"/>
          <cell r="O223"/>
          <cell r="P223"/>
        </row>
        <row r="224">
          <cell r="A224">
            <v>248</v>
          </cell>
          <cell r="B224" t="str">
            <v>F/P</v>
          </cell>
          <cell r="C224" t="str">
            <v>PP excellente 2 coupes précoces</v>
          </cell>
          <cell r="D224" t="str">
            <v>zone 3</v>
          </cell>
          <cell r="E224">
            <v>1.5</v>
          </cell>
          <cell r="F224">
            <v>1</v>
          </cell>
          <cell r="G224">
            <v>1.5</v>
          </cell>
          <cell r="H224"/>
          <cell r="I224"/>
          <cell r="J224"/>
          <cell r="K224">
            <v>6</v>
          </cell>
          <cell r="L224">
            <v>10</v>
          </cell>
          <cell r="M224">
            <v>2</v>
          </cell>
          <cell r="N224"/>
          <cell r="O224"/>
          <cell r="P224"/>
        </row>
        <row r="225">
          <cell r="A225">
            <v>249</v>
          </cell>
          <cell r="B225" t="str">
            <v>F/P</v>
          </cell>
          <cell r="C225" t="str">
            <v>PP excellente 2 coupes tardives</v>
          </cell>
          <cell r="D225" t="str">
            <v>zone 3</v>
          </cell>
          <cell r="E225">
            <v>2.5</v>
          </cell>
          <cell r="F225">
            <v>0</v>
          </cell>
          <cell r="G225">
            <v>1.5</v>
          </cell>
          <cell r="H225"/>
          <cell r="I225"/>
          <cell r="J225"/>
          <cell r="K225">
            <v>6</v>
          </cell>
          <cell r="L225">
            <v>10</v>
          </cell>
          <cell r="M225">
            <v>2</v>
          </cell>
          <cell r="N225"/>
          <cell r="O225"/>
          <cell r="P225"/>
        </row>
        <row r="226">
          <cell r="A226">
            <v>250</v>
          </cell>
          <cell r="B226" t="str">
            <v>F/P</v>
          </cell>
          <cell r="C226" t="str">
            <v>PP bonne 2 coupes tardives SANSP prtps</v>
          </cell>
          <cell r="D226" t="str">
            <v>zone 3</v>
          </cell>
          <cell r="E226">
            <v>0</v>
          </cell>
          <cell r="F226">
            <v>0</v>
          </cell>
          <cell r="G226">
            <v>1.5</v>
          </cell>
          <cell r="H226"/>
          <cell r="I226"/>
          <cell r="J226"/>
          <cell r="K226">
            <v>5.5</v>
          </cell>
          <cell r="L226">
            <v>7</v>
          </cell>
          <cell r="M226">
            <v>2</v>
          </cell>
          <cell r="N226"/>
          <cell r="O226"/>
          <cell r="P226"/>
        </row>
        <row r="227">
          <cell r="A227">
            <v>251</v>
          </cell>
          <cell r="B227" t="str">
            <v>F/P</v>
          </cell>
          <cell r="C227" t="str">
            <v>PP bonne 3 coupes estivales</v>
          </cell>
          <cell r="D227" t="str">
            <v>zone 1</v>
          </cell>
          <cell r="E227">
            <v>1.2</v>
          </cell>
          <cell r="F227">
            <v>0</v>
          </cell>
          <cell r="G227">
            <v>0.77</v>
          </cell>
          <cell r="H227">
            <v>0.19</v>
          </cell>
          <cell r="I227">
            <v>0.96</v>
          </cell>
          <cell r="J227"/>
          <cell r="K227">
            <v>4.5</v>
          </cell>
          <cell r="L227">
            <v>7.62</v>
          </cell>
          <cell r="M227">
            <v>3</v>
          </cell>
          <cell r="N227"/>
          <cell r="O227"/>
          <cell r="P227"/>
        </row>
        <row r="228">
          <cell r="A228">
            <v>252</v>
          </cell>
          <cell r="B228" t="str">
            <v>F/P</v>
          </cell>
          <cell r="C228" t="str">
            <v>PP moyenne  2 coupes tardives SANSP prtps</v>
          </cell>
          <cell r="D228" t="str">
            <v>zone 3</v>
          </cell>
          <cell r="E228">
            <v>0</v>
          </cell>
          <cell r="F228">
            <v>0</v>
          </cell>
          <cell r="G228">
            <v>1.5</v>
          </cell>
          <cell r="H228"/>
          <cell r="I228"/>
          <cell r="J228"/>
          <cell r="K228">
            <v>3.5</v>
          </cell>
          <cell r="L228">
            <v>5</v>
          </cell>
          <cell r="M228">
            <v>2</v>
          </cell>
          <cell r="N228"/>
          <cell r="O228"/>
          <cell r="P228"/>
        </row>
        <row r="229">
          <cell r="A229">
            <v>253</v>
          </cell>
          <cell r="B229" t="str">
            <v>F/P</v>
          </cell>
          <cell r="C229" t="str">
            <v>PP excellente 2 coupes précoces</v>
          </cell>
          <cell r="D229" t="str">
            <v>zone 1</v>
          </cell>
          <cell r="E229">
            <v>1.1000000000000001</v>
          </cell>
          <cell r="F229">
            <v>1</v>
          </cell>
          <cell r="G229">
            <v>0.77</v>
          </cell>
          <cell r="H229">
            <v>0.19</v>
          </cell>
          <cell r="I229">
            <v>0.96</v>
          </cell>
          <cell r="J229"/>
          <cell r="K229">
            <v>5</v>
          </cell>
          <cell r="L229">
            <v>9.02</v>
          </cell>
          <cell r="M229">
            <v>2</v>
          </cell>
          <cell r="N229"/>
          <cell r="O229"/>
          <cell r="P229"/>
        </row>
        <row r="230">
          <cell r="A230">
            <v>254</v>
          </cell>
          <cell r="B230" t="str">
            <v>F/P</v>
          </cell>
          <cell r="C230" t="str">
            <v>PP excellente 2 coupes tardives</v>
          </cell>
          <cell r="D230" t="str">
            <v>zone 1</v>
          </cell>
          <cell r="E230">
            <v>2.1</v>
          </cell>
          <cell r="F230">
            <v>0</v>
          </cell>
          <cell r="G230">
            <v>0.77</v>
          </cell>
          <cell r="H230">
            <v>0.19</v>
          </cell>
          <cell r="I230">
            <v>0.96</v>
          </cell>
          <cell r="J230"/>
          <cell r="K230">
            <v>5</v>
          </cell>
          <cell r="L230">
            <v>9.02</v>
          </cell>
          <cell r="M230">
            <v>2</v>
          </cell>
          <cell r="N230"/>
          <cell r="O230"/>
          <cell r="P230"/>
        </row>
        <row r="231">
          <cell r="A231">
            <v>255</v>
          </cell>
          <cell r="B231" t="str">
            <v>F/P</v>
          </cell>
          <cell r="C231" t="str">
            <v>PP bonne 1 coupe estivale</v>
          </cell>
          <cell r="D231" t="str">
            <v>zone 2</v>
          </cell>
          <cell r="E231">
            <v>2.5</v>
          </cell>
          <cell r="F231">
            <v>0</v>
          </cell>
          <cell r="G231">
            <v>0.8474400000000003</v>
          </cell>
          <cell r="H231">
            <v>0.1</v>
          </cell>
          <cell r="I231">
            <v>0.69913800000000026</v>
          </cell>
          <cell r="J231"/>
          <cell r="K231">
            <v>3</v>
          </cell>
          <cell r="L231">
            <v>7.1465780000000008</v>
          </cell>
          <cell r="M231">
            <v>1</v>
          </cell>
          <cell r="N231"/>
          <cell r="O231"/>
          <cell r="P231"/>
        </row>
        <row r="232">
          <cell r="A232">
            <v>256</v>
          </cell>
          <cell r="B232" t="str">
            <v>P</v>
          </cell>
          <cell r="C232" t="str">
            <v>PP moyenne P/A</v>
          </cell>
          <cell r="D232" t="str">
            <v>zone 2</v>
          </cell>
          <cell r="E232">
            <v>2</v>
          </cell>
          <cell r="F232">
            <v>0</v>
          </cell>
          <cell r="G232">
            <v>1</v>
          </cell>
          <cell r="H232">
            <v>0</v>
          </cell>
          <cell r="I232">
            <v>0.5</v>
          </cell>
          <cell r="J232"/>
          <cell r="K232"/>
          <cell r="L232">
            <v>3.5</v>
          </cell>
          <cell r="M232">
            <v>0</v>
          </cell>
          <cell r="N232"/>
          <cell r="O232"/>
          <cell r="P232"/>
        </row>
        <row r="233">
          <cell r="A233">
            <v>257</v>
          </cell>
          <cell r="B233" t="str">
            <v>F/P</v>
          </cell>
          <cell r="C233" t="str">
            <v>PP bonne 3 coupes</v>
          </cell>
          <cell r="D233" t="str">
            <v>zone 2</v>
          </cell>
          <cell r="E233">
            <v>1.5</v>
          </cell>
          <cell r="F233"/>
          <cell r="G233">
            <v>0.3</v>
          </cell>
          <cell r="H233">
            <v>0.1</v>
          </cell>
          <cell r="I233">
            <v>0.54024300000000003</v>
          </cell>
          <cell r="J233"/>
          <cell r="K233">
            <v>6</v>
          </cell>
          <cell r="L233">
            <v>8.4402430000000006</v>
          </cell>
          <cell r="M233">
            <v>3</v>
          </cell>
          <cell r="N233"/>
          <cell r="O233"/>
          <cell r="P233"/>
        </row>
        <row r="234">
          <cell r="A234">
            <v>258</v>
          </cell>
          <cell r="B234" t="str">
            <v>F/P</v>
          </cell>
          <cell r="C234" t="str">
            <v>landes privées P Prtps</v>
          </cell>
          <cell r="D234" t="str">
            <v>zone 2</v>
          </cell>
          <cell r="E234">
            <v>1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/>
          <cell r="K234"/>
          <cell r="L234">
            <v>1</v>
          </cell>
          <cell r="M234">
            <v>1</v>
          </cell>
          <cell r="N234"/>
          <cell r="O234"/>
          <cell r="P234"/>
        </row>
        <row r="235">
          <cell r="A235">
            <v>259</v>
          </cell>
          <cell r="B235" t="str">
            <v>F/P</v>
          </cell>
          <cell r="C235" t="str">
            <v>PP bonne 3 coupes estivales</v>
          </cell>
          <cell r="D235" t="str">
            <v>zone 2</v>
          </cell>
          <cell r="E235">
            <v>1</v>
          </cell>
          <cell r="F235">
            <v>0</v>
          </cell>
          <cell r="G235">
            <v>0.5</v>
          </cell>
          <cell r="H235">
            <v>0.25</v>
          </cell>
          <cell r="I235">
            <v>0.54024300000000003</v>
          </cell>
          <cell r="J235"/>
          <cell r="K235">
            <v>5.5</v>
          </cell>
          <cell r="L235">
            <v>7.7902430000000003</v>
          </cell>
          <cell r="M235">
            <v>3</v>
          </cell>
          <cell r="N235"/>
          <cell r="O235"/>
          <cell r="P235"/>
        </row>
        <row r="236">
          <cell r="A236">
            <v>260</v>
          </cell>
          <cell r="B236" t="str">
            <v>P</v>
          </cell>
          <cell r="C236" t="str">
            <v>PP bonne Prélevt étalé</v>
          </cell>
          <cell r="D236" t="str">
            <v>zone 2</v>
          </cell>
          <cell r="E236">
            <v>2</v>
          </cell>
          <cell r="F236">
            <v>1.5</v>
          </cell>
          <cell r="G236">
            <v>1.5</v>
          </cell>
          <cell r="H236">
            <v>1</v>
          </cell>
          <cell r="I236">
            <v>0</v>
          </cell>
          <cell r="J236"/>
          <cell r="K236"/>
          <cell r="L236">
            <v>6</v>
          </cell>
          <cell r="M236">
            <v>0</v>
          </cell>
          <cell r="N236"/>
          <cell r="O236"/>
          <cell r="P236"/>
        </row>
        <row r="237">
          <cell r="A237">
            <v>261</v>
          </cell>
          <cell r="B237" t="str">
            <v>P</v>
          </cell>
          <cell r="C237" t="str">
            <v>PP moyenne Prélevt étalé</v>
          </cell>
          <cell r="D237" t="str">
            <v>zone 2</v>
          </cell>
          <cell r="E237">
            <v>1.5</v>
          </cell>
          <cell r="F237">
            <v>1</v>
          </cell>
          <cell r="G237">
            <v>1.5</v>
          </cell>
          <cell r="H237">
            <v>0.8</v>
          </cell>
          <cell r="I237">
            <v>0</v>
          </cell>
          <cell r="J237"/>
          <cell r="K237"/>
          <cell r="L237">
            <v>4.8</v>
          </cell>
          <cell r="M237">
            <v>0</v>
          </cell>
          <cell r="N237"/>
          <cell r="O237"/>
          <cell r="P237"/>
        </row>
        <row r="238">
          <cell r="A238">
            <v>262</v>
          </cell>
          <cell r="B238" t="str">
            <v>P</v>
          </cell>
          <cell r="C238" t="str">
            <v>PP médiocre Prélevt étalé</v>
          </cell>
          <cell r="D238" t="str">
            <v>zone 2</v>
          </cell>
          <cell r="E238">
            <v>1.2</v>
          </cell>
          <cell r="F238">
            <v>0.9</v>
          </cell>
          <cell r="G238">
            <v>1.2</v>
          </cell>
          <cell r="H238">
            <v>0.5</v>
          </cell>
          <cell r="I238">
            <v>0</v>
          </cell>
          <cell r="J238"/>
          <cell r="K238"/>
          <cell r="L238">
            <v>3.8</v>
          </cell>
          <cell r="M238">
            <v>0</v>
          </cell>
          <cell r="N238"/>
          <cell r="O238"/>
          <cell r="P238"/>
        </row>
        <row r="239">
          <cell r="A239">
            <v>263</v>
          </cell>
          <cell r="B239" t="str">
            <v>F/P</v>
          </cell>
          <cell r="C239" t="str">
            <v>PP bonne 2 coupes PRECOCES</v>
          </cell>
          <cell r="D239" t="str">
            <v>zone 2</v>
          </cell>
          <cell r="E239">
            <v>0.86</v>
          </cell>
          <cell r="F239">
            <v>0.5</v>
          </cell>
          <cell r="G239">
            <v>0.8</v>
          </cell>
          <cell r="H239">
            <v>0.3</v>
          </cell>
          <cell r="I239">
            <v>0.64</v>
          </cell>
          <cell r="J239"/>
          <cell r="K239">
            <v>3.8</v>
          </cell>
          <cell r="L239">
            <v>6.9</v>
          </cell>
          <cell r="M239">
            <v>2</v>
          </cell>
          <cell r="N239"/>
          <cell r="O239"/>
          <cell r="P239"/>
        </row>
        <row r="240">
          <cell r="A240">
            <v>264</v>
          </cell>
          <cell r="B240" t="str">
            <v>F/P</v>
          </cell>
          <cell r="C240" t="str">
            <v>PP EXCELLENTE 1  COUPE</v>
          </cell>
          <cell r="D240" t="str">
            <v>zone 1</v>
          </cell>
          <cell r="E240">
            <v>1.8</v>
          </cell>
          <cell r="F240">
            <v>1.2</v>
          </cell>
          <cell r="G240">
            <v>1.8</v>
          </cell>
          <cell r="H240">
            <v>0.5</v>
          </cell>
          <cell r="I240">
            <v>0.7</v>
          </cell>
          <cell r="J240"/>
          <cell r="K240">
            <v>3.8</v>
          </cell>
          <cell r="L240">
            <v>9.8000000000000007</v>
          </cell>
          <cell r="M240">
            <v>1</v>
          </cell>
          <cell r="N240"/>
          <cell r="O240"/>
          <cell r="P240"/>
        </row>
        <row r="241">
          <cell r="A241">
            <v>265</v>
          </cell>
          <cell r="B241" t="str">
            <v>F/P</v>
          </cell>
          <cell r="C241" t="str">
            <v>PP EXCELLENTE 2 COUPES</v>
          </cell>
          <cell r="D241" t="str">
            <v>zone 1</v>
          </cell>
          <cell r="E241">
            <v>1.5</v>
          </cell>
          <cell r="F241">
            <v>0</v>
          </cell>
          <cell r="G241">
            <v>0.8</v>
          </cell>
          <cell r="H241">
            <v>0.5</v>
          </cell>
          <cell r="I241">
            <v>0.7</v>
          </cell>
          <cell r="J241"/>
          <cell r="K241">
            <v>6.3</v>
          </cell>
          <cell r="L241">
            <v>9.8000000000000007</v>
          </cell>
          <cell r="M241">
            <v>2</v>
          </cell>
          <cell r="N241"/>
          <cell r="O241"/>
          <cell r="P241"/>
        </row>
        <row r="242">
          <cell r="A242">
            <v>266</v>
          </cell>
          <cell r="B242" t="str">
            <v>P</v>
          </cell>
          <cell r="C242" t="str">
            <v>PP EXCELLENTE PATUREE</v>
          </cell>
          <cell r="D242" t="str">
            <v>zone 1</v>
          </cell>
          <cell r="E242">
            <v>3.3</v>
          </cell>
          <cell r="F242">
            <v>3</v>
          </cell>
          <cell r="G242">
            <v>2.2999999999999998</v>
          </cell>
          <cell r="H242">
            <v>0.5</v>
          </cell>
          <cell r="I242">
            <v>0.7</v>
          </cell>
          <cell r="J242"/>
          <cell r="K242">
            <v>0</v>
          </cell>
          <cell r="L242">
            <v>9.7999999999999989</v>
          </cell>
          <cell r="M242">
            <v>0</v>
          </cell>
          <cell r="N242"/>
          <cell r="O242"/>
          <cell r="P242"/>
        </row>
        <row r="243">
          <cell r="A243">
            <v>267</v>
          </cell>
          <cell r="B243" t="str">
            <v>F/P</v>
          </cell>
          <cell r="C243" t="str">
            <v>PP 2 coupes estivale Prlvt Hivernal</v>
          </cell>
          <cell r="D243" t="str">
            <v>zone 1</v>
          </cell>
          <cell r="E243">
            <v>1.5</v>
          </cell>
          <cell r="F243">
            <v>0</v>
          </cell>
          <cell r="G243">
            <v>0</v>
          </cell>
          <cell r="H243">
            <v>1.25</v>
          </cell>
          <cell r="I243">
            <v>1.25</v>
          </cell>
          <cell r="J243"/>
          <cell r="K243">
            <v>5</v>
          </cell>
          <cell r="L243">
            <v>9</v>
          </cell>
          <cell r="M243">
            <v>2</v>
          </cell>
          <cell r="N243"/>
          <cell r="O243"/>
          <cell r="P243"/>
        </row>
        <row r="244">
          <cell r="A244">
            <v>268</v>
          </cell>
          <cell r="B244" t="str">
            <v>F/P</v>
          </cell>
          <cell r="C244" t="str">
            <v>PP 1 coupe estivale Prlvt Hivernal</v>
          </cell>
          <cell r="D244" t="str">
            <v>zone 1</v>
          </cell>
          <cell r="E244">
            <v>1.5</v>
          </cell>
          <cell r="F244">
            <v>0</v>
          </cell>
          <cell r="G244">
            <v>0</v>
          </cell>
          <cell r="H244">
            <v>1.5</v>
          </cell>
          <cell r="I244">
            <v>1.5</v>
          </cell>
          <cell r="J244"/>
          <cell r="K244">
            <v>3.8</v>
          </cell>
          <cell r="L244">
            <v>8.3000000000000007</v>
          </cell>
          <cell r="M244">
            <v>1</v>
          </cell>
          <cell r="N244"/>
          <cell r="O244"/>
          <cell r="P244"/>
        </row>
        <row r="245">
          <cell r="A245">
            <v>269</v>
          </cell>
          <cell r="B245" t="str">
            <v>F/P</v>
          </cell>
          <cell r="C245" t="str">
            <v>PP BONNES 2 COUPES PRECOCES</v>
          </cell>
          <cell r="D245" t="str">
            <v>zone 1</v>
          </cell>
          <cell r="E245">
            <v>0</v>
          </cell>
          <cell r="F245">
            <v>1</v>
          </cell>
          <cell r="G245">
            <v>1</v>
          </cell>
          <cell r="H245">
            <v>0.5</v>
          </cell>
          <cell r="I245">
            <v>0.7</v>
          </cell>
          <cell r="J245"/>
          <cell r="K245">
            <v>6.3</v>
          </cell>
          <cell r="L245">
            <v>9.5</v>
          </cell>
          <cell r="M245">
            <v>2</v>
          </cell>
          <cell r="N245"/>
          <cell r="O245"/>
          <cell r="P245"/>
        </row>
        <row r="246">
          <cell r="A246">
            <v>270</v>
          </cell>
          <cell r="B246" t="str">
            <v>F/P</v>
          </cell>
          <cell r="C246" t="str">
            <v xml:space="preserve">PT BONNES 2 COUPES </v>
          </cell>
          <cell r="D246" t="str">
            <v>zone 1</v>
          </cell>
          <cell r="E246">
            <v>1</v>
          </cell>
          <cell r="F246">
            <v>0.7</v>
          </cell>
          <cell r="G246">
            <v>1</v>
          </cell>
          <cell r="H246">
            <v>0.5</v>
          </cell>
          <cell r="I246">
            <v>0.7</v>
          </cell>
          <cell r="J246"/>
          <cell r="K246">
            <v>6.3</v>
          </cell>
          <cell r="L246">
            <v>10.199999999999999</v>
          </cell>
          <cell r="M246">
            <v>2</v>
          </cell>
          <cell r="N246"/>
          <cell r="O246"/>
          <cell r="P246">
            <v>1</v>
          </cell>
        </row>
        <row r="247">
          <cell r="A247">
            <v>271</v>
          </cell>
          <cell r="B247" t="str">
            <v>F/P</v>
          </cell>
          <cell r="C247" t="str">
            <v>PP BONNE 1 CP ESTIVALE</v>
          </cell>
          <cell r="D247" t="str">
            <v>zone 1</v>
          </cell>
          <cell r="E247">
            <v>3.3</v>
          </cell>
          <cell r="F247">
            <v>0</v>
          </cell>
          <cell r="G247">
            <v>1.5</v>
          </cell>
          <cell r="H247">
            <v>1</v>
          </cell>
          <cell r="I247">
            <v>0.7</v>
          </cell>
          <cell r="J247"/>
          <cell r="K247">
            <v>2.5</v>
          </cell>
          <cell r="L247">
            <v>9</v>
          </cell>
          <cell r="M247">
            <v>1</v>
          </cell>
          <cell r="N247"/>
          <cell r="O247"/>
          <cell r="P247"/>
        </row>
        <row r="248">
          <cell r="A248">
            <v>272</v>
          </cell>
          <cell r="B248" t="str">
            <v>F/P</v>
          </cell>
          <cell r="C248" t="str">
            <v>PP BONNE 1 CP ESTIVALE PRLVT AUT HIV</v>
          </cell>
          <cell r="D248" t="str">
            <v>zone 1</v>
          </cell>
          <cell r="E248">
            <v>2</v>
          </cell>
          <cell r="F248">
            <v>0</v>
          </cell>
          <cell r="G248">
            <v>1.25</v>
          </cell>
          <cell r="H248">
            <v>1.25</v>
          </cell>
          <cell r="I248">
            <v>1.25</v>
          </cell>
          <cell r="J248"/>
          <cell r="K248">
            <v>2.5</v>
          </cell>
          <cell r="L248">
            <v>8.25</v>
          </cell>
          <cell r="M248">
            <v>1</v>
          </cell>
          <cell r="N248"/>
          <cell r="O248"/>
          <cell r="P248"/>
        </row>
        <row r="249">
          <cell r="A249">
            <v>273</v>
          </cell>
          <cell r="B249" t="str">
            <v>F</v>
          </cell>
          <cell r="C249" t="str">
            <v>PP EXCELLENTE 3 COUPES ENRUB</v>
          </cell>
          <cell r="D249" t="str">
            <v>zone 1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/>
          <cell r="K249">
            <v>9.8000000000000007</v>
          </cell>
          <cell r="L249">
            <v>9.8000000000000007</v>
          </cell>
          <cell r="M249">
            <v>3</v>
          </cell>
          <cell r="N249"/>
          <cell r="O249"/>
          <cell r="P249"/>
        </row>
        <row r="250">
          <cell r="A250">
            <v>274</v>
          </cell>
          <cell r="B250" t="str">
            <v>F</v>
          </cell>
          <cell r="C250" t="str">
            <v>PP BONNE 3 COUPES ENRUB</v>
          </cell>
          <cell r="D250" t="str">
            <v>zone 1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/>
          <cell r="K250">
            <v>6.8</v>
          </cell>
          <cell r="L250">
            <v>6.8</v>
          </cell>
          <cell r="M250">
            <v>3</v>
          </cell>
          <cell r="N250"/>
          <cell r="O250"/>
          <cell r="P250"/>
        </row>
        <row r="251">
          <cell r="A251">
            <v>275</v>
          </cell>
          <cell r="B251" t="str">
            <v>F</v>
          </cell>
          <cell r="C251" t="str">
            <v>PP EXCELLENTE COUPES REGAIN TARDIF</v>
          </cell>
          <cell r="D251" t="str">
            <v>zone 1</v>
          </cell>
          <cell r="E251">
            <v>1.5</v>
          </cell>
          <cell r="F251">
            <v>0</v>
          </cell>
          <cell r="G251">
            <v>0</v>
          </cell>
          <cell r="H251">
            <v>0.4</v>
          </cell>
          <cell r="I251">
            <v>0.7</v>
          </cell>
          <cell r="J251"/>
          <cell r="K251">
            <v>7.2</v>
          </cell>
          <cell r="L251">
            <v>9.8000000000000007</v>
          </cell>
          <cell r="M251">
            <v>3</v>
          </cell>
          <cell r="N251"/>
          <cell r="O251"/>
          <cell r="P251"/>
        </row>
        <row r="252">
          <cell r="A252">
            <v>276</v>
          </cell>
          <cell r="B252" t="str">
            <v>F/P</v>
          </cell>
          <cell r="C252" t="str">
            <v>PP EXCELLENTE 2 COUPES PAT HIVER</v>
          </cell>
          <cell r="D252" t="str">
            <v>zone 1</v>
          </cell>
          <cell r="E252">
            <v>1.5</v>
          </cell>
          <cell r="F252">
            <v>0</v>
          </cell>
          <cell r="G252">
            <v>0</v>
          </cell>
          <cell r="H252">
            <v>1</v>
          </cell>
          <cell r="I252">
            <v>1</v>
          </cell>
          <cell r="J252"/>
          <cell r="K252">
            <v>6.3</v>
          </cell>
          <cell r="L252">
            <v>9.8000000000000007</v>
          </cell>
          <cell r="M252">
            <v>2</v>
          </cell>
          <cell r="N252"/>
          <cell r="O252"/>
          <cell r="P252"/>
        </row>
        <row r="253">
          <cell r="A253">
            <v>277</v>
          </cell>
          <cell r="B253" t="str">
            <v>F</v>
          </cell>
          <cell r="C253" t="str">
            <v>PP EXCELLENTE 3 COUPES ENRUB</v>
          </cell>
          <cell r="D253" t="str">
            <v>Zone 2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/>
          <cell r="K253">
            <v>9.8000000000000007</v>
          </cell>
          <cell r="L253">
            <v>9.8000000000000007</v>
          </cell>
          <cell r="M253">
            <v>3</v>
          </cell>
          <cell r="N253"/>
          <cell r="O253"/>
          <cell r="P253"/>
        </row>
        <row r="254">
          <cell r="A254">
            <v>278</v>
          </cell>
          <cell r="B254" t="str">
            <v>F/P</v>
          </cell>
          <cell r="C254" t="str">
            <v>PP excellente 3 coupes estivales</v>
          </cell>
          <cell r="D254" t="str">
            <v>zone 2</v>
          </cell>
          <cell r="E254">
            <v>1</v>
          </cell>
          <cell r="F254">
            <v>0</v>
          </cell>
          <cell r="G254">
            <v>0.5</v>
          </cell>
          <cell r="H254">
            <v>0.25</v>
          </cell>
          <cell r="I254">
            <v>0.54024300000000003</v>
          </cell>
          <cell r="J254"/>
          <cell r="K254">
            <v>7.2</v>
          </cell>
          <cell r="L254">
            <v>9.4902429999999995</v>
          </cell>
          <cell r="M254">
            <v>3</v>
          </cell>
          <cell r="N254"/>
          <cell r="O254"/>
          <cell r="P254"/>
        </row>
        <row r="255">
          <cell r="A255">
            <v>279</v>
          </cell>
          <cell r="B255" t="str">
            <v>F/P</v>
          </cell>
          <cell r="C255" t="str">
            <v>PP BONNE 1 CP ESTIVALE</v>
          </cell>
          <cell r="D255" t="str">
            <v>zone 2</v>
          </cell>
          <cell r="E255">
            <v>2.5</v>
          </cell>
          <cell r="F255">
            <v>0</v>
          </cell>
          <cell r="G255">
            <v>1.25</v>
          </cell>
          <cell r="H255">
            <v>0.1</v>
          </cell>
          <cell r="I255">
            <v>0.25</v>
          </cell>
          <cell r="J255"/>
          <cell r="K255">
            <v>3.5</v>
          </cell>
          <cell r="L255">
            <v>7.6</v>
          </cell>
          <cell r="M255">
            <v>1</v>
          </cell>
          <cell r="N255"/>
          <cell r="O255"/>
          <cell r="P255"/>
        </row>
        <row r="256">
          <cell r="A256">
            <v>280</v>
          </cell>
          <cell r="B256" t="str">
            <v>F/P</v>
          </cell>
          <cell r="C256" t="str">
            <v xml:space="preserve">PT EXCELLENTE 2 COUPES </v>
          </cell>
          <cell r="D256" t="str">
            <v>zone 2</v>
          </cell>
          <cell r="E256">
            <v>1</v>
          </cell>
          <cell r="F256">
            <v>0.7</v>
          </cell>
          <cell r="G256">
            <v>0.75</v>
          </cell>
          <cell r="H256">
            <v>0.5</v>
          </cell>
          <cell r="I256">
            <v>0.7</v>
          </cell>
          <cell r="J256"/>
          <cell r="K256">
            <v>5.3</v>
          </cell>
          <cell r="L256">
            <v>8.9499999999999993</v>
          </cell>
          <cell r="M256">
            <v>2</v>
          </cell>
          <cell r="N256"/>
          <cell r="O256"/>
          <cell r="P256">
            <v>1</v>
          </cell>
        </row>
        <row r="257">
          <cell r="A257">
            <v>281</v>
          </cell>
          <cell r="B257" t="str">
            <v>F/P</v>
          </cell>
          <cell r="C257" t="str">
            <v>PP bonne 2 coupes moyennement PRECOCES</v>
          </cell>
          <cell r="D257" t="str">
            <v>zone 2</v>
          </cell>
          <cell r="E257">
            <v>1.5</v>
          </cell>
          <cell r="F257">
            <v>0.5</v>
          </cell>
          <cell r="G257">
            <v>0.8</v>
          </cell>
          <cell r="H257">
            <v>0.3</v>
          </cell>
          <cell r="I257">
            <v>0</v>
          </cell>
          <cell r="J257"/>
          <cell r="K257">
            <v>3.8</v>
          </cell>
          <cell r="L257">
            <v>6.8999999999999995</v>
          </cell>
          <cell r="M257">
            <v>2</v>
          </cell>
          <cell r="N257"/>
          <cell r="O257"/>
          <cell r="P257"/>
        </row>
        <row r="258">
          <cell r="A258">
            <v>282</v>
          </cell>
          <cell r="B258" t="str">
            <v>P</v>
          </cell>
          <cell r="C258" t="str">
            <v>PP moyenne Prélevt étalé sans pat hivernal</v>
          </cell>
          <cell r="D258" t="str">
            <v>zone 2</v>
          </cell>
          <cell r="E258">
            <v>1.5</v>
          </cell>
          <cell r="F258">
            <v>1.25</v>
          </cell>
          <cell r="G258">
            <v>1.5</v>
          </cell>
          <cell r="H258">
            <v>0</v>
          </cell>
          <cell r="I258">
            <v>0</v>
          </cell>
          <cell r="J258"/>
          <cell r="K258">
            <v>0</v>
          </cell>
          <cell r="L258">
            <v>4.25</v>
          </cell>
          <cell r="M258">
            <v>0</v>
          </cell>
          <cell r="N258"/>
          <cell r="O258"/>
          <cell r="P258"/>
        </row>
        <row r="259">
          <cell r="A259">
            <v>283</v>
          </cell>
          <cell r="B259" t="str">
            <v>F/P</v>
          </cell>
          <cell r="C259" t="str">
            <v>PP bonne P prtps et 2 C été</v>
          </cell>
          <cell r="D259" t="str">
            <v>zone 2</v>
          </cell>
          <cell r="E259">
            <v>2</v>
          </cell>
          <cell r="F259">
            <v>0</v>
          </cell>
          <cell r="G259">
            <v>0.8</v>
          </cell>
          <cell r="H259">
            <v>0</v>
          </cell>
          <cell r="I259">
            <v>1</v>
          </cell>
          <cell r="J259"/>
          <cell r="K259">
            <v>2.7</v>
          </cell>
          <cell r="L259">
            <v>6.5</v>
          </cell>
          <cell r="M259">
            <v>1</v>
          </cell>
          <cell r="N259"/>
          <cell r="O259"/>
          <cell r="P259"/>
        </row>
        <row r="260">
          <cell r="A260">
            <v>284</v>
          </cell>
          <cell r="B260" t="str">
            <v>F/P</v>
          </cell>
          <cell r="C260" t="str">
            <v>PP bonne 2 coupes PRECOCES - P début printemps</v>
          </cell>
          <cell r="D260" t="str">
            <v>zone 2</v>
          </cell>
          <cell r="E260">
            <v>0.5</v>
          </cell>
          <cell r="F260">
            <v>0</v>
          </cell>
          <cell r="G260">
            <v>0.8</v>
          </cell>
          <cell r="H260">
            <v>0</v>
          </cell>
          <cell r="I260">
            <v>1</v>
          </cell>
          <cell r="J260"/>
          <cell r="K260">
            <v>4.5999999999999996</v>
          </cell>
          <cell r="L260">
            <v>6.8999999999999995</v>
          </cell>
          <cell r="M260">
            <v>2</v>
          </cell>
          <cell r="N260"/>
          <cell r="O260"/>
          <cell r="P260"/>
        </row>
        <row r="261">
          <cell r="A261">
            <v>285</v>
          </cell>
          <cell r="B261" t="str">
            <v>P</v>
          </cell>
          <cell r="C261" t="str">
            <v>PP bonne Prélevt étalé sans pat hivernal</v>
          </cell>
          <cell r="D261" t="str">
            <v>zone 2</v>
          </cell>
          <cell r="E261">
            <v>3</v>
          </cell>
          <cell r="F261">
            <v>1.5</v>
          </cell>
          <cell r="G261">
            <v>2</v>
          </cell>
          <cell r="H261">
            <v>0</v>
          </cell>
          <cell r="I261">
            <v>0</v>
          </cell>
          <cell r="J261"/>
          <cell r="K261">
            <v>0</v>
          </cell>
          <cell r="L261">
            <v>6.5</v>
          </cell>
          <cell r="M261">
            <v>0</v>
          </cell>
          <cell r="N261"/>
          <cell r="O261"/>
          <cell r="P261"/>
        </row>
        <row r="262">
          <cell r="A262">
            <v>286</v>
          </cell>
          <cell r="B262" t="str">
            <v>F/P</v>
          </cell>
          <cell r="C262" t="str">
            <v>PP excellente P prtps et 1 C été</v>
          </cell>
          <cell r="D262" t="str">
            <v>zone 2</v>
          </cell>
          <cell r="E262">
            <v>2.5</v>
          </cell>
          <cell r="F262">
            <v>0</v>
          </cell>
          <cell r="G262">
            <v>1.25</v>
          </cell>
          <cell r="H262">
            <v>0.35</v>
          </cell>
          <cell r="I262">
            <v>1</v>
          </cell>
          <cell r="J262"/>
          <cell r="K262">
            <v>3.7</v>
          </cell>
          <cell r="L262">
            <v>8.8000000000000007</v>
          </cell>
          <cell r="M262">
            <v>1</v>
          </cell>
          <cell r="N262"/>
          <cell r="O262"/>
          <cell r="P262"/>
        </row>
        <row r="263">
          <cell r="A263">
            <v>287</v>
          </cell>
          <cell r="B263" t="str">
            <v>F/P</v>
          </cell>
          <cell r="C263" t="str">
            <v>PP bonne 2 coupes enrub pat automnal</v>
          </cell>
          <cell r="D263" t="str">
            <v>zone 2</v>
          </cell>
          <cell r="E263">
            <v>0.5</v>
          </cell>
          <cell r="F263">
            <v>0</v>
          </cell>
          <cell r="G263">
            <v>1.25</v>
          </cell>
          <cell r="H263">
            <v>0.25</v>
          </cell>
          <cell r="I263">
            <v>0.25</v>
          </cell>
          <cell r="J263"/>
          <cell r="K263">
            <v>4.2</v>
          </cell>
          <cell r="L263">
            <v>6.45</v>
          </cell>
          <cell r="M263">
            <v>2</v>
          </cell>
          <cell r="N263"/>
          <cell r="O263"/>
          <cell r="P263"/>
        </row>
        <row r="264">
          <cell r="A264">
            <v>288</v>
          </cell>
          <cell r="B264" t="str">
            <v>F/P</v>
          </cell>
          <cell r="C264" t="str">
            <v>PP moyenne 2 coupes estivales démarrage tardif</v>
          </cell>
          <cell r="D264" t="str">
            <v>zone 2</v>
          </cell>
          <cell r="E264">
            <v>2</v>
          </cell>
          <cell r="F264">
            <v>0</v>
          </cell>
          <cell r="G264">
            <v>0.64800000000000002</v>
          </cell>
          <cell r="H264">
            <v>0.1</v>
          </cell>
          <cell r="I264">
            <v>0.1</v>
          </cell>
          <cell r="J264">
            <v>0</v>
          </cell>
          <cell r="K264">
            <v>2.0628000000000002</v>
          </cell>
          <cell r="L264">
            <v>4.9108000000000001</v>
          </cell>
          <cell r="M264">
            <v>2</v>
          </cell>
          <cell r="N264"/>
          <cell r="O264"/>
          <cell r="P264"/>
        </row>
        <row r="265">
          <cell r="A265">
            <v>289</v>
          </cell>
          <cell r="B265" t="str">
            <v>F/P</v>
          </cell>
          <cell r="C265" t="str">
            <v>PP EXCELLENTE 2C PRECOCES</v>
          </cell>
          <cell r="D265" t="str">
            <v>zone 1</v>
          </cell>
          <cell r="E265">
            <v>0</v>
          </cell>
          <cell r="F265">
            <v>1</v>
          </cell>
          <cell r="G265">
            <v>1</v>
          </cell>
          <cell r="H265">
            <v>0.7</v>
          </cell>
          <cell r="I265">
            <v>0.5</v>
          </cell>
          <cell r="J265"/>
          <cell r="K265">
            <v>6.3</v>
          </cell>
          <cell r="L265">
            <v>9.5</v>
          </cell>
          <cell r="M265">
            <v>2</v>
          </cell>
          <cell r="N265"/>
          <cell r="O265"/>
          <cell r="P265"/>
        </row>
        <row r="266">
          <cell r="A266">
            <v>290</v>
          </cell>
          <cell r="B266" t="str">
            <v>F/P</v>
          </cell>
          <cell r="C266" t="str">
            <v>PP EXCELLENTE 1  COUPE ESTIVALE</v>
          </cell>
          <cell r="D266" t="str">
            <v>zone 1</v>
          </cell>
          <cell r="E266">
            <v>3.5</v>
          </cell>
          <cell r="F266">
            <v>0</v>
          </cell>
          <cell r="G266">
            <v>1</v>
          </cell>
          <cell r="H266">
            <v>0.7</v>
          </cell>
          <cell r="I266">
            <v>0.5</v>
          </cell>
          <cell r="J266"/>
          <cell r="K266">
            <v>3.8</v>
          </cell>
          <cell r="L266">
            <v>9.5</v>
          </cell>
          <cell r="M266">
            <v>1</v>
          </cell>
          <cell r="N266"/>
          <cell r="O266"/>
          <cell r="P266"/>
        </row>
        <row r="267">
          <cell r="A267">
            <v>291</v>
          </cell>
          <cell r="B267" t="str">
            <v>F/P</v>
          </cell>
          <cell r="C267" t="str">
            <v xml:space="preserve">PT EXCELLENTE 3 COUPES </v>
          </cell>
          <cell r="D267" t="str">
            <v>zone 1</v>
          </cell>
          <cell r="E267">
            <v>1</v>
          </cell>
          <cell r="F267">
            <v>0</v>
          </cell>
          <cell r="G267">
            <v>0.8</v>
          </cell>
          <cell r="H267">
            <v>0.7</v>
          </cell>
          <cell r="I267">
            <v>0.5</v>
          </cell>
          <cell r="J267"/>
          <cell r="K267">
            <v>7.5</v>
          </cell>
          <cell r="L267">
            <v>10.5</v>
          </cell>
          <cell r="M267">
            <v>3</v>
          </cell>
          <cell r="N267"/>
          <cell r="O267"/>
          <cell r="P267"/>
        </row>
        <row r="268">
          <cell r="A268">
            <v>292</v>
          </cell>
          <cell r="B268" t="str">
            <v>F/P</v>
          </cell>
          <cell r="C268" t="str">
            <v>PP bonne 2 coupes précoces sans déprimage</v>
          </cell>
          <cell r="D268" t="str">
            <v>zone 2</v>
          </cell>
          <cell r="E268">
            <v>0</v>
          </cell>
          <cell r="F268">
            <v>0</v>
          </cell>
          <cell r="G268">
            <v>0.8</v>
          </cell>
          <cell r="H268">
            <v>0</v>
          </cell>
          <cell r="I268">
            <v>1</v>
          </cell>
          <cell r="J268"/>
          <cell r="K268">
            <v>5</v>
          </cell>
          <cell r="L268">
            <v>6.8</v>
          </cell>
          <cell r="M268">
            <v>2</v>
          </cell>
          <cell r="N268"/>
          <cell r="O268"/>
          <cell r="P268"/>
        </row>
        <row r="269">
          <cell r="A269">
            <v>293</v>
          </cell>
          <cell r="B269" t="str">
            <v>F/P</v>
          </cell>
          <cell r="C269" t="str">
            <v>PP EXCELLENTE 2 estivales précoces</v>
          </cell>
          <cell r="D269" t="str">
            <v xml:space="preserve">zone 2 </v>
          </cell>
          <cell r="E269">
            <v>1.5</v>
          </cell>
          <cell r="F269">
            <v>0</v>
          </cell>
          <cell r="G269">
            <v>1.5</v>
          </cell>
          <cell r="H269">
            <v>0</v>
          </cell>
          <cell r="I269">
            <v>1</v>
          </cell>
          <cell r="J269"/>
          <cell r="K269">
            <v>5</v>
          </cell>
          <cell r="L269">
            <v>9</v>
          </cell>
          <cell r="M269">
            <v>2</v>
          </cell>
          <cell r="N269"/>
          <cell r="O269"/>
          <cell r="P269"/>
        </row>
        <row r="270">
          <cell r="A270">
            <v>294</v>
          </cell>
          <cell r="B270" t="str">
            <v>F</v>
          </cell>
          <cell r="C270" t="str">
            <v>PP EXCELLENTE 2 COUPES</v>
          </cell>
          <cell r="D270" t="str">
            <v>zone 1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/>
          <cell r="K270">
            <v>8</v>
          </cell>
          <cell r="L270">
            <v>8</v>
          </cell>
          <cell r="M270">
            <v>2</v>
          </cell>
          <cell r="N270"/>
          <cell r="O270"/>
          <cell r="P270"/>
        </row>
        <row r="271">
          <cell r="A271">
            <v>295</v>
          </cell>
          <cell r="B271" t="str">
            <v>P</v>
          </cell>
          <cell r="C271" t="str">
            <v>PP BONNE PATURAGE étalé</v>
          </cell>
          <cell r="D271" t="str">
            <v>zone 1</v>
          </cell>
          <cell r="E271">
            <v>3.3</v>
          </cell>
          <cell r="F271">
            <v>2</v>
          </cell>
          <cell r="G271">
            <v>1.5</v>
          </cell>
          <cell r="H271">
            <v>1</v>
          </cell>
          <cell r="I271">
            <v>0.7</v>
          </cell>
          <cell r="J271"/>
          <cell r="K271"/>
          <cell r="L271">
            <v>8.5</v>
          </cell>
          <cell r="M271"/>
          <cell r="N271"/>
          <cell r="O271"/>
          <cell r="P271"/>
        </row>
        <row r="272">
          <cell r="A272">
            <v>296</v>
          </cell>
          <cell r="B272" t="str">
            <v>P</v>
          </cell>
          <cell r="C272" t="str">
            <v>PP excellente P étalé</v>
          </cell>
          <cell r="D272" t="str">
            <v>zone 1</v>
          </cell>
          <cell r="E272">
            <v>3.5</v>
          </cell>
          <cell r="F272">
            <v>2</v>
          </cell>
          <cell r="G272">
            <v>1.5</v>
          </cell>
          <cell r="H272">
            <v>1</v>
          </cell>
          <cell r="I272">
            <v>1</v>
          </cell>
          <cell r="J272"/>
          <cell r="K272"/>
          <cell r="L272">
            <v>9</v>
          </cell>
          <cell r="M272"/>
          <cell r="N272"/>
          <cell r="O272"/>
          <cell r="P272"/>
        </row>
        <row r="273">
          <cell r="A273">
            <v>297</v>
          </cell>
          <cell r="B273" t="str">
            <v>F/P</v>
          </cell>
          <cell r="C273" t="str">
            <v>PP excellente 2 coupes  très précoces</v>
          </cell>
          <cell r="D273" t="str">
            <v>zone 1</v>
          </cell>
          <cell r="E273">
            <v>0</v>
          </cell>
          <cell r="F273">
            <v>0</v>
          </cell>
          <cell r="G273">
            <v>1</v>
          </cell>
          <cell r="H273">
            <v>0.7</v>
          </cell>
          <cell r="I273">
            <v>1</v>
          </cell>
          <cell r="J273"/>
          <cell r="K273">
            <v>6.3</v>
          </cell>
          <cell r="L273">
            <v>9</v>
          </cell>
          <cell r="M273">
            <v>2</v>
          </cell>
          <cell r="N273"/>
          <cell r="O273"/>
          <cell r="P273"/>
        </row>
        <row r="274">
          <cell r="A274">
            <v>298</v>
          </cell>
          <cell r="B274" t="str">
            <v>F/P</v>
          </cell>
          <cell r="C274" t="str">
            <v>PP excellente 3 COUPES enr</v>
          </cell>
          <cell r="D274" t="str">
            <v>zone 1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/>
          <cell r="K274">
            <v>8</v>
          </cell>
          <cell r="L274">
            <v>8</v>
          </cell>
          <cell r="M274">
            <v>3</v>
          </cell>
          <cell r="N274"/>
          <cell r="O274"/>
          <cell r="P274"/>
        </row>
        <row r="275">
          <cell r="A275">
            <v>299</v>
          </cell>
          <cell r="B275" t="str">
            <v>P</v>
          </cell>
          <cell r="C275" t="str">
            <v>PP excellente  2 COUPES</v>
          </cell>
          <cell r="D275" t="str">
            <v>zone 2</v>
          </cell>
          <cell r="E275"/>
          <cell r="F275"/>
          <cell r="G275"/>
          <cell r="H275"/>
          <cell r="I275"/>
          <cell r="J275"/>
          <cell r="K275">
            <v>8.5</v>
          </cell>
          <cell r="L275">
            <v>8.5</v>
          </cell>
          <cell r="M275">
            <v>2</v>
          </cell>
          <cell r="N275"/>
          <cell r="O275"/>
          <cell r="P275"/>
        </row>
        <row r="276">
          <cell r="A276">
            <v>300</v>
          </cell>
          <cell r="B276" t="str">
            <v>P</v>
          </cell>
          <cell r="C276" t="str">
            <v>PP BONNE 2 COUPES</v>
          </cell>
          <cell r="D276" t="str">
            <v>zone 2</v>
          </cell>
          <cell r="E276"/>
          <cell r="F276"/>
          <cell r="G276"/>
          <cell r="H276"/>
          <cell r="I276"/>
          <cell r="J276"/>
          <cell r="K276">
            <v>7.5</v>
          </cell>
          <cell r="L276">
            <v>7.5</v>
          </cell>
          <cell r="M276">
            <v>2</v>
          </cell>
          <cell r="N276"/>
          <cell r="O276"/>
          <cell r="P276"/>
        </row>
        <row r="277">
          <cell r="A277">
            <v>301</v>
          </cell>
          <cell r="B277" t="str">
            <v>F/P</v>
          </cell>
          <cell r="C277" t="str">
            <v>PP EXCELLENTE 1  COUPE</v>
          </cell>
          <cell r="D277" t="str">
            <v>zone 3</v>
          </cell>
          <cell r="E277">
            <v>1.8</v>
          </cell>
          <cell r="F277">
            <v>1.2</v>
          </cell>
          <cell r="G277">
            <v>2.5</v>
          </cell>
          <cell r="H277"/>
          <cell r="I277"/>
          <cell r="J277"/>
          <cell r="K277">
            <v>5</v>
          </cell>
          <cell r="L277">
            <v>10.5</v>
          </cell>
          <cell r="M277">
            <v>1</v>
          </cell>
          <cell r="N277"/>
          <cell r="O277"/>
          <cell r="P277"/>
        </row>
        <row r="278">
          <cell r="A278">
            <v>302</v>
          </cell>
          <cell r="B278" t="str">
            <v>F/P</v>
          </cell>
          <cell r="C278" t="str">
            <v>PP EXCELLENTE 2 COUPES</v>
          </cell>
          <cell r="D278" t="str">
            <v>zone 3</v>
          </cell>
          <cell r="E278">
            <v>1.3</v>
          </cell>
          <cell r="F278">
            <v>0</v>
          </cell>
          <cell r="G278">
            <v>1.7</v>
          </cell>
          <cell r="H278"/>
          <cell r="I278"/>
          <cell r="J278"/>
          <cell r="K278">
            <v>7.5</v>
          </cell>
          <cell r="L278">
            <v>10.5</v>
          </cell>
          <cell r="M278">
            <v>2</v>
          </cell>
          <cell r="N278"/>
          <cell r="O278"/>
          <cell r="P278"/>
        </row>
        <row r="279">
          <cell r="A279">
            <v>303</v>
          </cell>
          <cell r="B279" t="str">
            <v>P</v>
          </cell>
          <cell r="C279" t="str">
            <v>PP EXCELLENTE PATUREE ovn</v>
          </cell>
          <cell r="D279" t="str">
            <v>zone 3</v>
          </cell>
          <cell r="E279">
            <v>3.5</v>
          </cell>
          <cell r="F279">
            <v>3.5</v>
          </cell>
          <cell r="G279">
            <v>3.5</v>
          </cell>
          <cell r="H279"/>
          <cell r="I279"/>
          <cell r="J279"/>
          <cell r="K279">
            <v>0</v>
          </cell>
          <cell r="L279">
            <v>10.5</v>
          </cell>
          <cell r="M279">
            <v>0</v>
          </cell>
          <cell r="N279"/>
          <cell r="O279"/>
          <cell r="P279"/>
        </row>
        <row r="280">
          <cell r="A280">
            <v>304</v>
          </cell>
          <cell r="B280" t="str">
            <v>F/P</v>
          </cell>
          <cell r="C280" t="str">
            <v>PP EXCELLENTE 2 C PRECOCES pat AUT</v>
          </cell>
          <cell r="D280" t="str">
            <v>zone 3</v>
          </cell>
          <cell r="E280">
            <v>0</v>
          </cell>
          <cell r="F280">
            <v>0</v>
          </cell>
          <cell r="G280">
            <v>3.5</v>
          </cell>
          <cell r="H280"/>
          <cell r="I280"/>
          <cell r="J280"/>
          <cell r="K280">
            <v>7</v>
          </cell>
          <cell r="L280">
            <v>10.5</v>
          </cell>
          <cell r="M280">
            <v>2</v>
          </cell>
          <cell r="N280"/>
          <cell r="O280"/>
          <cell r="P280"/>
        </row>
        <row r="281">
          <cell r="A281">
            <v>305</v>
          </cell>
          <cell r="B281" t="str">
            <v>F/P</v>
          </cell>
          <cell r="C281" t="str">
            <v>PP EXCELLENTE COUPE P/A</v>
          </cell>
          <cell r="D281" t="str">
            <v>zone 3</v>
          </cell>
          <cell r="E281">
            <v>0.5</v>
          </cell>
          <cell r="F281">
            <v>1.5</v>
          </cell>
          <cell r="G281">
            <v>1.5</v>
          </cell>
          <cell r="H281"/>
          <cell r="I281"/>
          <cell r="J281"/>
          <cell r="K281">
            <v>6.5</v>
          </cell>
          <cell r="L281">
            <v>10</v>
          </cell>
          <cell r="M281">
            <v>2</v>
          </cell>
          <cell r="N281"/>
          <cell r="O281"/>
          <cell r="P281"/>
        </row>
        <row r="282">
          <cell r="A282">
            <v>306</v>
          </cell>
          <cell r="B282" t="str">
            <v>F/P</v>
          </cell>
          <cell r="C282" t="str">
            <v>PT  EXCELLENTE 3 COUPES</v>
          </cell>
          <cell r="D282" t="str">
            <v>zone 3</v>
          </cell>
          <cell r="E282">
            <v>1</v>
          </cell>
          <cell r="F282">
            <v>0</v>
          </cell>
          <cell r="G282">
            <v>2</v>
          </cell>
          <cell r="H282"/>
          <cell r="I282"/>
          <cell r="J282"/>
          <cell r="K282">
            <v>8.5</v>
          </cell>
          <cell r="L282">
            <v>11.5</v>
          </cell>
          <cell r="M282">
            <v>3</v>
          </cell>
          <cell r="N282"/>
          <cell r="O282"/>
          <cell r="P282">
            <v>1</v>
          </cell>
        </row>
        <row r="283">
          <cell r="A283">
            <v>307</v>
          </cell>
          <cell r="B283" t="str">
            <v>F/P</v>
          </cell>
          <cell r="C283" t="str">
            <v>PP excellente 2 coupes tardives</v>
          </cell>
          <cell r="D283" t="str">
            <v>zone 3</v>
          </cell>
          <cell r="E283">
            <v>0</v>
          </cell>
          <cell r="F283">
            <v>1.5</v>
          </cell>
          <cell r="G283">
            <v>2</v>
          </cell>
          <cell r="H283"/>
          <cell r="I283"/>
          <cell r="J283"/>
          <cell r="K283">
            <v>7</v>
          </cell>
          <cell r="L283">
            <v>10.5</v>
          </cell>
          <cell r="M283">
            <v>2</v>
          </cell>
          <cell r="N283"/>
          <cell r="O283"/>
          <cell r="P283"/>
        </row>
        <row r="284">
          <cell r="A284">
            <v>308</v>
          </cell>
          <cell r="B284" t="str">
            <v>F/P</v>
          </cell>
          <cell r="C284" t="str">
            <v>PP excellente 2 coupes ESTIVALES</v>
          </cell>
          <cell r="D284" t="str">
            <v>zone 3</v>
          </cell>
          <cell r="E284">
            <v>2</v>
          </cell>
          <cell r="F284">
            <v>0</v>
          </cell>
          <cell r="G284">
            <v>1.5</v>
          </cell>
          <cell r="H284"/>
          <cell r="I284"/>
          <cell r="J284"/>
          <cell r="K284">
            <v>7</v>
          </cell>
          <cell r="L284">
            <v>10.5</v>
          </cell>
          <cell r="M284">
            <v>2</v>
          </cell>
          <cell r="N284"/>
          <cell r="O284"/>
          <cell r="P284"/>
        </row>
        <row r="285">
          <cell r="A285">
            <v>309</v>
          </cell>
          <cell r="B285" t="str">
            <v>F/P</v>
          </cell>
          <cell r="C285" t="str">
            <v>PP MOYENNE 2 COUPES ESTIVALES</v>
          </cell>
          <cell r="D285" t="str">
            <v>zone 3</v>
          </cell>
          <cell r="E285">
            <v>1.5</v>
          </cell>
          <cell r="F285">
            <v>0</v>
          </cell>
          <cell r="G285">
            <v>0.5</v>
          </cell>
          <cell r="H285"/>
          <cell r="I285"/>
          <cell r="J285"/>
          <cell r="K285">
            <v>4.5</v>
          </cell>
          <cell r="L285">
            <v>6.5</v>
          </cell>
          <cell r="M285">
            <v>2</v>
          </cell>
          <cell r="N285"/>
          <cell r="O285"/>
          <cell r="P285"/>
        </row>
        <row r="286">
          <cell r="A286">
            <v>310</v>
          </cell>
          <cell r="B286" t="str">
            <v>F/P</v>
          </cell>
          <cell r="C286" t="str">
            <v>PP BONNE 1 COUPE ESTIVALE</v>
          </cell>
          <cell r="D286" t="str">
            <v>zone 3</v>
          </cell>
          <cell r="E286">
            <v>3.5</v>
          </cell>
          <cell r="F286">
            <v>0</v>
          </cell>
          <cell r="G286">
            <v>1</v>
          </cell>
          <cell r="H286"/>
          <cell r="I286"/>
          <cell r="J286"/>
          <cell r="K286">
            <v>3.8</v>
          </cell>
          <cell r="L286">
            <v>8.3000000000000007</v>
          </cell>
          <cell r="M286">
            <v>1</v>
          </cell>
          <cell r="N286"/>
          <cell r="O286"/>
          <cell r="P286"/>
        </row>
        <row r="287">
          <cell r="A287">
            <v>311</v>
          </cell>
          <cell r="B287" t="str">
            <v>P</v>
          </cell>
          <cell r="C287" t="str">
            <v>PP BONNE PATURE BOVINS</v>
          </cell>
          <cell r="D287" t="str">
            <v>zone 3</v>
          </cell>
          <cell r="E287">
            <v>3.5</v>
          </cell>
          <cell r="F287">
            <v>2</v>
          </cell>
          <cell r="G287">
            <v>2</v>
          </cell>
          <cell r="H287"/>
          <cell r="I287"/>
          <cell r="J287"/>
          <cell r="K287">
            <v>0</v>
          </cell>
          <cell r="L287">
            <v>7.5</v>
          </cell>
          <cell r="M287"/>
          <cell r="N287"/>
          <cell r="O287"/>
          <cell r="P287"/>
        </row>
        <row r="288">
          <cell r="A288">
            <v>312</v>
          </cell>
          <cell r="B288" t="str">
            <v>F/P</v>
          </cell>
          <cell r="C288" t="str">
            <v>PP BONNE 2C ESTIVALES BOVINS</v>
          </cell>
          <cell r="D288" t="str">
            <v>zone 3</v>
          </cell>
          <cell r="E288">
            <v>2</v>
          </cell>
          <cell r="F288">
            <v>0</v>
          </cell>
          <cell r="G288">
            <v>2</v>
          </cell>
          <cell r="H288"/>
          <cell r="I288"/>
          <cell r="J288"/>
          <cell r="K288">
            <v>4.5</v>
          </cell>
          <cell r="L288">
            <v>8.5</v>
          </cell>
          <cell r="M288">
            <v>2</v>
          </cell>
          <cell r="N288"/>
          <cell r="O288"/>
          <cell r="P288"/>
        </row>
        <row r="289">
          <cell r="A289">
            <v>313</v>
          </cell>
          <cell r="B289" t="str">
            <v>F</v>
          </cell>
          <cell r="C289" t="str">
            <v>DEROBE FAUCHE</v>
          </cell>
          <cell r="D289" t="str">
            <v>zone 3</v>
          </cell>
          <cell r="E289"/>
          <cell r="F289"/>
          <cell r="G289"/>
          <cell r="H289"/>
          <cell r="I289"/>
          <cell r="J289"/>
          <cell r="K289">
            <v>3</v>
          </cell>
          <cell r="L289">
            <v>3</v>
          </cell>
          <cell r="M289">
            <v>1</v>
          </cell>
          <cell r="N289">
            <v>1</v>
          </cell>
          <cell r="O289"/>
          <cell r="P289"/>
        </row>
        <row r="290">
          <cell r="A290">
            <v>314</v>
          </cell>
          <cell r="B290" t="str">
            <v>F/P</v>
          </cell>
          <cell r="C290" t="str">
            <v>PP BONNE 1 COUPE DEPRIMEE</v>
          </cell>
          <cell r="D290" t="str">
            <v>zone 3</v>
          </cell>
          <cell r="E290">
            <v>1</v>
          </cell>
          <cell r="F290">
            <v>1</v>
          </cell>
          <cell r="G290">
            <v>2</v>
          </cell>
          <cell r="H290"/>
          <cell r="I290"/>
          <cell r="J290"/>
          <cell r="K290">
            <v>3</v>
          </cell>
          <cell r="L290">
            <v>7</v>
          </cell>
          <cell r="M290">
            <v>1</v>
          </cell>
          <cell r="N290"/>
          <cell r="O290"/>
          <cell r="P290"/>
        </row>
        <row r="291">
          <cell r="A291">
            <v>315</v>
          </cell>
          <cell r="B291" t="str">
            <v>F/P</v>
          </cell>
          <cell r="C291" t="str">
            <v>PP EXCELLENTE 2 COUPES + PATURE VL</v>
          </cell>
          <cell r="D291" t="str">
            <v>zone 3</v>
          </cell>
          <cell r="E291">
            <v>0</v>
          </cell>
          <cell r="F291">
            <v>0</v>
          </cell>
          <cell r="G291">
            <v>2.5</v>
          </cell>
          <cell r="H291"/>
          <cell r="I291"/>
          <cell r="J291"/>
          <cell r="K291">
            <v>7</v>
          </cell>
          <cell r="L291">
            <v>9.5</v>
          </cell>
          <cell r="M291">
            <v>2</v>
          </cell>
          <cell r="N291"/>
          <cell r="O291"/>
          <cell r="P291"/>
        </row>
        <row r="292">
          <cell r="A292">
            <v>316</v>
          </cell>
          <cell r="B292" t="str">
            <v>F/P</v>
          </cell>
          <cell r="C292" t="str">
            <v>PT EXCELLENTE 2 COUPES + PATURE VL</v>
          </cell>
          <cell r="D292" t="str">
            <v>zone 3</v>
          </cell>
          <cell r="E292">
            <v>0</v>
          </cell>
          <cell r="F292">
            <v>0</v>
          </cell>
          <cell r="G292">
            <v>2.5</v>
          </cell>
          <cell r="H292"/>
          <cell r="I292"/>
          <cell r="J292"/>
          <cell r="K292">
            <v>8</v>
          </cell>
          <cell r="L292">
            <v>10.5</v>
          </cell>
          <cell r="M292">
            <v>2</v>
          </cell>
          <cell r="N292"/>
          <cell r="O292"/>
          <cell r="P292">
            <v>1</v>
          </cell>
        </row>
        <row r="293">
          <cell r="A293">
            <v>317</v>
          </cell>
          <cell r="B293" t="str">
            <v>F/P</v>
          </cell>
          <cell r="C293" t="str">
            <v>PP MOYENNE 1 COUPE ESTIVALE</v>
          </cell>
          <cell r="D293" t="str">
            <v>zone 3</v>
          </cell>
          <cell r="E293">
            <v>2</v>
          </cell>
          <cell r="F293">
            <v>0</v>
          </cell>
          <cell r="G293">
            <v>2</v>
          </cell>
          <cell r="H293"/>
          <cell r="I293"/>
          <cell r="J293"/>
          <cell r="K293">
            <v>2.5</v>
          </cell>
          <cell r="L293">
            <v>6.5</v>
          </cell>
          <cell r="M293">
            <v>1</v>
          </cell>
          <cell r="N293"/>
          <cell r="O293"/>
          <cell r="P293"/>
        </row>
        <row r="294">
          <cell r="A294">
            <v>318</v>
          </cell>
          <cell r="B294" t="str">
            <v>F/P</v>
          </cell>
          <cell r="C294" t="str">
            <v>PP MEDIOCRE 1 COUPE ESTIVALE</v>
          </cell>
          <cell r="D294" t="str">
            <v>zone 3</v>
          </cell>
          <cell r="E294">
            <v>1.5</v>
          </cell>
          <cell r="F294"/>
          <cell r="G294">
            <v>1</v>
          </cell>
          <cell r="H294"/>
          <cell r="I294"/>
          <cell r="J294"/>
          <cell r="K294">
            <v>1.5</v>
          </cell>
          <cell r="L294">
            <v>4</v>
          </cell>
          <cell r="M294">
            <v>1</v>
          </cell>
          <cell r="N294"/>
          <cell r="O294"/>
          <cell r="P294"/>
        </row>
        <row r="295">
          <cell r="A295">
            <v>319</v>
          </cell>
          <cell r="B295" t="str">
            <v>P</v>
          </cell>
          <cell r="C295" t="str">
            <v>PP MEDIOCRE PRELVT ETALE</v>
          </cell>
          <cell r="D295" t="str">
            <v>zone 3</v>
          </cell>
          <cell r="E295">
            <v>1</v>
          </cell>
          <cell r="F295">
            <v>1</v>
          </cell>
          <cell r="G295">
            <v>2</v>
          </cell>
          <cell r="H295"/>
          <cell r="I295"/>
          <cell r="J295"/>
          <cell r="K295">
            <v>0</v>
          </cell>
          <cell r="L295">
            <v>4</v>
          </cell>
          <cell r="M295"/>
          <cell r="N295"/>
          <cell r="O295"/>
          <cell r="P295"/>
        </row>
        <row r="296">
          <cell r="A296">
            <v>320</v>
          </cell>
          <cell r="B296" t="str">
            <v>P</v>
          </cell>
          <cell r="C296" t="str">
            <v>PP MOYENNE PATURE BOVIN</v>
          </cell>
          <cell r="D296" t="str">
            <v>zone 3</v>
          </cell>
          <cell r="E296">
            <v>2.5</v>
          </cell>
          <cell r="F296">
            <v>1.5</v>
          </cell>
          <cell r="G296">
            <v>1.5</v>
          </cell>
          <cell r="H296"/>
          <cell r="I296"/>
          <cell r="J296"/>
          <cell r="K296">
            <v>0</v>
          </cell>
          <cell r="L296">
            <v>5.5</v>
          </cell>
          <cell r="M296"/>
          <cell r="N296"/>
          <cell r="O296"/>
          <cell r="P296"/>
        </row>
        <row r="297">
          <cell r="A297">
            <v>321</v>
          </cell>
          <cell r="B297" t="str">
            <v>F/P</v>
          </cell>
          <cell r="C297" t="str">
            <v>PT 2 COUPES PATURE VL</v>
          </cell>
          <cell r="D297" t="str">
            <v>zone 3</v>
          </cell>
          <cell r="E297">
            <v>0</v>
          </cell>
          <cell r="F297">
            <v>0</v>
          </cell>
          <cell r="G297">
            <v>1.5</v>
          </cell>
          <cell r="H297"/>
          <cell r="I297"/>
          <cell r="J297"/>
          <cell r="K297">
            <v>6</v>
          </cell>
          <cell r="L297">
            <v>7.5</v>
          </cell>
          <cell r="M297">
            <v>2</v>
          </cell>
          <cell r="N297"/>
          <cell r="O297"/>
          <cell r="P297">
            <v>1</v>
          </cell>
        </row>
        <row r="298">
          <cell r="A298">
            <v>322</v>
          </cell>
          <cell r="B298" t="str">
            <v>P</v>
          </cell>
          <cell r="C298" t="str">
            <v>PP BONNE pâturage étalé</v>
          </cell>
          <cell r="D298" t="str">
            <v>zone 2</v>
          </cell>
          <cell r="E298">
            <v>2.4</v>
          </cell>
          <cell r="F298">
            <v>2</v>
          </cell>
          <cell r="G298">
            <v>2</v>
          </cell>
          <cell r="H298"/>
          <cell r="I298">
            <v>1</v>
          </cell>
          <cell r="J298"/>
          <cell r="K298"/>
          <cell r="L298">
            <v>7.4</v>
          </cell>
          <cell r="M298"/>
          <cell r="N298"/>
          <cell r="O298"/>
          <cell r="P298"/>
        </row>
        <row r="299">
          <cell r="A299">
            <v>323</v>
          </cell>
          <cell r="B299" t="str">
            <v>P</v>
          </cell>
          <cell r="C299" t="str">
            <v>PP EXCELLENTE pâturage étalé</v>
          </cell>
          <cell r="D299" t="str">
            <v>zone 3</v>
          </cell>
          <cell r="E299">
            <v>3</v>
          </cell>
          <cell r="F299">
            <v>2.5</v>
          </cell>
          <cell r="G299">
            <v>2.5</v>
          </cell>
          <cell r="H299"/>
          <cell r="I299">
            <v>1.5</v>
          </cell>
          <cell r="J299"/>
          <cell r="K299"/>
          <cell r="L299">
            <v>9.5</v>
          </cell>
          <cell r="M299"/>
          <cell r="N299"/>
          <cell r="O299"/>
          <cell r="P299"/>
        </row>
        <row r="300">
          <cell r="A300">
            <v>324</v>
          </cell>
          <cell r="B300" t="str">
            <v>P</v>
          </cell>
          <cell r="C300" t="str">
            <v>PP BONNE pâturage étalé</v>
          </cell>
          <cell r="D300" t="str">
            <v>zone 3</v>
          </cell>
          <cell r="E300">
            <v>3.5</v>
          </cell>
          <cell r="F300">
            <v>2.5</v>
          </cell>
          <cell r="G300">
            <v>2.5</v>
          </cell>
          <cell r="H300"/>
          <cell r="I300"/>
          <cell r="J300"/>
          <cell r="K300"/>
          <cell r="L300">
            <v>8.5</v>
          </cell>
          <cell r="M300"/>
          <cell r="N300"/>
          <cell r="O300"/>
          <cell r="P300"/>
        </row>
      </sheetData>
      <sheetData sheetId="3"/>
      <sheetData sheetId="4">
        <row r="5">
          <cell r="A5">
            <v>0</v>
          </cell>
          <cell r="B5"/>
          <cell r="C5"/>
          <cell r="D5"/>
          <cell r="E5"/>
          <cell r="F5" t="str">
            <v>0 -pas d'utilisation comme concentrés</v>
          </cell>
        </row>
        <row r="6">
          <cell r="A6">
            <v>1</v>
          </cell>
          <cell r="B6" t="str">
            <v>orge</v>
          </cell>
          <cell r="C6">
            <v>4</v>
          </cell>
          <cell r="D6">
            <v>2</v>
          </cell>
          <cell r="E6"/>
          <cell r="F6" t="str">
            <v>2 -grain céréales à paille</v>
          </cell>
        </row>
        <row r="7">
          <cell r="A7">
            <v>2</v>
          </cell>
          <cell r="B7" t="str">
            <v>vigne</v>
          </cell>
          <cell r="C7">
            <v>0</v>
          </cell>
          <cell r="D7">
            <v>0</v>
          </cell>
          <cell r="E7">
            <v>0</v>
          </cell>
          <cell r="F7" t="str">
            <v>0 -pas d'utilisation comme concentrés</v>
          </cell>
          <cell r="G7"/>
          <cell r="H7" t="str">
            <v>AU</v>
          </cell>
        </row>
        <row r="8">
          <cell r="A8">
            <v>3</v>
          </cell>
          <cell r="B8" t="str">
            <v xml:space="preserve">maïs grain zone 3 </v>
          </cell>
          <cell r="C8">
            <v>9</v>
          </cell>
          <cell r="D8">
            <v>0</v>
          </cell>
          <cell r="E8">
            <v>0</v>
          </cell>
          <cell r="F8" t="str">
            <v>1 -maïs-grain</v>
          </cell>
          <cell r="G8">
            <v>168</v>
          </cell>
          <cell r="H8" t="str">
            <v>MG</v>
          </cell>
        </row>
        <row r="9">
          <cell r="A9">
            <v>4</v>
          </cell>
          <cell r="B9" t="str">
            <v xml:space="preserve">maïs ensil zone 3 </v>
          </cell>
          <cell r="C9">
            <v>0</v>
          </cell>
          <cell r="D9">
            <v>0</v>
          </cell>
          <cell r="E9">
            <v>14</v>
          </cell>
          <cell r="F9" t="str">
            <v>0 -pas d'utilisation comme concentrés</v>
          </cell>
          <cell r="G9"/>
          <cell r="H9" t="str">
            <v>ME</v>
          </cell>
        </row>
        <row r="10">
          <cell r="A10">
            <v>5</v>
          </cell>
          <cell r="B10" t="str">
            <v xml:space="preserve">maïs grain zone 1 </v>
          </cell>
          <cell r="C10">
            <v>8</v>
          </cell>
          <cell r="D10">
            <v>0</v>
          </cell>
          <cell r="E10">
            <v>0</v>
          </cell>
          <cell r="F10" t="str">
            <v>1 -maïs-grain</v>
          </cell>
          <cell r="G10">
            <v>168</v>
          </cell>
          <cell r="H10" t="str">
            <v>MG</v>
          </cell>
        </row>
        <row r="11">
          <cell r="A11">
            <v>6</v>
          </cell>
          <cell r="B11" t="str">
            <v xml:space="preserve">maïs ensil zone 1 </v>
          </cell>
          <cell r="C11">
            <v>0</v>
          </cell>
          <cell r="D11">
            <v>0</v>
          </cell>
          <cell r="E11">
            <v>13</v>
          </cell>
          <cell r="F11" t="str">
            <v>0 -pas d'utilisation comme concentrés</v>
          </cell>
          <cell r="G11"/>
          <cell r="H11" t="str">
            <v>ME</v>
          </cell>
        </row>
        <row r="12">
          <cell r="A12">
            <v>7</v>
          </cell>
          <cell r="B12" t="str">
            <v>maïs grain zone 4</v>
          </cell>
          <cell r="C12">
            <v>9</v>
          </cell>
          <cell r="D12">
            <v>0</v>
          </cell>
          <cell r="E12">
            <v>0</v>
          </cell>
          <cell r="F12" t="str">
            <v>1 -maïs-grain</v>
          </cell>
          <cell r="G12">
            <v>168</v>
          </cell>
          <cell r="H12" t="str">
            <v>MG</v>
          </cell>
        </row>
        <row r="13">
          <cell r="A13">
            <v>8</v>
          </cell>
          <cell r="B13" t="str">
            <v>maïs ensil zone 4</v>
          </cell>
          <cell r="C13">
            <v>0</v>
          </cell>
          <cell r="D13">
            <v>0</v>
          </cell>
          <cell r="E13">
            <v>14</v>
          </cell>
          <cell r="F13" t="str">
            <v>0 -pas d'utilisation comme concentrés</v>
          </cell>
          <cell r="G13"/>
          <cell r="H13" t="str">
            <v>ME</v>
          </cell>
        </row>
        <row r="14">
          <cell r="A14">
            <v>9</v>
          </cell>
          <cell r="B14" t="str">
            <v xml:space="preserve">maïs grain zone 5 </v>
          </cell>
          <cell r="C14">
            <v>10</v>
          </cell>
          <cell r="D14">
            <v>0</v>
          </cell>
          <cell r="E14">
            <v>0</v>
          </cell>
          <cell r="F14" t="str">
            <v>1 -maïs-grain</v>
          </cell>
          <cell r="G14">
            <v>168</v>
          </cell>
          <cell r="H14" t="str">
            <v>MG</v>
          </cell>
        </row>
        <row r="15">
          <cell r="A15">
            <v>10</v>
          </cell>
          <cell r="B15" t="str">
            <v xml:space="preserve">maïs ensil zone 5 </v>
          </cell>
          <cell r="C15">
            <v>0</v>
          </cell>
          <cell r="D15">
            <v>0</v>
          </cell>
          <cell r="E15">
            <v>16</v>
          </cell>
          <cell r="F15" t="str">
            <v>0 -pas d'utilisation comme concentrés</v>
          </cell>
          <cell r="G15"/>
          <cell r="H15" t="str">
            <v>ME</v>
          </cell>
        </row>
        <row r="16">
          <cell r="A16">
            <v>11</v>
          </cell>
          <cell r="B16" t="str">
            <v xml:space="preserve">maïs grain zone 2 </v>
          </cell>
          <cell r="C16">
            <v>8</v>
          </cell>
          <cell r="D16">
            <v>0</v>
          </cell>
          <cell r="E16">
            <v>0</v>
          </cell>
          <cell r="F16" t="str">
            <v>1 -maïs-grain</v>
          </cell>
          <cell r="G16">
            <v>168</v>
          </cell>
          <cell r="H16" t="str">
            <v>MG</v>
          </cell>
        </row>
        <row r="17">
          <cell r="A17">
            <v>12</v>
          </cell>
          <cell r="B17" t="str">
            <v xml:space="preserve">maïs ensil zone 2 </v>
          </cell>
          <cell r="C17">
            <v>0</v>
          </cell>
          <cell r="D17">
            <v>0</v>
          </cell>
          <cell r="E17">
            <v>13</v>
          </cell>
          <cell r="F17" t="str">
            <v>0 -pas d'utilisation comme concentrés</v>
          </cell>
          <cell r="G17"/>
          <cell r="H17" t="str">
            <v>ME</v>
          </cell>
        </row>
        <row r="18">
          <cell r="A18">
            <v>13</v>
          </cell>
          <cell r="B18" t="str">
            <v xml:space="preserve">maïs grain humide ensilé couloir zone 5 </v>
          </cell>
          <cell r="C18">
            <v>0</v>
          </cell>
          <cell r="D18">
            <v>0</v>
          </cell>
          <cell r="E18">
            <v>11</v>
          </cell>
          <cell r="F18" t="str">
            <v>0 -pas d'utilisation comme concentrés</v>
          </cell>
          <cell r="G18"/>
          <cell r="H18" t="str">
            <v>ME</v>
          </cell>
        </row>
        <row r="19">
          <cell r="A19">
            <v>14</v>
          </cell>
          <cell r="B19" t="str">
            <v xml:space="preserve">maïs ensil (+ dérobé) zone 5 </v>
          </cell>
          <cell r="C19">
            <v>0</v>
          </cell>
          <cell r="D19">
            <v>0</v>
          </cell>
          <cell r="E19">
            <v>16</v>
          </cell>
          <cell r="F19" t="str">
            <v>0 -pas d'utilisation comme concentrés</v>
          </cell>
          <cell r="G19"/>
          <cell r="H19" t="str">
            <v>ME</v>
          </cell>
        </row>
        <row r="20">
          <cell r="A20">
            <v>15</v>
          </cell>
          <cell r="B20" t="str">
            <v xml:space="preserve">maïs grain (+ dérobé) zone 5 </v>
          </cell>
          <cell r="C20">
            <v>10</v>
          </cell>
          <cell r="D20">
            <v>0</v>
          </cell>
          <cell r="E20">
            <v>0</v>
          </cell>
          <cell r="F20" t="str">
            <v>1 -maïs-grain</v>
          </cell>
          <cell r="G20">
            <v>168</v>
          </cell>
          <cell r="H20" t="str">
            <v>MG</v>
          </cell>
        </row>
        <row r="21">
          <cell r="A21">
            <v>16</v>
          </cell>
          <cell r="B21" t="str">
            <v>blé tendre hiver zone 5/4/3</v>
          </cell>
          <cell r="C21">
            <v>6</v>
          </cell>
          <cell r="D21">
            <v>4</v>
          </cell>
          <cell r="E21">
            <v>0</v>
          </cell>
          <cell r="F21" t="str">
            <v>2 -grain céréales à paille</v>
          </cell>
          <cell r="G21">
            <v>180</v>
          </cell>
          <cell r="H21" t="str">
            <v>CR</v>
          </cell>
        </row>
        <row r="22">
          <cell r="A22">
            <v>17</v>
          </cell>
          <cell r="B22" t="str">
            <v>orge hiver zone 5 /4/3</v>
          </cell>
          <cell r="C22">
            <v>5.0999999999999996</v>
          </cell>
          <cell r="D22">
            <v>4</v>
          </cell>
          <cell r="E22">
            <v>0</v>
          </cell>
          <cell r="F22" t="str">
            <v>2 -grain céréales à paille</v>
          </cell>
          <cell r="G22">
            <v>152</v>
          </cell>
          <cell r="H22" t="str">
            <v>CR</v>
          </cell>
        </row>
        <row r="23">
          <cell r="A23">
            <v>18</v>
          </cell>
          <cell r="B23" t="str">
            <v>soja zone 5 /4/3</v>
          </cell>
          <cell r="C23">
            <v>2.9</v>
          </cell>
          <cell r="D23">
            <v>0</v>
          </cell>
          <cell r="E23">
            <v>0</v>
          </cell>
          <cell r="F23" t="str">
            <v>3 -graines protéagineux</v>
          </cell>
          <cell r="G23">
            <v>329</v>
          </cell>
          <cell r="H23" t="str">
            <v>SJ</v>
          </cell>
        </row>
        <row r="24">
          <cell r="A24">
            <v>19</v>
          </cell>
          <cell r="B24" t="str">
            <v>maïs humide ensilé zone 1</v>
          </cell>
          <cell r="C24"/>
          <cell r="D24"/>
          <cell r="E24">
            <v>11</v>
          </cell>
          <cell r="F24" t="str">
            <v>0 -pas d'utilisation comme concentrés</v>
          </cell>
          <cell r="G24"/>
          <cell r="H24"/>
        </row>
        <row r="25">
          <cell r="A25">
            <v>20</v>
          </cell>
          <cell r="B25" t="str">
            <v xml:space="preserve">maïs ensil (+ dérobé) zone 1 </v>
          </cell>
          <cell r="C25">
            <v>0</v>
          </cell>
          <cell r="D25">
            <v>0</v>
          </cell>
          <cell r="E25">
            <v>13</v>
          </cell>
          <cell r="F25" t="str">
            <v>0 -pas d'utilisation comme concentrés</v>
          </cell>
          <cell r="G25"/>
          <cell r="H25" t="str">
            <v>ME</v>
          </cell>
        </row>
        <row r="26">
          <cell r="A26">
            <v>21</v>
          </cell>
          <cell r="B26" t="str">
            <v>maïs grain (+ dérobé) zone 1</v>
          </cell>
          <cell r="C26">
            <v>8</v>
          </cell>
          <cell r="D26">
            <v>0</v>
          </cell>
          <cell r="E26">
            <v>0</v>
          </cell>
          <cell r="F26" t="str">
            <v>1 -maïs-grain</v>
          </cell>
          <cell r="G26">
            <v>168</v>
          </cell>
          <cell r="H26" t="str">
            <v>MG</v>
          </cell>
        </row>
        <row r="27">
          <cell r="A27">
            <v>22</v>
          </cell>
          <cell r="B27" t="str">
            <v>maïs ensil (+ dérobé) zone 2</v>
          </cell>
          <cell r="C27">
            <v>0</v>
          </cell>
          <cell r="D27">
            <v>0</v>
          </cell>
          <cell r="E27">
            <v>13</v>
          </cell>
          <cell r="F27" t="str">
            <v>0 -pas d'utilisation comme concentrés</v>
          </cell>
          <cell r="G27"/>
          <cell r="H27" t="str">
            <v>ME</v>
          </cell>
        </row>
        <row r="28">
          <cell r="A28">
            <v>23</v>
          </cell>
          <cell r="B28" t="str">
            <v>maïs grain (+ dérobé) zone 2</v>
          </cell>
          <cell r="C28">
            <v>8</v>
          </cell>
          <cell r="D28">
            <v>0</v>
          </cell>
          <cell r="E28">
            <v>0</v>
          </cell>
          <cell r="F28" t="str">
            <v>1 -maïs-grain</v>
          </cell>
          <cell r="G28">
            <v>168</v>
          </cell>
          <cell r="H28" t="str">
            <v>MG</v>
          </cell>
        </row>
        <row r="29">
          <cell r="A29">
            <v>24</v>
          </cell>
          <cell r="B29" t="str">
            <v>maïs ensil (+ dérobé) zone 3</v>
          </cell>
          <cell r="C29">
            <v>0</v>
          </cell>
          <cell r="D29">
            <v>0</v>
          </cell>
          <cell r="E29">
            <v>14</v>
          </cell>
          <cell r="F29" t="str">
            <v>0 -pas d'utilisation comme concentrés</v>
          </cell>
          <cell r="G29"/>
          <cell r="H29" t="str">
            <v>ME</v>
          </cell>
        </row>
        <row r="30">
          <cell r="A30">
            <v>25</v>
          </cell>
          <cell r="B30" t="str">
            <v>maïs grain (+ dérobé) zone 3</v>
          </cell>
          <cell r="C30">
            <v>9</v>
          </cell>
          <cell r="D30">
            <v>0</v>
          </cell>
          <cell r="E30">
            <v>0</v>
          </cell>
          <cell r="F30" t="str">
            <v>1 -maïs-grain</v>
          </cell>
          <cell r="G30">
            <v>168</v>
          </cell>
          <cell r="H30" t="str">
            <v>MG</v>
          </cell>
        </row>
        <row r="31">
          <cell r="A31">
            <v>26</v>
          </cell>
          <cell r="B31" t="str">
            <v>maïs ensil (+ dérobé) zone 4</v>
          </cell>
          <cell r="C31">
            <v>0</v>
          </cell>
          <cell r="D31">
            <v>0</v>
          </cell>
          <cell r="E31">
            <v>14</v>
          </cell>
          <cell r="F31" t="str">
            <v>0 -pas d'utilisation comme concentrés</v>
          </cell>
          <cell r="G31"/>
          <cell r="H31" t="str">
            <v>ME</v>
          </cell>
        </row>
        <row r="32">
          <cell r="A32">
            <v>27</v>
          </cell>
          <cell r="B32" t="str">
            <v>maïs grain (+ dérobé) zone 4</v>
          </cell>
          <cell r="C32">
            <v>9</v>
          </cell>
          <cell r="D32">
            <v>0</v>
          </cell>
          <cell r="E32">
            <v>0</v>
          </cell>
          <cell r="F32" t="str">
            <v>1 -maïs-grain</v>
          </cell>
          <cell r="G32">
            <v>168</v>
          </cell>
          <cell r="H32" t="str">
            <v>MG</v>
          </cell>
        </row>
        <row r="33">
          <cell r="A33">
            <v>28</v>
          </cell>
          <cell r="B33" t="str">
            <v>landes litières fougère (F ou F/P) toutes zones</v>
          </cell>
          <cell r="C33">
            <v>0</v>
          </cell>
          <cell r="D33">
            <v>3</v>
          </cell>
          <cell r="E33">
            <v>0</v>
          </cell>
          <cell r="F33" t="str">
            <v>0 -pas d'utilisation comme concentrés</v>
          </cell>
          <cell r="G33"/>
          <cell r="H33" t="str">
            <v>FL</v>
          </cell>
        </row>
        <row r="34">
          <cell r="A34">
            <v>29</v>
          </cell>
          <cell r="B34" t="str">
            <v>triticale</v>
          </cell>
          <cell r="C34">
            <v>4.5</v>
          </cell>
          <cell r="D34">
            <v>2</v>
          </cell>
          <cell r="E34">
            <v>0</v>
          </cell>
          <cell r="F34" t="str">
            <v>2 -grain céréales à paille</v>
          </cell>
          <cell r="G34">
            <v>152</v>
          </cell>
          <cell r="H34" t="str">
            <v>CR</v>
          </cell>
        </row>
        <row r="35">
          <cell r="A35">
            <v>30</v>
          </cell>
          <cell r="B35" t="str">
            <v>maïs ensil zone 4 mauvais</v>
          </cell>
          <cell r="C35">
            <v>0</v>
          </cell>
          <cell r="D35">
            <v>0</v>
          </cell>
          <cell r="E35">
            <v>11</v>
          </cell>
          <cell r="F35" t="str">
            <v>0 -pas d'utilisation comme concentrés</v>
          </cell>
          <cell r="G35"/>
          <cell r="H35" t="str">
            <v>ME</v>
          </cell>
        </row>
        <row r="36">
          <cell r="A36">
            <v>31</v>
          </cell>
          <cell r="B36"/>
          <cell r="C36"/>
          <cell r="D36"/>
          <cell r="E36"/>
          <cell r="F36"/>
          <cell r="G36"/>
          <cell r="H36"/>
        </row>
        <row r="37">
          <cell r="A37">
            <v>32</v>
          </cell>
          <cell r="B37"/>
          <cell r="C37"/>
          <cell r="D37"/>
          <cell r="E37"/>
          <cell r="F37"/>
          <cell r="G37"/>
          <cell r="H37"/>
        </row>
        <row r="38">
          <cell r="A38">
            <v>33</v>
          </cell>
          <cell r="B38"/>
          <cell r="C38"/>
          <cell r="D38"/>
          <cell r="E38"/>
          <cell r="F38"/>
          <cell r="G38"/>
          <cell r="H38"/>
        </row>
        <row r="39">
          <cell r="A39">
            <v>34</v>
          </cell>
          <cell r="B39"/>
          <cell r="C39"/>
          <cell r="D39"/>
          <cell r="E39"/>
          <cell r="F39"/>
          <cell r="G39"/>
          <cell r="H39"/>
        </row>
        <row r="40">
          <cell r="A40">
            <v>35</v>
          </cell>
          <cell r="B40"/>
          <cell r="C40"/>
          <cell r="D40"/>
          <cell r="E40"/>
          <cell r="F40"/>
          <cell r="G40"/>
          <cell r="H40"/>
        </row>
        <row r="41">
          <cell r="A41">
            <v>36</v>
          </cell>
          <cell r="B41"/>
          <cell r="C41"/>
          <cell r="D41"/>
          <cell r="E41"/>
          <cell r="F41"/>
          <cell r="G41"/>
          <cell r="H41"/>
        </row>
        <row r="42">
          <cell r="A42">
            <v>37</v>
          </cell>
          <cell r="B42"/>
          <cell r="C42"/>
          <cell r="D42"/>
          <cell r="E42"/>
          <cell r="F42"/>
          <cell r="G42"/>
          <cell r="H42"/>
        </row>
        <row r="43">
          <cell r="A43">
            <v>38</v>
          </cell>
          <cell r="B43"/>
          <cell r="C43"/>
          <cell r="D43"/>
          <cell r="E43"/>
          <cell r="F43"/>
          <cell r="G43"/>
          <cell r="H43"/>
        </row>
        <row r="44">
          <cell r="A44">
            <v>39</v>
          </cell>
          <cell r="B44"/>
          <cell r="C44"/>
          <cell r="D44"/>
          <cell r="E44"/>
          <cell r="F44"/>
          <cell r="G44"/>
          <cell r="H44"/>
        </row>
        <row r="45">
          <cell r="A45">
            <v>40</v>
          </cell>
          <cell r="B45"/>
          <cell r="C45"/>
          <cell r="D45"/>
          <cell r="E45"/>
          <cell r="F45"/>
          <cell r="G45"/>
          <cell r="H45"/>
        </row>
        <row r="46">
          <cell r="A46">
            <v>41</v>
          </cell>
          <cell r="B46"/>
          <cell r="C46"/>
          <cell r="D46"/>
          <cell r="E46"/>
          <cell r="F46"/>
          <cell r="G46"/>
          <cell r="H46"/>
        </row>
        <row r="47">
          <cell r="A47">
            <v>42</v>
          </cell>
          <cell r="B47"/>
          <cell r="C47"/>
          <cell r="D47"/>
          <cell r="E47"/>
          <cell r="F47"/>
          <cell r="G47"/>
          <cell r="H47"/>
        </row>
        <row r="48">
          <cell r="A48">
            <v>43</v>
          </cell>
          <cell r="B48"/>
          <cell r="C48"/>
          <cell r="D48"/>
          <cell r="E48"/>
          <cell r="F48"/>
          <cell r="G48"/>
          <cell r="H48"/>
        </row>
        <row r="49">
          <cell r="A49">
            <v>44</v>
          </cell>
          <cell r="B49"/>
          <cell r="C49"/>
          <cell r="D49"/>
          <cell r="E49"/>
          <cell r="F49"/>
          <cell r="G49"/>
          <cell r="H49"/>
        </row>
        <row r="50">
          <cell r="A50">
            <v>45</v>
          </cell>
          <cell r="B50"/>
          <cell r="C50"/>
          <cell r="D50"/>
          <cell r="E50"/>
          <cell r="F50"/>
          <cell r="G50"/>
          <cell r="H50"/>
        </row>
        <row r="51">
          <cell r="A51">
            <v>46</v>
          </cell>
          <cell r="B51"/>
          <cell r="C51"/>
          <cell r="D51"/>
          <cell r="E51"/>
          <cell r="F51"/>
          <cell r="G51"/>
          <cell r="H51"/>
        </row>
        <row r="52">
          <cell r="A52">
            <v>47</v>
          </cell>
          <cell r="B52"/>
          <cell r="C52"/>
          <cell r="D52"/>
          <cell r="E52"/>
          <cell r="F52"/>
          <cell r="G52"/>
          <cell r="H52"/>
        </row>
        <row r="53">
          <cell r="A53">
            <v>48</v>
          </cell>
          <cell r="B53"/>
          <cell r="C53"/>
          <cell r="D53"/>
          <cell r="E53"/>
          <cell r="F53"/>
          <cell r="G53"/>
          <cell r="H53"/>
        </row>
        <row r="54">
          <cell r="A54">
            <v>49</v>
          </cell>
          <cell r="B54"/>
          <cell r="C54"/>
          <cell r="D54"/>
          <cell r="E54"/>
          <cell r="F54"/>
          <cell r="G54"/>
          <cell r="H54"/>
        </row>
        <row r="55">
          <cell r="A55">
            <v>50</v>
          </cell>
          <cell r="B55"/>
          <cell r="C55"/>
          <cell r="D55"/>
          <cell r="E55"/>
          <cell r="F55"/>
          <cell r="G55"/>
          <cell r="H55"/>
        </row>
        <row r="56">
          <cell r="A56">
            <v>51</v>
          </cell>
          <cell r="B56"/>
          <cell r="C56"/>
          <cell r="D56"/>
          <cell r="E56"/>
          <cell r="F56"/>
          <cell r="G56"/>
          <cell r="H56"/>
        </row>
        <row r="57">
          <cell r="A57">
            <v>52</v>
          </cell>
          <cell r="B57"/>
          <cell r="C57"/>
          <cell r="D57"/>
          <cell r="E57"/>
          <cell r="F57"/>
          <cell r="G57"/>
          <cell r="H57"/>
        </row>
        <row r="58">
          <cell r="A58">
            <v>53</v>
          </cell>
          <cell r="B58"/>
          <cell r="C58"/>
          <cell r="D58"/>
          <cell r="E58"/>
          <cell r="F58"/>
          <cell r="G58"/>
          <cell r="H58"/>
        </row>
        <row r="59">
          <cell r="A59">
            <v>54</v>
          </cell>
          <cell r="B59"/>
          <cell r="C59"/>
          <cell r="D59"/>
          <cell r="E59"/>
          <cell r="F59"/>
          <cell r="G59"/>
          <cell r="H59"/>
        </row>
        <row r="60">
          <cell r="A60">
            <v>55</v>
          </cell>
          <cell r="B60"/>
          <cell r="C60"/>
          <cell r="D60"/>
          <cell r="E60"/>
          <cell r="F60"/>
          <cell r="G60"/>
          <cell r="H60"/>
        </row>
        <row r="61">
          <cell r="A61">
            <v>56</v>
          </cell>
          <cell r="B61"/>
          <cell r="C61"/>
          <cell r="D61"/>
          <cell r="E61"/>
          <cell r="F61"/>
          <cell r="G61"/>
          <cell r="H61"/>
        </row>
      </sheetData>
      <sheetData sheetId="5">
        <row r="5">
          <cell r="C5" t="str">
            <v>1 -maïs-grain</v>
          </cell>
          <cell r="D5">
            <v>200</v>
          </cell>
        </row>
        <row r="6">
          <cell r="C6" t="str">
            <v>2 -grain céréales à paille</v>
          </cell>
          <cell r="D6">
            <v>165</v>
          </cell>
        </row>
        <row r="7">
          <cell r="C7" t="str">
            <v>3 -graines protéagineux</v>
          </cell>
          <cell r="D7">
            <v>0</v>
          </cell>
        </row>
        <row r="8">
          <cell r="C8" t="str">
            <v>4 -</v>
          </cell>
          <cell r="D8"/>
        </row>
        <row r="9">
          <cell r="C9" t="str">
            <v>5 -</v>
          </cell>
          <cell r="D9"/>
        </row>
        <row r="10">
          <cell r="C10" t="str">
            <v>6 -tourteaux soja</v>
          </cell>
          <cell r="D10">
            <v>408</v>
          </cell>
        </row>
        <row r="11">
          <cell r="C11" t="str">
            <v>7 -luzerne déshydratée</v>
          </cell>
          <cell r="D11">
            <v>0</v>
          </cell>
        </row>
        <row r="12">
          <cell r="C12" t="str">
            <v>8 -CMV bovin allaitant</v>
          </cell>
          <cell r="D12">
            <v>0</v>
          </cell>
        </row>
        <row r="13">
          <cell r="C13" t="str">
            <v>9 -croissance porcs</v>
          </cell>
          <cell r="D13">
            <v>0</v>
          </cell>
        </row>
        <row r="14">
          <cell r="C14" t="str">
            <v xml:space="preserve">10 -finition porcs </v>
          </cell>
          <cell r="D14">
            <v>0</v>
          </cell>
        </row>
        <row r="15">
          <cell r="C15" t="str">
            <v xml:space="preserve">11 -correcteur N brebis lait </v>
          </cell>
          <cell r="D15">
            <v>416</v>
          </cell>
        </row>
        <row r="16">
          <cell r="C16" t="str">
            <v>12 -méteil (tritical pois feverol maïs)</v>
          </cell>
          <cell r="D16">
            <v>165</v>
          </cell>
        </row>
        <row r="17">
          <cell r="C17" t="str">
            <v>13 -aliment complet brebis lait</v>
          </cell>
          <cell r="D17">
            <v>308</v>
          </cell>
        </row>
        <row r="18">
          <cell r="C18" t="str">
            <v xml:space="preserve">14 -concentré agnelle lait </v>
          </cell>
          <cell r="D18">
            <v>270</v>
          </cell>
        </row>
        <row r="19">
          <cell r="C19" t="str">
            <v>15 -concentré bovin allaitant</v>
          </cell>
          <cell r="D19">
            <v>285</v>
          </cell>
        </row>
        <row r="20">
          <cell r="C20" t="str">
            <v>16 -correcteur N bovin allaitant</v>
          </cell>
          <cell r="D20">
            <v>423</v>
          </cell>
        </row>
        <row r="21">
          <cell r="C21" t="str">
            <v xml:space="preserve">17 -alim veau </v>
          </cell>
          <cell r="D21">
            <v>300</v>
          </cell>
        </row>
        <row r="22">
          <cell r="C22" t="str">
            <v xml:space="preserve">18 -cmv engraissement bovin </v>
          </cell>
          <cell r="D22">
            <v>0</v>
          </cell>
        </row>
        <row r="23">
          <cell r="C23" t="str">
            <v>19 -concentré VL</v>
          </cell>
          <cell r="D23">
            <v>390</v>
          </cell>
        </row>
        <row r="24">
          <cell r="C24" t="str">
            <v>20 -</v>
          </cell>
          <cell r="D24"/>
        </row>
        <row r="25">
          <cell r="C25" t="str">
            <v>21 -</v>
          </cell>
          <cell r="D25"/>
        </row>
        <row r="26">
          <cell r="C26" t="str">
            <v>22 -</v>
          </cell>
          <cell r="D26"/>
        </row>
        <row r="27">
          <cell r="C27" t="str">
            <v>23 -</v>
          </cell>
          <cell r="D27"/>
        </row>
        <row r="28">
          <cell r="C28" t="str">
            <v>24 -</v>
          </cell>
          <cell r="D28"/>
        </row>
        <row r="29">
          <cell r="C29" t="str">
            <v>25 -</v>
          </cell>
          <cell r="D29"/>
        </row>
        <row r="30">
          <cell r="C30" t="str">
            <v>26 -</v>
          </cell>
        </row>
        <row r="31">
          <cell r="C31" t="str">
            <v>27 -</v>
          </cell>
        </row>
        <row r="32">
          <cell r="C32" t="str">
            <v>28 -</v>
          </cell>
        </row>
        <row r="33">
          <cell r="C33" t="str">
            <v>29 -</v>
          </cell>
        </row>
        <row r="34">
          <cell r="C34" t="str">
            <v>30 -</v>
          </cell>
        </row>
        <row r="35">
          <cell r="C35" t="str">
            <v>31 -</v>
          </cell>
        </row>
        <row r="36">
          <cell r="C36" t="str">
            <v>32 -</v>
          </cell>
        </row>
        <row r="37">
          <cell r="C37" t="str">
            <v>33 -</v>
          </cell>
        </row>
        <row r="38">
          <cell r="C38" t="str">
            <v>34 -</v>
          </cell>
        </row>
        <row r="39">
          <cell r="C39" t="str">
            <v>35 -</v>
          </cell>
        </row>
        <row r="40">
          <cell r="C40" t="str">
            <v>36 -</v>
          </cell>
        </row>
        <row r="41">
          <cell r="C41" t="str">
            <v>37 -</v>
          </cell>
        </row>
        <row r="42">
          <cell r="C42" t="str">
            <v>38 -</v>
          </cell>
        </row>
        <row r="43">
          <cell r="C43" t="str">
            <v>39 -</v>
          </cell>
        </row>
        <row r="44">
          <cell r="C44" t="str">
            <v>40 -</v>
          </cell>
        </row>
        <row r="45">
          <cell r="C45" t="str">
            <v>41 -</v>
          </cell>
        </row>
        <row r="46">
          <cell r="C46" t="str">
            <v>42 -</v>
          </cell>
        </row>
        <row r="47">
          <cell r="C47" t="str">
            <v>43 -</v>
          </cell>
        </row>
        <row r="48">
          <cell r="C48" t="str">
            <v>44 -</v>
          </cell>
        </row>
        <row r="49">
          <cell r="C49" t="str">
            <v>45 -</v>
          </cell>
        </row>
        <row r="50">
          <cell r="C50" t="str">
            <v>46 -</v>
          </cell>
        </row>
        <row r="51">
          <cell r="C51" t="str">
            <v>47 -</v>
          </cell>
        </row>
      </sheetData>
      <sheetData sheetId="6">
        <row r="11">
          <cell r="C11" t="str">
            <v>compteur</v>
          </cell>
          <cell r="D11">
            <v>110</v>
          </cell>
          <cell r="E11">
            <v>111</v>
          </cell>
          <cell r="F11">
            <v>112</v>
          </cell>
          <cell r="G11">
            <v>114</v>
          </cell>
          <cell r="H11">
            <v>121</v>
          </cell>
          <cell r="I11">
            <v>122</v>
          </cell>
          <cell r="J11">
            <v>124</v>
          </cell>
          <cell r="K11">
            <v>211</v>
          </cell>
          <cell r="L11">
            <v>212</v>
          </cell>
          <cell r="M11">
            <v>214</v>
          </cell>
          <cell r="N11">
            <v>221</v>
          </cell>
          <cell r="O11">
            <v>222</v>
          </cell>
        </row>
        <row r="12">
          <cell r="B12">
            <v>11</v>
          </cell>
          <cell r="C12">
            <v>2</v>
          </cell>
          <cell r="D12">
            <v>0</v>
          </cell>
          <cell r="E12">
            <v>5.25</v>
          </cell>
          <cell r="F12">
            <v>7</v>
          </cell>
          <cell r="G12"/>
          <cell r="H12">
            <v>14</v>
          </cell>
          <cell r="I12">
            <v>21</v>
          </cell>
          <cell r="J12"/>
          <cell r="K12">
            <v>21</v>
          </cell>
          <cell r="L12">
            <v>28</v>
          </cell>
          <cell r="M12"/>
          <cell r="N12">
            <v>14</v>
          </cell>
          <cell r="O12">
            <v>21</v>
          </cell>
        </row>
        <row r="13">
          <cell r="B13">
            <v>12</v>
          </cell>
          <cell r="C13">
            <v>3</v>
          </cell>
          <cell r="D13">
            <v>0</v>
          </cell>
          <cell r="E13">
            <v>3.5</v>
          </cell>
          <cell r="F13">
            <v>5.25</v>
          </cell>
          <cell r="G13"/>
          <cell r="H13">
            <v>10.5</v>
          </cell>
          <cell r="I13">
            <v>14</v>
          </cell>
          <cell r="J13"/>
          <cell r="K13">
            <v>3.5</v>
          </cell>
          <cell r="L13">
            <v>5.25</v>
          </cell>
          <cell r="M13"/>
          <cell r="N13">
            <v>10.5</v>
          </cell>
          <cell r="O13">
            <v>14</v>
          </cell>
        </row>
        <row r="14">
          <cell r="B14">
            <v>13</v>
          </cell>
          <cell r="C14">
            <v>4</v>
          </cell>
          <cell r="D14">
            <v>0</v>
          </cell>
          <cell r="E14">
            <v>5.25</v>
          </cell>
          <cell r="F14">
            <v>7</v>
          </cell>
          <cell r="G14"/>
          <cell r="H14">
            <v>7</v>
          </cell>
          <cell r="I14">
            <v>10.5</v>
          </cell>
          <cell r="J14"/>
          <cell r="K14">
            <v>14</v>
          </cell>
          <cell r="L14">
            <v>21</v>
          </cell>
          <cell r="M14"/>
          <cell r="N14">
            <v>7</v>
          </cell>
          <cell r="O14">
            <v>10.5</v>
          </cell>
        </row>
        <row r="15">
          <cell r="B15">
            <v>14</v>
          </cell>
          <cell r="C15">
            <v>5</v>
          </cell>
          <cell r="D15">
            <v>0</v>
          </cell>
          <cell r="E15">
            <v>5.25</v>
          </cell>
          <cell r="F15">
            <v>7</v>
          </cell>
          <cell r="G15"/>
          <cell r="H15">
            <v>7</v>
          </cell>
          <cell r="I15">
            <v>10.5</v>
          </cell>
          <cell r="J15"/>
          <cell r="K15">
            <v>14</v>
          </cell>
          <cell r="L15">
            <v>21</v>
          </cell>
          <cell r="M15"/>
          <cell r="N15">
            <v>7</v>
          </cell>
          <cell r="O15">
            <v>10.5</v>
          </cell>
        </row>
        <row r="16">
          <cell r="B16">
            <v>21</v>
          </cell>
          <cell r="C16">
            <v>6</v>
          </cell>
          <cell r="D16">
            <v>0</v>
          </cell>
          <cell r="E16">
            <v>5.25</v>
          </cell>
          <cell r="F16">
            <v>7</v>
          </cell>
          <cell r="G16"/>
          <cell r="H16">
            <v>14</v>
          </cell>
          <cell r="I16">
            <v>21</v>
          </cell>
          <cell r="J16"/>
          <cell r="K16">
            <v>21</v>
          </cell>
          <cell r="L16">
            <v>28</v>
          </cell>
          <cell r="M16"/>
          <cell r="N16">
            <v>14</v>
          </cell>
          <cell r="O16">
            <v>21</v>
          </cell>
        </row>
        <row r="17">
          <cell r="B17">
            <v>22</v>
          </cell>
          <cell r="C17">
            <v>7</v>
          </cell>
          <cell r="D17">
            <v>0</v>
          </cell>
          <cell r="E17">
            <v>3.5</v>
          </cell>
          <cell r="F17">
            <v>5.25</v>
          </cell>
          <cell r="G17"/>
          <cell r="H17">
            <v>10.5</v>
          </cell>
          <cell r="I17">
            <v>14</v>
          </cell>
          <cell r="J17"/>
          <cell r="K17">
            <v>3.5</v>
          </cell>
          <cell r="L17">
            <v>5.25</v>
          </cell>
          <cell r="M17"/>
          <cell r="N17">
            <v>10.5</v>
          </cell>
          <cell r="O17">
            <v>14</v>
          </cell>
        </row>
        <row r="18">
          <cell r="B18">
            <v>23</v>
          </cell>
          <cell r="C18">
            <v>8</v>
          </cell>
          <cell r="D18">
            <v>0</v>
          </cell>
          <cell r="E18">
            <v>5.25</v>
          </cell>
          <cell r="F18">
            <v>7</v>
          </cell>
          <cell r="G18"/>
          <cell r="H18">
            <v>7</v>
          </cell>
          <cell r="I18">
            <v>10.5</v>
          </cell>
          <cell r="J18"/>
          <cell r="K18">
            <v>14</v>
          </cell>
          <cell r="L18">
            <v>21</v>
          </cell>
          <cell r="M18"/>
          <cell r="N18">
            <v>7</v>
          </cell>
          <cell r="O18">
            <v>10.5</v>
          </cell>
        </row>
        <row r="19">
          <cell r="B19">
            <v>24</v>
          </cell>
          <cell r="C19">
            <v>9</v>
          </cell>
          <cell r="D19">
            <v>0</v>
          </cell>
          <cell r="E19">
            <v>5.25</v>
          </cell>
          <cell r="F19">
            <v>7</v>
          </cell>
          <cell r="G19"/>
          <cell r="H19">
            <v>7</v>
          </cell>
          <cell r="I19">
            <v>10.5</v>
          </cell>
          <cell r="J19"/>
          <cell r="K19">
            <v>14</v>
          </cell>
          <cell r="L19">
            <v>21</v>
          </cell>
          <cell r="M19"/>
          <cell r="N19">
            <v>7</v>
          </cell>
          <cell r="O19">
            <v>10.5</v>
          </cell>
        </row>
        <row r="20">
          <cell r="B20">
            <v>31</v>
          </cell>
          <cell r="C20">
            <v>10</v>
          </cell>
          <cell r="D20">
            <v>0</v>
          </cell>
          <cell r="E20">
            <v>5.25</v>
          </cell>
          <cell r="F20">
            <v>7</v>
          </cell>
          <cell r="G20"/>
          <cell r="H20">
            <v>14</v>
          </cell>
          <cell r="I20">
            <v>21</v>
          </cell>
          <cell r="J20"/>
          <cell r="K20">
            <v>21</v>
          </cell>
          <cell r="L20">
            <v>28</v>
          </cell>
          <cell r="M20"/>
          <cell r="N20">
            <v>14</v>
          </cell>
          <cell r="O20">
            <v>21</v>
          </cell>
        </row>
        <row r="21">
          <cell r="B21">
            <v>32</v>
          </cell>
          <cell r="C21">
            <v>11</v>
          </cell>
          <cell r="D21">
            <v>0</v>
          </cell>
          <cell r="E21">
            <v>3.5</v>
          </cell>
          <cell r="F21">
            <v>5.25</v>
          </cell>
          <cell r="G21"/>
          <cell r="H21">
            <v>10.5</v>
          </cell>
          <cell r="I21">
            <v>14</v>
          </cell>
          <cell r="J21"/>
          <cell r="K21">
            <v>3.5</v>
          </cell>
          <cell r="L21">
            <v>5.25</v>
          </cell>
          <cell r="M21"/>
          <cell r="N21">
            <v>10.5</v>
          </cell>
          <cell r="O21">
            <v>14</v>
          </cell>
        </row>
        <row r="22">
          <cell r="B22">
            <v>33</v>
          </cell>
          <cell r="C22">
            <v>12</v>
          </cell>
          <cell r="D22">
            <v>0</v>
          </cell>
          <cell r="E22">
            <v>5.25</v>
          </cell>
          <cell r="F22">
            <v>7</v>
          </cell>
          <cell r="G22"/>
          <cell r="H22">
            <v>7</v>
          </cell>
          <cell r="I22">
            <v>10.5</v>
          </cell>
          <cell r="J22"/>
          <cell r="K22">
            <v>14</v>
          </cell>
          <cell r="L22">
            <v>21</v>
          </cell>
          <cell r="M22"/>
          <cell r="N22">
            <v>7</v>
          </cell>
          <cell r="O22">
            <v>10.5</v>
          </cell>
        </row>
        <row r="23">
          <cell r="B23">
            <v>34</v>
          </cell>
          <cell r="C23">
            <v>13</v>
          </cell>
          <cell r="D23">
            <v>0</v>
          </cell>
          <cell r="E23">
            <v>5.25</v>
          </cell>
          <cell r="F23">
            <v>7</v>
          </cell>
          <cell r="G23"/>
          <cell r="H23">
            <v>7</v>
          </cell>
          <cell r="I23">
            <v>10.5</v>
          </cell>
          <cell r="J23"/>
          <cell r="K23">
            <v>14</v>
          </cell>
          <cell r="L23">
            <v>21</v>
          </cell>
          <cell r="M23"/>
          <cell r="N23">
            <v>7</v>
          </cell>
          <cell r="O23">
            <v>10.5</v>
          </cell>
        </row>
        <row r="24">
          <cell r="B24">
            <v>41</v>
          </cell>
          <cell r="C24">
            <v>14</v>
          </cell>
          <cell r="D24">
            <v>0</v>
          </cell>
          <cell r="E24">
            <v>5.25</v>
          </cell>
          <cell r="F24">
            <v>7</v>
          </cell>
          <cell r="G24"/>
          <cell r="H24">
            <v>14</v>
          </cell>
          <cell r="I24">
            <v>21</v>
          </cell>
          <cell r="J24"/>
          <cell r="K24">
            <v>21</v>
          </cell>
          <cell r="L24">
            <v>28</v>
          </cell>
          <cell r="M24"/>
          <cell r="N24">
            <v>14</v>
          </cell>
          <cell r="O24">
            <v>21</v>
          </cell>
        </row>
        <row r="25">
          <cell r="B25">
            <v>42</v>
          </cell>
          <cell r="C25">
            <v>15</v>
          </cell>
          <cell r="D25">
            <v>0</v>
          </cell>
          <cell r="E25">
            <v>3.5</v>
          </cell>
          <cell r="F25">
            <v>5.25</v>
          </cell>
          <cell r="G25"/>
          <cell r="H25">
            <v>10.5</v>
          </cell>
          <cell r="I25">
            <v>14</v>
          </cell>
          <cell r="J25"/>
          <cell r="K25">
            <v>3.5</v>
          </cell>
          <cell r="L25">
            <v>5.25</v>
          </cell>
          <cell r="M25"/>
          <cell r="N25">
            <v>10.5</v>
          </cell>
          <cell r="O25">
            <v>14</v>
          </cell>
        </row>
        <row r="26">
          <cell r="B26">
            <v>43</v>
          </cell>
          <cell r="C26">
            <v>16</v>
          </cell>
          <cell r="D26">
            <v>0</v>
          </cell>
          <cell r="E26">
            <v>5.25</v>
          </cell>
          <cell r="F26">
            <v>7</v>
          </cell>
          <cell r="G26"/>
          <cell r="H26">
            <v>7</v>
          </cell>
          <cell r="I26">
            <v>10.5</v>
          </cell>
          <cell r="J26"/>
          <cell r="K26">
            <v>14</v>
          </cell>
          <cell r="L26">
            <v>21</v>
          </cell>
          <cell r="M26"/>
          <cell r="N26">
            <v>7</v>
          </cell>
          <cell r="O26">
            <v>10.5</v>
          </cell>
        </row>
        <row r="27">
          <cell r="B27">
            <v>44</v>
          </cell>
          <cell r="C27">
            <v>17</v>
          </cell>
          <cell r="D27">
            <v>0</v>
          </cell>
          <cell r="E27">
            <v>5.25</v>
          </cell>
          <cell r="F27">
            <v>7</v>
          </cell>
          <cell r="G27"/>
          <cell r="H27">
            <v>7</v>
          </cell>
          <cell r="I27">
            <v>10.5</v>
          </cell>
          <cell r="J27"/>
          <cell r="K27">
            <v>14</v>
          </cell>
          <cell r="L27">
            <v>21</v>
          </cell>
          <cell r="M27"/>
          <cell r="N27">
            <v>7</v>
          </cell>
          <cell r="O27">
            <v>10.5</v>
          </cell>
        </row>
        <row r="28">
          <cell r="B28">
            <v>51</v>
          </cell>
          <cell r="C28">
            <v>18</v>
          </cell>
          <cell r="D28">
            <v>0</v>
          </cell>
          <cell r="E28">
            <v>5.25</v>
          </cell>
          <cell r="F28">
            <v>7</v>
          </cell>
          <cell r="G28"/>
          <cell r="H28">
            <v>14</v>
          </cell>
          <cell r="I28">
            <v>21</v>
          </cell>
          <cell r="J28"/>
          <cell r="K28">
            <v>21</v>
          </cell>
          <cell r="L28">
            <v>28</v>
          </cell>
          <cell r="M28"/>
          <cell r="N28">
            <v>14</v>
          </cell>
          <cell r="O28">
            <v>21</v>
          </cell>
        </row>
        <row r="29">
          <cell r="B29">
            <v>52</v>
          </cell>
          <cell r="C29">
            <v>19</v>
          </cell>
          <cell r="D29">
            <v>0</v>
          </cell>
          <cell r="E29">
            <v>3.5</v>
          </cell>
          <cell r="F29">
            <v>5.25</v>
          </cell>
          <cell r="G29"/>
          <cell r="H29">
            <v>10.5</v>
          </cell>
          <cell r="I29">
            <v>14</v>
          </cell>
          <cell r="J29"/>
          <cell r="K29">
            <v>3.5</v>
          </cell>
          <cell r="L29">
            <v>5.25</v>
          </cell>
          <cell r="M29"/>
          <cell r="N29">
            <v>10.5</v>
          </cell>
          <cell r="O29">
            <v>14</v>
          </cell>
        </row>
        <row r="30">
          <cell r="B30">
            <v>53</v>
          </cell>
          <cell r="C30">
            <v>20</v>
          </cell>
          <cell r="D30">
            <v>0</v>
          </cell>
          <cell r="E30">
            <v>5.25</v>
          </cell>
          <cell r="F30">
            <v>7</v>
          </cell>
          <cell r="G30"/>
          <cell r="H30">
            <v>7</v>
          </cell>
          <cell r="I30">
            <v>10.5</v>
          </cell>
          <cell r="J30"/>
          <cell r="K30">
            <v>14</v>
          </cell>
          <cell r="L30">
            <v>21</v>
          </cell>
          <cell r="M30"/>
          <cell r="N30">
            <v>7</v>
          </cell>
          <cell r="O30">
            <v>10.5</v>
          </cell>
        </row>
        <row r="31">
          <cell r="B31">
            <v>54</v>
          </cell>
          <cell r="C31">
            <v>21</v>
          </cell>
          <cell r="D31">
            <v>0</v>
          </cell>
          <cell r="E31">
            <v>5.25</v>
          </cell>
          <cell r="F31">
            <v>7</v>
          </cell>
          <cell r="G31"/>
          <cell r="H31">
            <v>7</v>
          </cell>
          <cell r="I31">
            <v>10.5</v>
          </cell>
          <cell r="J31"/>
          <cell r="K31">
            <v>14</v>
          </cell>
          <cell r="L31">
            <v>21</v>
          </cell>
          <cell r="M31"/>
          <cell r="N31">
            <v>7</v>
          </cell>
          <cell r="O31">
            <v>10.5</v>
          </cell>
        </row>
        <row r="39">
          <cell r="D39">
            <v>12</v>
          </cell>
          <cell r="E39">
            <v>13</v>
          </cell>
          <cell r="F39">
            <v>22</v>
          </cell>
          <cell r="G39">
            <v>23</v>
          </cell>
        </row>
        <row r="40">
          <cell r="C40">
            <v>2</v>
          </cell>
          <cell r="D40">
            <v>21</v>
          </cell>
          <cell r="E40">
            <v>42</v>
          </cell>
          <cell r="F40">
            <v>21</v>
          </cell>
          <cell r="G40">
            <v>42</v>
          </cell>
        </row>
        <row r="41">
          <cell r="C41">
            <v>3</v>
          </cell>
          <cell r="D41">
            <v>21</v>
          </cell>
          <cell r="E41">
            <v>42</v>
          </cell>
          <cell r="F41">
            <v>21</v>
          </cell>
          <cell r="G41">
            <v>42</v>
          </cell>
        </row>
        <row r="42">
          <cell r="C42">
            <v>4</v>
          </cell>
          <cell r="D42">
            <v>21</v>
          </cell>
          <cell r="E42">
            <v>42</v>
          </cell>
          <cell r="F42">
            <v>21</v>
          </cell>
          <cell r="G42">
            <v>42</v>
          </cell>
        </row>
        <row r="43">
          <cell r="C43">
            <v>5</v>
          </cell>
          <cell r="D43"/>
          <cell r="E43"/>
          <cell r="F43"/>
          <cell r="G43"/>
        </row>
        <row r="44">
          <cell r="C44">
            <v>6</v>
          </cell>
          <cell r="D44">
            <v>21</v>
          </cell>
          <cell r="E44">
            <v>42</v>
          </cell>
          <cell r="F44">
            <v>21</v>
          </cell>
          <cell r="G44">
            <v>42</v>
          </cell>
        </row>
        <row r="45">
          <cell r="C45">
            <v>7</v>
          </cell>
          <cell r="D45">
            <v>21</v>
          </cell>
          <cell r="E45">
            <v>42</v>
          </cell>
          <cell r="F45">
            <v>21</v>
          </cell>
          <cell r="G45">
            <v>42</v>
          </cell>
        </row>
        <row r="46">
          <cell r="C46">
            <v>8</v>
          </cell>
          <cell r="D46">
            <v>21</v>
          </cell>
          <cell r="E46">
            <v>42</v>
          </cell>
          <cell r="F46">
            <v>21</v>
          </cell>
          <cell r="G46">
            <v>42</v>
          </cell>
        </row>
        <row r="47">
          <cell r="C47">
            <v>9</v>
          </cell>
          <cell r="D47"/>
          <cell r="E47"/>
          <cell r="F47"/>
          <cell r="G47"/>
        </row>
        <row r="48">
          <cell r="C48">
            <v>10</v>
          </cell>
          <cell r="D48">
            <v>21</v>
          </cell>
          <cell r="E48">
            <v>42</v>
          </cell>
          <cell r="F48">
            <v>21</v>
          </cell>
          <cell r="G48">
            <v>42</v>
          </cell>
        </row>
        <row r="49">
          <cell r="C49">
            <v>11</v>
          </cell>
          <cell r="D49">
            <v>21</v>
          </cell>
          <cell r="E49">
            <v>42</v>
          </cell>
          <cell r="F49">
            <v>21</v>
          </cell>
          <cell r="G49">
            <v>42</v>
          </cell>
        </row>
        <row r="50">
          <cell r="C50">
            <v>12</v>
          </cell>
          <cell r="D50">
            <v>21</v>
          </cell>
          <cell r="E50">
            <v>42</v>
          </cell>
          <cell r="F50">
            <v>21</v>
          </cell>
          <cell r="G50">
            <v>42</v>
          </cell>
        </row>
        <row r="51">
          <cell r="C51">
            <v>13</v>
          </cell>
          <cell r="D51"/>
          <cell r="E51"/>
          <cell r="F51"/>
          <cell r="G51"/>
        </row>
        <row r="52">
          <cell r="C52">
            <v>14</v>
          </cell>
          <cell r="D52">
            <v>21</v>
          </cell>
          <cell r="E52">
            <v>42</v>
          </cell>
          <cell r="F52">
            <v>21</v>
          </cell>
          <cell r="G52">
            <v>42</v>
          </cell>
        </row>
        <row r="53">
          <cell r="C53">
            <v>15</v>
          </cell>
          <cell r="D53">
            <v>21</v>
          </cell>
          <cell r="E53">
            <v>42</v>
          </cell>
          <cell r="F53">
            <v>21</v>
          </cell>
          <cell r="G53">
            <v>42</v>
          </cell>
        </row>
        <row r="54">
          <cell r="C54">
            <v>16</v>
          </cell>
          <cell r="D54">
            <v>21</v>
          </cell>
          <cell r="E54">
            <v>42</v>
          </cell>
          <cell r="F54">
            <v>21</v>
          </cell>
          <cell r="G54">
            <v>42</v>
          </cell>
        </row>
        <row r="55">
          <cell r="C55">
            <v>17</v>
          </cell>
          <cell r="D55"/>
          <cell r="E55"/>
          <cell r="F55"/>
          <cell r="G55"/>
        </row>
        <row r="56">
          <cell r="C56">
            <v>18</v>
          </cell>
          <cell r="D56">
            <v>21</v>
          </cell>
          <cell r="E56">
            <v>42</v>
          </cell>
          <cell r="F56">
            <v>21</v>
          </cell>
          <cell r="G56">
            <v>42</v>
          </cell>
        </row>
        <row r="57">
          <cell r="C57">
            <v>19</v>
          </cell>
          <cell r="D57">
            <v>21</v>
          </cell>
          <cell r="E57">
            <v>42</v>
          </cell>
          <cell r="F57">
            <v>21</v>
          </cell>
          <cell r="G57">
            <v>42</v>
          </cell>
        </row>
        <row r="58">
          <cell r="C58">
            <v>20</v>
          </cell>
          <cell r="D58">
            <v>21</v>
          </cell>
          <cell r="E58">
            <v>42</v>
          </cell>
          <cell r="F58">
            <v>21</v>
          </cell>
          <cell r="G58">
            <v>42</v>
          </cell>
        </row>
        <row r="59">
          <cell r="C59">
            <v>21</v>
          </cell>
          <cell r="D59"/>
          <cell r="E59"/>
          <cell r="F59"/>
          <cell r="G59"/>
        </row>
        <row r="62">
          <cell r="D62">
            <v>12</v>
          </cell>
          <cell r="E62">
            <v>13</v>
          </cell>
          <cell r="F62">
            <v>22</v>
          </cell>
          <cell r="G62">
            <v>23</v>
          </cell>
        </row>
        <row r="63">
          <cell r="C63">
            <v>2</v>
          </cell>
          <cell r="D63">
            <v>1.75</v>
          </cell>
          <cell r="E63">
            <v>1.75</v>
          </cell>
          <cell r="F63">
            <v>1.75</v>
          </cell>
          <cell r="G63">
            <v>1.75</v>
          </cell>
        </row>
        <row r="64">
          <cell r="C64">
            <v>3</v>
          </cell>
          <cell r="D64">
            <v>2.3380000000000001</v>
          </cell>
          <cell r="E64">
            <v>2.3380000000000001</v>
          </cell>
          <cell r="F64">
            <v>2.3380000000000001</v>
          </cell>
          <cell r="G64">
            <v>2.3380000000000001</v>
          </cell>
        </row>
        <row r="65">
          <cell r="C65">
            <v>4</v>
          </cell>
          <cell r="D65">
            <v>2.3380000000000001</v>
          </cell>
          <cell r="E65">
            <v>2.3380000000000001</v>
          </cell>
          <cell r="F65">
            <v>2.3380000000000001</v>
          </cell>
          <cell r="G65">
            <v>2.3380000000000001</v>
          </cell>
        </row>
        <row r="66">
          <cell r="C66">
            <v>5</v>
          </cell>
          <cell r="D66"/>
          <cell r="E66"/>
          <cell r="F66"/>
          <cell r="G66"/>
        </row>
        <row r="67">
          <cell r="C67">
            <v>6</v>
          </cell>
          <cell r="D67">
            <v>1.75</v>
          </cell>
          <cell r="E67">
            <v>1.75</v>
          </cell>
          <cell r="F67">
            <v>1.75</v>
          </cell>
          <cell r="G67">
            <v>1.75</v>
          </cell>
        </row>
        <row r="68">
          <cell r="C68">
            <v>7</v>
          </cell>
          <cell r="D68">
            <v>2.3380000000000001</v>
          </cell>
          <cell r="E68">
            <v>2.3380000000000001</v>
          </cell>
          <cell r="F68">
            <v>2.3380000000000001</v>
          </cell>
          <cell r="G68">
            <v>2.3380000000000001</v>
          </cell>
        </row>
        <row r="69">
          <cell r="C69">
            <v>8</v>
          </cell>
          <cell r="D69">
            <v>2.3380000000000001</v>
          </cell>
          <cell r="E69">
            <v>2.3380000000000001</v>
          </cell>
          <cell r="F69">
            <v>2.3380000000000001</v>
          </cell>
          <cell r="G69">
            <v>2.3380000000000001</v>
          </cell>
        </row>
        <row r="70">
          <cell r="C70">
            <v>9</v>
          </cell>
          <cell r="D70"/>
          <cell r="E70"/>
          <cell r="F70"/>
          <cell r="G70"/>
        </row>
        <row r="71">
          <cell r="C71">
            <v>10</v>
          </cell>
          <cell r="D71">
            <v>1.75</v>
          </cell>
          <cell r="E71">
            <v>1.75</v>
          </cell>
          <cell r="F71">
            <v>1.75</v>
          </cell>
          <cell r="G71">
            <v>1.75</v>
          </cell>
        </row>
        <row r="72">
          <cell r="C72">
            <v>11</v>
          </cell>
          <cell r="D72">
            <v>2.3380000000000001</v>
          </cell>
          <cell r="E72">
            <v>2.3380000000000001</v>
          </cell>
          <cell r="F72">
            <v>2.3380000000000001</v>
          </cell>
          <cell r="G72">
            <v>2.3380000000000001</v>
          </cell>
        </row>
        <row r="73">
          <cell r="C73">
            <v>12</v>
          </cell>
          <cell r="D73">
            <v>2.3380000000000001</v>
          </cell>
          <cell r="E73">
            <v>2.3380000000000001</v>
          </cell>
          <cell r="F73">
            <v>2.3380000000000001</v>
          </cell>
          <cell r="G73">
            <v>2.3380000000000001</v>
          </cell>
        </row>
        <row r="74">
          <cell r="C74">
            <v>13</v>
          </cell>
          <cell r="D74"/>
          <cell r="E74"/>
          <cell r="F74"/>
          <cell r="G74"/>
        </row>
        <row r="75">
          <cell r="C75">
            <v>14</v>
          </cell>
          <cell r="D75">
            <v>1.75</v>
          </cell>
          <cell r="E75">
            <v>1.75</v>
          </cell>
          <cell r="F75">
            <v>1.75</v>
          </cell>
          <cell r="G75">
            <v>1.75</v>
          </cell>
        </row>
        <row r="76">
          <cell r="C76">
            <v>15</v>
          </cell>
          <cell r="D76">
            <v>2.3380000000000001</v>
          </cell>
          <cell r="E76">
            <v>2.3380000000000001</v>
          </cell>
          <cell r="F76">
            <v>2.3380000000000001</v>
          </cell>
          <cell r="G76">
            <v>2.3380000000000001</v>
          </cell>
        </row>
        <row r="77">
          <cell r="C77">
            <v>16</v>
          </cell>
          <cell r="D77">
            <v>2.3380000000000001</v>
          </cell>
          <cell r="E77">
            <v>2.3380000000000001</v>
          </cell>
          <cell r="F77">
            <v>2.3380000000000001</v>
          </cell>
          <cell r="G77">
            <v>2.3380000000000001</v>
          </cell>
        </row>
        <row r="78">
          <cell r="C78">
            <v>17</v>
          </cell>
          <cell r="D78"/>
          <cell r="E78"/>
          <cell r="F78"/>
          <cell r="G78"/>
        </row>
        <row r="79">
          <cell r="C79">
            <v>18</v>
          </cell>
          <cell r="D79">
            <v>1.75</v>
          </cell>
          <cell r="E79">
            <v>1.75</v>
          </cell>
          <cell r="F79">
            <v>1.75</v>
          </cell>
          <cell r="G79">
            <v>1.75</v>
          </cell>
        </row>
        <row r="80">
          <cell r="C80">
            <v>19</v>
          </cell>
          <cell r="D80">
            <v>2.3380000000000001</v>
          </cell>
          <cell r="E80">
            <v>2.3380000000000001</v>
          </cell>
          <cell r="F80">
            <v>2.3380000000000001</v>
          </cell>
          <cell r="G80">
            <v>2.3380000000000001</v>
          </cell>
        </row>
        <row r="81">
          <cell r="C81">
            <v>20</v>
          </cell>
          <cell r="D81">
            <v>2.3380000000000001</v>
          </cell>
          <cell r="E81">
            <v>2.3380000000000001</v>
          </cell>
          <cell r="F81">
            <v>2.3380000000000001</v>
          </cell>
          <cell r="G81">
            <v>2.3380000000000001</v>
          </cell>
        </row>
        <row r="82">
          <cell r="C82">
            <v>21</v>
          </cell>
          <cell r="D82"/>
          <cell r="E82"/>
          <cell r="F82"/>
          <cell r="G82"/>
        </row>
        <row r="86">
          <cell r="A86">
            <v>1</v>
          </cell>
          <cell r="B86" t="str">
            <v>1. 1 visite par semaine</v>
          </cell>
          <cell r="D86">
            <v>12</v>
          </cell>
        </row>
        <row r="87">
          <cell r="A87">
            <v>2</v>
          </cell>
          <cell r="B87" t="str">
            <v>2. 2-3 visites par semaine</v>
          </cell>
          <cell r="D87">
            <v>20</v>
          </cell>
        </row>
        <row r="88">
          <cell r="A88">
            <v>3</v>
          </cell>
          <cell r="B88" t="str">
            <v>3. 7 visites par semaine</v>
          </cell>
          <cell r="D88">
            <v>42</v>
          </cell>
        </row>
        <row r="89">
          <cell r="A89">
            <v>4</v>
          </cell>
          <cell r="B89" t="str">
            <v>4. présence 1 humain</v>
          </cell>
          <cell r="D89">
            <v>112</v>
          </cell>
        </row>
        <row r="90">
          <cell r="A90">
            <v>5</v>
          </cell>
          <cell r="B90" t="str">
            <v>5. présence 2 humains</v>
          </cell>
          <cell r="D90">
            <v>224</v>
          </cell>
        </row>
        <row r="92">
          <cell r="D92">
            <v>12</v>
          </cell>
        </row>
        <row r="96">
          <cell r="A96" t="str">
            <v>BL</v>
          </cell>
          <cell r="B96">
            <v>360</v>
          </cell>
        </row>
        <row r="97">
          <cell r="A97" t="str">
            <v>BV</v>
          </cell>
          <cell r="B97">
            <v>360</v>
          </cell>
        </row>
        <row r="98">
          <cell r="A98" t="str">
            <v>EQ</v>
          </cell>
          <cell r="B98">
            <v>0</v>
          </cell>
        </row>
        <row r="99">
          <cell r="A99" t="str">
            <v>OL</v>
          </cell>
          <cell r="B99">
            <v>110</v>
          </cell>
        </row>
        <row r="102">
          <cell r="F102">
            <v>912.5</v>
          </cell>
        </row>
        <row r="103">
          <cell r="B103">
            <v>2.4900000000000002</v>
          </cell>
          <cell r="F103">
            <v>220</v>
          </cell>
        </row>
        <row r="108">
          <cell r="A108" t="str">
            <v>BL</v>
          </cell>
          <cell r="B108">
            <v>0</v>
          </cell>
        </row>
        <row r="109">
          <cell r="A109" t="str">
            <v>OL</v>
          </cell>
          <cell r="B109">
            <v>2.2799999999999998</v>
          </cell>
        </row>
        <row r="116">
          <cell r="B116">
            <v>11</v>
          </cell>
          <cell r="C116">
            <v>7.6</v>
          </cell>
          <cell r="E116">
            <v>50</v>
          </cell>
        </row>
        <row r="117">
          <cell r="B117">
            <v>15.7</v>
          </cell>
          <cell r="C117">
            <v>11.4</v>
          </cell>
          <cell r="E117">
            <v>50</v>
          </cell>
        </row>
        <row r="118">
          <cell r="B118">
            <v>3.7</v>
          </cell>
          <cell r="C118">
            <v>2.9</v>
          </cell>
          <cell r="E118">
            <v>50</v>
          </cell>
        </row>
        <row r="119">
          <cell r="B119">
            <v>1.4</v>
          </cell>
          <cell r="C119">
            <v>1</v>
          </cell>
          <cell r="E119">
            <v>50</v>
          </cell>
        </row>
        <row r="121">
          <cell r="B121">
            <v>7.2</v>
          </cell>
          <cell r="C121">
            <v>4.5</v>
          </cell>
          <cell r="E121">
            <v>50</v>
          </cell>
        </row>
        <row r="122">
          <cell r="B122">
            <v>4.4000000000000004</v>
          </cell>
          <cell r="C122">
            <v>2.4</v>
          </cell>
          <cell r="E122">
            <v>50</v>
          </cell>
        </row>
        <row r="123">
          <cell r="B123">
            <v>7.2</v>
          </cell>
        </row>
        <row r="124">
          <cell r="B124">
            <v>4</v>
          </cell>
        </row>
        <row r="126">
          <cell r="B126">
            <v>15</v>
          </cell>
        </row>
        <row r="127">
          <cell r="B127">
            <v>15</v>
          </cell>
        </row>
        <row r="129">
          <cell r="A129" t="str">
            <v>BL</v>
          </cell>
          <cell r="B129">
            <v>25</v>
          </cell>
        </row>
        <row r="130">
          <cell r="A130" t="str">
            <v>BV</v>
          </cell>
          <cell r="B130">
            <v>20</v>
          </cell>
        </row>
        <row r="131">
          <cell r="A131" t="str">
            <v>EQ</v>
          </cell>
          <cell r="B131">
            <v>10</v>
          </cell>
        </row>
        <row r="132">
          <cell r="A132" t="str">
            <v>OL</v>
          </cell>
          <cell r="B132">
            <v>25</v>
          </cell>
        </row>
      </sheetData>
      <sheetData sheetId="7">
        <row r="4">
          <cell r="F4">
            <v>166</v>
          </cell>
        </row>
        <row r="5">
          <cell r="F5">
            <v>121</v>
          </cell>
        </row>
        <row r="6">
          <cell r="F6">
            <v>62</v>
          </cell>
        </row>
        <row r="9">
          <cell r="F9">
            <v>24.3</v>
          </cell>
        </row>
        <row r="10">
          <cell r="F10">
            <v>22.3</v>
          </cell>
        </row>
        <row r="11">
          <cell r="B11">
            <v>15</v>
          </cell>
        </row>
        <row r="14">
          <cell r="B14">
            <v>77</v>
          </cell>
        </row>
        <row r="15">
          <cell r="B15">
            <v>38</v>
          </cell>
        </row>
        <row r="17">
          <cell r="B17">
            <v>141</v>
          </cell>
        </row>
        <row r="18">
          <cell r="B18">
            <v>35</v>
          </cell>
        </row>
        <row r="20">
          <cell r="B20">
            <v>100</v>
          </cell>
        </row>
        <row r="21">
          <cell r="B21">
            <v>100</v>
          </cell>
        </row>
        <row r="22">
          <cell r="B22">
            <v>60</v>
          </cell>
        </row>
        <row r="24">
          <cell r="B24">
            <v>97</v>
          </cell>
        </row>
        <row r="25">
          <cell r="B25">
            <v>0.47</v>
          </cell>
        </row>
        <row r="29">
          <cell r="B29">
            <v>67</v>
          </cell>
        </row>
        <row r="31">
          <cell r="B31">
            <v>49</v>
          </cell>
        </row>
        <row r="34">
          <cell r="B34">
            <v>70</v>
          </cell>
        </row>
        <row r="36">
          <cell r="A36" t="str">
            <v>DS</v>
          </cell>
          <cell r="B36">
            <v>85</v>
          </cell>
        </row>
        <row r="37">
          <cell r="A37" t="str">
            <v>DSO</v>
          </cell>
          <cell r="B37">
            <v>85</v>
          </cell>
          <cell r="I37" t="str">
            <v>DS</v>
          </cell>
          <cell r="J37">
            <v>1.9</v>
          </cell>
          <cell r="K37">
            <v>2.5</v>
          </cell>
        </row>
        <row r="38">
          <cell r="A38" t="str">
            <v>HM</v>
          </cell>
          <cell r="B38">
            <v>382</v>
          </cell>
          <cell r="I38" t="str">
            <v>HM</v>
          </cell>
          <cell r="J38">
            <v>1.4</v>
          </cell>
          <cell r="K38">
            <v>1.9</v>
          </cell>
        </row>
        <row r="39">
          <cell r="A39" t="str">
            <v>HMO</v>
          </cell>
          <cell r="B39">
            <v>420</v>
          </cell>
          <cell r="I39" t="str">
            <v>M1</v>
          </cell>
          <cell r="J39">
            <v>1.7</v>
          </cell>
          <cell r="K39">
            <v>2.5</v>
          </cell>
        </row>
        <row r="40">
          <cell r="A40" t="str">
            <v>M1</v>
          </cell>
          <cell r="B40">
            <v>235</v>
          </cell>
          <cell r="I40" t="str">
            <v>M2</v>
          </cell>
          <cell r="J40">
            <v>1.7</v>
          </cell>
          <cell r="K40">
            <v>2.5</v>
          </cell>
        </row>
        <row r="41">
          <cell r="A41" t="str">
            <v>M1O</v>
          </cell>
          <cell r="B41">
            <v>258</v>
          </cell>
          <cell r="I41" t="str">
            <v>PT</v>
          </cell>
          <cell r="J41">
            <v>1.9</v>
          </cell>
          <cell r="K41">
            <v>2.5</v>
          </cell>
        </row>
        <row r="42">
          <cell r="A42" t="str">
            <v>M2</v>
          </cell>
          <cell r="B42">
            <v>223</v>
          </cell>
        </row>
        <row r="43">
          <cell r="A43" t="str">
            <v>M2O</v>
          </cell>
          <cell r="B43">
            <v>245</v>
          </cell>
        </row>
        <row r="44">
          <cell r="A44" t="str">
            <v>PT</v>
          </cell>
          <cell r="B44">
            <v>96</v>
          </cell>
        </row>
        <row r="45">
          <cell r="A45" t="str">
            <v>PTO</v>
          </cell>
          <cell r="B45">
            <v>96</v>
          </cell>
        </row>
        <row r="51">
          <cell r="B51">
            <v>1064</v>
          </cell>
        </row>
        <row r="52">
          <cell r="B52">
            <v>1030</v>
          </cell>
        </row>
        <row r="53">
          <cell r="B53">
            <v>363</v>
          </cell>
        </row>
        <row r="55">
          <cell r="B55">
            <v>2061</v>
          </cell>
        </row>
        <row r="56">
          <cell r="B56"/>
        </row>
        <row r="61">
          <cell r="A61" t="str">
            <v>blé tendre</v>
          </cell>
          <cell r="B61">
            <v>180</v>
          </cell>
        </row>
        <row r="62">
          <cell r="A62" t="str">
            <v>céréales à paille</v>
          </cell>
          <cell r="B62">
            <v>152</v>
          </cell>
        </row>
        <row r="63">
          <cell r="A63" t="str">
            <v>landes lit</v>
          </cell>
          <cell r="B63"/>
        </row>
        <row r="64">
          <cell r="A64" t="str">
            <v>maïs ensil</v>
          </cell>
          <cell r="B64"/>
        </row>
        <row r="65">
          <cell r="A65" t="str">
            <v>maïs grain</v>
          </cell>
          <cell r="B65">
            <v>168</v>
          </cell>
        </row>
        <row r="66">
          <cell r="A66" t="str">
            <v>maïs humid</v>
          </cell>
          <cell r="B66"/>
        </row>
        <row r="67">
          <cell r="A67" t="str">
            <v>orge hiver</v>
          </cell>
          <cell r="B67">
            <v>152</v>
          </cell>
        </row>
        <row r="68">
          <cell r="A68" t="str">
            <v xml:space="preserve">soja zone </v>
          </cell>
          <cell r="B68">
            <v>329</v>
          </cell>
        </row>
        <row r="69">
          <cell r="A69" t="str">
            <v>triticale</v>
          </cell>
          <cell r="B69">
            <v>152</v>
          </cell>
        </row>
        <row r="71">
          <cell r="A71" t="str">
            <v>Excédent Paille</v>
          </cell>
          <cell r="B71"/>
          <cell r="C71">
            <v>80</v>
          </cell>
        </row>
        <row r="72">
          <cell r="C72">
            <v>135</v>
          </cell>
        </row>
        <row r="76">
          <cell r="B76">
            <v>223</v>
          </cell>
        </row>
        <row r="77">
          <cell r="B77">
            <v>200</v>
          </cell>
        </row>
        <row r="78">
          <cell r="B78">
            <v>150</v>
          </cell>
        </row>
        <row r="79">
          <cell r="B79">
            <v>80</v>
          </cell>
        </row>
        <row r="91">
          <cell r="A91" t="str">
            <v>Zone handicap naturel</v>
          </cell>
          <cell r="B91">
            <v>0</v>
          </cell>
          <cell r="C91">
            <v>1</v>
          </cell>
        </row>
        <row r="92">
          <cell r="A92" t="str">
            <v>charges par ha de 1ère coupe foin</v>
          </cell>
          <cell r="B92">
            <v>28.2</v>
          </cell>
          <cell r="C92">
            <v>36.200000000000003</v>
          </cell>
        </row>
        <row r="93">
          <cell r="A93" t="str">
            <v>charges par ha de 2ème ou 3 ème coupe foin</v>
          </cell>
          <cell r="B93">
            <v>21.7</v>
          </cell>
          <cell r="C93">
            <v>30</v>
          </cell>
        </row>
        <row r="94">
          <cell r="A94" t="str">
            <v>charges par ha de coupe enrubannage herbe</v>
          </cell>
          <cell r="B94">
            <v>86.3</v>
          </cell>
          <cell r="C94">
            <v>155.4</v>
          </cell>
        </row>
        <row r="106">
          <cell r="B106">
            <v>10.63</v>
          </cell>
        </row>
        <row r="108">
          <cell r="B108">
            <v>30</v>
          </cell>
        </row>
        <row r="109">
          <cell r="B109">
            <v>8</v>
          </cell>
        </row>
        <row r="111">
          <cell r="B111">
            <v>28.3</v>
          </cell>
        </row>
      </sheetData>
      <sheetData sheetId="8">
        <row r="3">
          <cell r="B3">
            <v>100</v>
          </cell>
          <cell r="H3">
            <v>20</v>
          </cell>
        </row>
        <row r="4">
          <cell r="B4">
            <v>6</v>
          </cell>
        </row>
        <row r="5">
          <cell r="B5">
            <v>625</v>
          </cell>
        </row>
        <row r="6">
          <cell r="B6">
            <v>0.75</v>
          </cell>
        </row>
        <row r="8">
          <cell r="B8">
            <v>815</v>
          </cell>
        </row>
        <row r="9">
          <cell r="B9">
            <v>0.25</v>
          </cell>
        </row>
        <row r="10">
          <cell r="B10">
            <v>4</v>
          </cell>
        </row>
        <row r="11">
          <cell r="B11">
            <v>7</v>
          </cell>
        </row>
        <row r="12">
          <cell r="B12">
            <v>2</v>
          </cell>
        </row>
        <row r="13">
          <cell r="B13">
            <v>3</v>
          </cell>
        </row>
        <row r="14">
          <cell r="B14">
            <v>3</v>
          </cell>
        </row>
        <row r="15">
          <cell r="B15">
            <v>4</v>
          </cell>
        </row>
        <row r="17">
          <cell r="B17">
            <v>1.5</v>
          </cell>
        </row>
        <row r="19">
          <cell r="B19">
            <v>0.04</v>
          </cell>
        </row>
        <row r="20">
          <cell r="B20">
            <v>10</v>
          </cell>
        </row>
        <row r="22">
          <cell r="B22">
            <v>4</v>
          </cell>
        </row>
        <row r="23">
          <cell r="B23">
            <v>1</v>
          </cell>
        </row>
        <row r="24">
          <cell r="B24">
            <v>0</v>
          </cell>
        </row>
        <row r="25">
          <cell r="B25">
            <v>1</v>
          </cell>
        </row>
        <row r="26">
          <cell r="B26">
            <v>0.33</v>
          </cell>
        </row>
        <row r="34">
          <cell r="B34">
            <v>10.76</v>
          </cell>
        </row>
        <row r="35">
          <cell r="B35">
            <v>5</v>
          </cell>
        </row>
        <row r="36">
          <cell r="B36">
            <v>1</v>
          </cell>
        </row>
        <row r="42">
          <cell r="B42">
            <v>200</v>
          </cell>
        </row>
        <row r="60">
          <cell r="F60">
            <v>79</v>
          </cell>
        </row>
        <row r="67">
          <cell r="B67">
            <v>15500</v>
          </cell>
        </row>
        <row r="68">
          <cell r="B68">
            <v>31500</v>
          </cell>
        </row>
        <row r="70">
          <cell r="B70">
            <v>5000</v>
          </cell>
        </row>
        <row r="71">
          <cell r="B71">
            <v>10000</v>
          </cell>
        </row>
        <row r="72">
          <cell r="B72">
            <v>16000</v>
          </cell>
        </row>
        <row r="73">
          <cell r="B73">
            <v>18000</v>
          </cell>
        </row>
        <row r="74">
          <cell r="B74">
            <v>22000</v>
          </cell>
        </row>
        <row r="76">
          <cell r="B76">
            <v>7500</v>
          </cell>
        </row>
        <row r="77">
          <cell r="B77">
            <v>12500</v>
          </cell>
        </row>
        <row r="78">
          <cell r="B78">
            <v>20000</v>
          </cell>
        </row>
        <row r="79">
          <cell r="B79">
            <v>22000</v>
          </cell>
        </row>
        <row r="80">
          <cell r="B80">
            <v>27000</v>
          </cell>
        </row>
        <row r="83">
          <cell r="B83">
            <v>2000</v>
          </cell>
        </row>
        <row r="84">
          <cell r="B84">
            <v>5000</v>
          </cell>
        </row>
        <row r="85">
          <cell r="B85">
            <v>2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4910.3049875" createdVersion="6" refreshedVersion="6" minRefreshableVersion="3" recordCount="34">
  <cacheSource type="worksheet">
    <worksheetSource ref="A1:J35" sheet="Parcellaire"/>
  </cacheSource>
  <cacheFields count="9">
    <cacheField name="Numéro_x000a_Parcelle" numFmtId="0">
      <sharedItems containsString="0" containsBlank="1" containsNumber="1" containsInteger="1" minValue="2" maxValue="48"/>
    </cacheField>
    <cacheField name="présence" numFmtId="0">
      <sharedItems containsString="0" containsBlank="1" containsNumber="1" containsInteger="1" minValue="1" maxValue="2"/>
    </cacheField>
    <cacheField name="Type clôture" numFmtId="0">
      <sharedItems containsString="0" containsBlank="1" containsNumber="1" containsInteger="1" minValue="0" maxValue="2"/>
    </cacheField>
    <cacheField name="distance" numFmtId="0">
      <sharedItems containsBlank="1"/>
    </cacheField>
    <cacheField name="type ancien codage enquete complémentaire" numFmtId="0">
      <sharedItems containsBlank="1" containsMixedTypes="1" containsNumber="1" containsInteger="1" minValue="2" maxValue="3" count="5">
        <s v="PT FP"/>
        <s v="maïs ensil"/>
        <m/>
        <n v="2"/>
        <n v="3"/>
      </sharedItems>
    </cacheField>
    <cacheField name="MEP" numFmtId="0">
      <sharedItems containsNonDate="0" containsString="0" containsBlank="1" count="1">
        <m/>
      </sharedItems>
    </cacheField>
    <cacheField name="surface" numFmtId="0">
      <sharedItems containsString="0" containsBlank="1" containsNumber="1" minValue="0.45" maxValue="4"/>
    </cacheField>
    <cacheField name="forme" numFmtId="0">
      <sharedItems containsString="0" containsBlank="1" containsNumber="1" containsInteger="1" minValue="2" maxValue="3"/>
    </cacheField>
    <cacheField name="dénivelé" numFmtId="0">
      <sharedItems containsString="0" containsBlank="1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eur" refreshedDate="44910.315707870373" createdVersion="6" refreshedVersion="6" minRefreshableVersion="3" recordCount="35">
  <cacheSource type="worksheet">
    <worksheetSource ref="A1:J36" sheet="Parcellaire"/>
  </cacheSource>
  <cacheFields count="9">
    <cacheField name="Numéro_x000a_Parcelle" numFmtId="0">
      <sharedItems containsString="0" containsBlank="1" containsNumber="1" containsInteger="1" minValue="2" maxValue="48"/>
    </cacheField>
    <cacheField name="présence" numFmtId="0">
      <sharedItems containsString="0" containsBlank="1" containsNumber="1" containsInteger="1" minValue="1" maxValue="2"/>
    </cacheField>
    <cacheField name="Type clôture" numFmtId="0">
      <sharedItems containsString="0" containsBlank="1" containsNumber="1" containsInteger="1" minValue="0" maxValue="2"/>
    </cacheField>
    <cacheField name="distance" numFmtId="0">
      <sharedItems containsBlank="1"/>
    </cacheField>
    <cacheField name="type ancien codage enquete complémentaire" numFmtId="0">
      <sharedItems containsBlank="1" containsMixedTypes="1" containsNumber="1" containsInteger="1" minValue="2" maxValue="3"/>
    </cacheField>
    <cacheField name="MEP" numFmtId="0">
      <sharedItems containsBlank="1" containsMixedTypes="1" containsNumber="1" containsInteger="1" minValue="13" maxValue="187" count="8">
        <n v="88"/>
        <s v="cult 6"/>
        <m/>
        <n v="78"/>
        <n v="185"/>
        <n v="13"/>
        <n v="187"/>
        <n v="14"/>
      </sharedItems>
    </cacheField>
    <cacheField name="surface" numFmtId="0">
      <sharedItems containsString="0" containsBlank="1" containsNumber="1" minValue="0.45" maxValue="4"/>
    </cacheField>
    <cacheField name="forme" numFmtId="0">
      <sharedItems containsString="0" containsBlank="1" containsNumber="1" containsInteger="1" minValue="2" maxValue="3"/>
    </cacheField>
    <cacheField name="dénivelé" numFmtId="0">
      <sharedItems containsString="0" containsBlank="1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n v="2"/>
    <n v="2"/>
    <n v="0"/>
    <s v="proche"/>
    <x v="0"/>
    <x v="0"/>
    <n v="1.5"/>
    <n v="3"/>
    <n v="0"/>
  </r>
  <r>
    <n v="4"/>
    <n v="2"/>
    <n v="2"/>
    <s v="proche"/>
    <x v="1"/>
    <x v="0"/>
    <n v="2.7"/>
    <n v="3"/>
    <n v="0.5"/>
  </r>
  <r>
    <m/>
    <m/>
    <m/>
    <s v="proche"/>
    <x v="2"/>
    <x v="0"/>
    <m/>
    <m/>
    <m/>
  </r>
  <r>
    <n v="6"/>
    <n v="1"/>
    <n v="2"/>
    <s v="proche"/>
    <x v="0"/>
    <x v="0"/>
    <n v="3.05"/>
    <n v="2"/>
    <n v="0.5"/>
  </r>
  <r>
    <n v="7"/>
    <n v="1"/>
    <n v="2"/>
    <s v="proche"/>
    <x v="3"/>
    <x v="0"/>
    <n v="1.7"/>
    <n v="2"/>
    <n v="0.5"/>
  </r>
  <r>
    <m/>
    <m/>
    <m/>
    <s v="proche"/>
    <x v="2"/>
    <x v="0"/>
    <m/>
    <m/>
    <m/>
  </r>
  <r>
    <n v="11"/>
    <n v="1"/>
    <n v="2"/>
    <s v="proche"/>
    <x v="4"/>
    <x v="0"/>
    <n v="3.05"/>
    <n v="3"/>
    <n v="1"/>
  </r>
  <r>
    <m/>
    <m/>
    <m/>
    <s v="proche"/>
    <x v="2"/>
    <x v="0"/>
    <m/>
    <m/>
    <m/>
  </r>
  <r>
    <m/>
    <m/>
    <m/>
    <s v="proche"/>
    <x v="2"/>
    <x v="0"/>
    <m/>
    <m/>
    <m/>
  </r>
  <r>
    <n v="15"/>
    <n v="1"/>
    <n v="2"/>
    <s v="proche"/>
    <x v="3"/>
    <x v="0"/>
    <n v="2"/>
    <n v="3"/>
    <n v="1"/>
  </r>
  <r>
    <m/>
    <m/>
    <m/>
    <s v="proche"/>
    <x v="2"/>
    <x v="0"/>
    <m/>
    <m/>
    <m/>
  </r>
  <r>
    <n v="17"/>
    <n v="1"/>
    <n v="2"/>
    <s v="proche"/>
    <x v="3"/>
    <x v="0"/>
    <n v="4"/>
    <n v="3"/>
    <n v="1"/>
  </r>
  <r>
    <m/>
    <m/>
    <m/>
    <s v="proche"/>
    <x v="2"/>
    <x v="0"/>
    <m/>
    <m/>
    <m/>
  </r>
  <r>
    <n v="23"/>
    <n v="1"/>
    <n v="2"/>
    <s v="proche"/>
    <x v="4"/>
    <x v="0"/>
    <n v="0.45"/>
    <n v="3"/>
    <n v="1"/>
  </r>
  <r>
    <n v="24"/>
    <n v="1"/>
    <n v="2"/>
    <s v="proche"/>
    <x v="4"/>
    <x v="0"/>
    <n v="1.42"/>
    <n v="3"/>
    <n v="1"/>
  </r>
  <r>
    <m/>
    <m/>
    <m/>
    <s v="proche"/>
    <x v="2"/>
    <x v="0"/>
    <m/>
    <m/>
    <m/>
  </r>
  <r>
    <n v="26"/>
    <n v="1"/>
    <n v="2"/>
    <s v="proche"/>
    <x v="4"/>
    <x v="0"/>
    <n v="1.2"/>
    <n v="3"/>
    <n v="1"/>
  </r>
  <r>
    <m/>
    <m/>
    <m/>
    <s v="proche"/>
    <x v="2"/>
    <x v="0"/>
    <m/>
    <m/>
    <m/>
  </r>
  <r>
    <n v="29"/>
    <n v="1"/>
    <n v="2"/>
    <s v="proche"/>
    <x v="3"/>
    <x v="0"/>
    <n v="1.36"/>
    <n v="3"/>
    <n v="0"/>
  </r>
  <r>
    <n v="30"/>
    <n v="1"/>
    <n v="2"/>
    <s v="proche"/>
    <x v="0"/>
    <x v="0"/>
    <n v="0.45"/>
    <n v="2"/>
    <n v="0.5"/>
  </r>
  <r>
    <m/>
    <m/>
    <m/>
    <m/>
    <x v="2"/>
    <x v="0"/>
    <m/>
    <m/>
    <m/>
  </r>
  <r>
    <m/>
    <m/>
    <m/>
    <m/>
    <x v="2"/>
    <x v="0"/>
    <m/>
    <m/>
    <m/>
  </r>
  <r>
    <n v="33"/>
    <n v="1"/>
    <n v="2"/>
    <s v="proche"/>
    <x v="3"/>
    <x v="0"/>
    <n v="0.8"/>
    <n v="3"/>
    <n v="0"/>
  </r>
  <r>
    <n v="35"/>
    <n v="1"/>
    <n v="2"/>
    <s v="proche"/>
    <x v="4"/>
    <x v="0"/>
    <n v="1.94"/>
    <n v="2"/>
    <n v="0.5"/>
  </r>
  <r>
    <m/>
    <m/>
    <m/>
    <m/>
    <x v="2"/>
    <x v="0"/>
    <m/>
    <m/>
    <m/>
  </r>
  <r>
    <m/>
    <m/>
    <m/>
    <s v="proche"/>
    <x v="2"/>
    <x v="0"/>
    <m/>
    <m/>
    <m/>
  </r>
  <r>
    <n v="38"/>
    <n v="1"/>
    <n v="2"/>
    <s v="proche"/>
    <x v="4"/>
    <x v="0"/>
    <n v="0.77"/>
    <n v="3"/>
    <n v="1"/>
  </r>
  <r>
    <n v="39"/>
    <n v="1"/>
    <n v="2"/>
    <s v="proche"/>
    <x v="4"/>
    <x v="0"/>
    <n v="3.6"/>
    <n v="3"/>
    <n v="0.5"/>
  </r>
  <r>
    <n v="42"/>
    <n v="1"/>
    <n v="2"/>
    <s v="proche"/>
    <x v="3"/>
    <x v="0"/>
    <n v="0.88"/>
    <n v="3"/>
    <n v="1"/>
  </r>
  <r>
    <n v="43"/>
    <n v="1"/>
    <n v="2"/>
    <s v="proche"/>
    <x v="3"/>
    <x v="0"/>
    <n v="1.25"/>
    <n v="3"/>
    <n v="1"/>
  </r>
  <r>
    <m/>
    <m/>
    <m/>
    <m/>
    <x v="2"/>
    <x v="0"/>
    <m/>
    <m/>
    <m/>
  </r>
  <r>
    <m/>
    <m/>
    <m/>
    <s v="proche"/>
    <x v="2"/>
    <x v="0"/>
    <m/>
    <m/>
    <m/>
  </r>
  <r>
    <n v="47"/>
    <n v="1"/>
    <n v="2"/>
    <s v="proche"/>
    <x v="4"/>
    <x v="0"/>
    <n v="1.61"/>
    <n v="2"/>
    <n v="1"/>
  </r>
  <r>
    <n v="48"/>
    <n v="1"/>
    <n v="2"/>
    <s v="proche"/>
    <x v="4"/>
    <x v="0"/>
    <n v="1.4"/>
    <n v="3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5">
  <r>
    <n v="2"/>
    <n v="2"/>
    <n v="0"/>
    <s v="proche"/>
    <s v="PT FP"/>
    <x v="0"/>
    <n v="1.5"/>
    <n v="3"/>
    <n v="0"/>
  </r>
  <r>
    <n v="4"/>
    <n v="2"/>
    <n v="2"/>
    <s v="proche"/>
    <s v="maïs ensil"/>
    <x v="1"/>
    <n v="2.7"/>
    <n v="3"/>
    <n v="0.5"/>
  </r>
  <r>
    <m/>
    <m/>
    <m/>
    <s v="proche"/>
    <m/>
    <x v="2"/>
    <m/>
    <m/>
    <m/>
  </r>
  <r>
    <n v="6"/>
    <n v="1"/>
    <n v="2"/>
    <s v="proche"/>
    <s v="PT FP"/>
    <x v="0"/>
    <n v="3.05"/>
    <n v="2"/>
    <n v="0.5"/>
  </r>
  <r>
    <n v="7"/>
    <n v="1"/>
    <n v="2"/>
    <s v="proche"/>
    <n v="2"/>
    <x v="3"/>
    <n v="1.7"/>
    <n v="2"/>
    <n v="0.5"/>
  </r>
  <r>
    <m/>
    <m/>
    <m/>
    <s v="proche"/>
    <m/>
    <x v="2"/>
    <m/>
    <m/>
    <m/>
  </r>
  <r>
    <n v="11"/>
    <n v="1"/>
    <n v="2"/>
    <s v="proche"/>
    <n v="3"/>
    <x v="4"/>
    <n v="3.05"/>
    <n v="3"/>
    <n v="1"/>
  </r>
  <r>
    <m/>
    <m/>
    <m/>
    <s v="proche"/>
    <m/>
    <x v="2"/>
    <m/>
    <m/>
    <m/>
  </r>
  <r>
    <m/>
    <m/>
    <m/>
    <s v="proche"/>
    <m/>
    <x v="2"/>
    <m/>
    <m/>
    <m/>
  </r>
  <r>
    <n v="15"/>
    <n v="1"/>
    <n v="2"/>
    <s v="proche"/>
    <n v="2"/>
    <x v="5"/>
    <n v="2"/>
    <n v="3"/>
    <n v="1"/>
  </r>
  <r>
    <m/>
    <m/>
    <m/>
    <s v="proche"/>
    <m/>
    <x v="2"/>
    <m/>
    <m/>
    <m/>
  </r>
  <r>
    <n v="17"/>
    <n v="1"/>
    <n v="2"/>
    <s v="proche"/>
    <n v="2"/>
    <x v="6"/>
    <n v="4"/>
    <n v="3"/>
    <n v="1"/>
  </r>
  <r>
    <m/>
    <m/>
    <m/>
    <s v="proche"/>
    <m/>
    <x v="2"/>
    <m/>
    <m/>
    <m/>
  </r>
  <r>
    <n v="23"/>
    <n v="1"/>
    <n v="2"/>
    <s v="proche"/>
    <n v="3"/>
    <x v="4"/>
    <n v="0.45"/>
    <n v="3"/>
    <n v="1"/>
  </r>
  <r>
    <n v="24"/>
    <n v="1"/>
    <n v="2"/>
    <s v="proche"/>
    <n v="3"/>
    <x v="5"/>
    <n v="1.42"/>
    <n v="3"/>
    <n v="1"/>
  </r>
  <r>
    <m/>
    <m/>
    <m/>
    <s v="proche"/>
    <m/>
    <x v="2"/>
    <m/>
    <m/>
    <m/>
  </r>
  <r>
    <n v="26"/>
    <n v="1"/>
    <n v="2"/>
    <s v="proche"/>
    <n v="3"/>
    <x v="6"/>
    <n v="1.2"/>
    <n v="3"/>
    <n v="1"/>
  </r>
  <r>
    <m/>
    <m/>
    <m/>
    <s v="proche"/>
    <m/>
    <x v="2"/>
    <m/>
    <m/>
    <m/>
  </r>
  <r>
    <n v="29"/>
    <n v="1"/>
    <n v="2"/>
    <s v="proche"/>
    <n v="2"/>
    <x v="3"/>
    <n v="1.36"/>
    <n v="3"/>
    <n v="0"/>
  </r>
  <r>
    <n v="30"/>
    <n v="1"/>
    <n v="2"/>
    <s v="proche"/>
    <s v="PT FP"/>
    <x v="0"/>
    <n v="0.45"/>
    <n v="2"/>
    <n v="0.5"/>
  </r>
  <r>
    <m/>
    <m/>
    <m/>
    <m/>
    <m/>
    <x v="2"/>
    <m/>
    <m/>
    <m/>
  </r>
  <r>
    <m/>
    <m/>
    <m/>
    <m/>
    <m/>
    <x v="2"/>
    <m/>
    <m/>
    <m/>
  </r>
  <r>
    <n v="33"/>
    <n v="1"/>
    <n v="2"/>
    <s v="proche"/>
    <n v="2"/>
    <x v="6"/>
    <n v="0.8"/>
    <n v="3"/>
    <n v="0"/>
  </r>
  <r>
    <n v="35"/>
    <n v="1"/>
    <n v="2"/>
    <s v="proche"/>
    <n v="3"/>
    <x v="7"/>
    <n v="1.94"/>
    <n v="2"/>
    <n v="0.5"/>
  </r>
  <r>
    <m/>
    <m/>
    <m/>
    <m/>
    <m/>
    <x v="2"/>
    <m/>
    <m/>
    <m/>
  </r>
  <r>
    <m/>
    <m/>
    <m/>
    <s v="proche"/>
    <m/>
    <x v="2"/>
    <m/>
    <m/>
    <m/>
  </r>
  <r>
    <n v="38"/>
    <n v="1"/>
    <n v="2"/>
    <s v="proche"/>
    <n v="3"/>
    <x v="4"/>
    <n v="0.77"/>
    <n v="3"/>
    <n v="1"/>
  </r>
  <r>
    <n v="39"/>
    <n v="1"/>
    <n v="2"/>
    <s v="proche"/>
    <n v="3"/>
    <x v="3"/>
    <n v="3.6"/>
    <n v="3"/>
    <n v="0.5"/>
  </r>
  <r>
    <n v="42"/>
    <n v="1"/>
    <n v="2"/>
    <s v="proche"/>
    <n v="2"/>
    <x v="4"/>
    <n v="0.88"/>
    <n v="3"/>
    <n v="1"/>
  </r>
  <r>
    <n v="43"/>
    <n v="1"/>
    <n v="2"/>
    <s v="proche"/>
    <n v="2"/>
    <x v="4"/>
    <n v="1.25"/>
    <n v="3"/>
    <n v="1"/>
  </r>
  <r>
    <m/>
    <m/>
    <m/>
    <m/>
    <m/>
    <x v="2"/>
    <m/>
    <m/>
    <m/>
  </r>
  <r>
    <m/>
    <m/>
    <m/>
    <s v="proche"/>
    <m/>
    <x v="2"/>
    <m/>
    <m/>
    <m/>
  </r>
  <r>
    <n v="47"/>
    <n v="1"/>
    <n v="2"/>
    <s v="proche"/>
    <n v="3"/>
    <x v="4"/>
    <n v="1.61"/>
    <n v="2"/>
    <n v="1"/>
  </r>
  <r>
    <n v="48"/>
    <n v="1"/>
    <n v="2"/>
    <s v="proche"/>
    <n v="3"/>
    <x v="4"/>
    <n v="1.4"/>
    <n v="3"/>
    <n v="0"/>
  </r>
  <r>
    <m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2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" firstHeaderRow="1" firstDataRow="1" firstDataCol="1"/>
  <pivotFields count="9">
    <pivotField showAll="0"/>
    <pivotField showAll="0"/>
    <pivotField showAll="0"/>
    <pivotField showAll="0"/>
    <pivotField axis="axisRow" showAll="0">
      <items count="6">
        <item x="3"/>
        <item x="4"/>
        <item x="1"/>
        <item x="0"/>
        <item x="2"/>
        <item t="default"/>
      </items>
    </pivotField>
    <pivotField showAll="0"/>
    <pivotField dataField="1"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surface" fld="6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8:C27" firstHeaderRow="0" firstDataRow="1" firstDataCol="1"/>
  <pivotFields count="9">
    <pivotField dataField="1" showAll="0"/>
    <pivotField showAll="0"/>
    <pivotField showAll="0"/>
    <pivotField showAll="0"/>
    <pivotField showAll="0"/>
    <pivotField axis="axisRow" showAll="0">
      <items count="9">
        <item x="7"/>
        <item x="3"/>
        <item x="0"/>
        <item x="4"/>
        <item x="1"/>
        <item x="2"/>
        <item x="5"/>
        <item x="6"/>
        <item t="default"/>
      </items>
    </pivotField>
    <pivotField dataField="1" showAll="0"/>
    <pivotField showAll="0"/>
    <pivotField showAll="0"/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Numéro_x000a_Parcelle" fld="0" subtotal="count" baseField="0" baseItem="0"/>
    <dataField name="Somme de surface" fld="6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2" sqref="D2"/>
    </sheetView>
  </sheetViews>
  <sheetFormatPr baseColWidth="10" defaultRowHeight="15" x14ac:dyDescent="0.25"/>
  <cols>
    <col min="1" max="1" width="17.7109375" customWidth="1"/>
  </cols>
  <sheetData>
    <row r="1" spans="1:10" x14ac:dyDescent="0.25">
      <c r="A1" s="17" t="s">
        <v>247</v>
      </c>
      <c r="B1" s="41" t="s">
        <v>244</v>
      </c>
      <c r="C1" s="17"/>
      <c r="E1" s="17"/>
    </row>
    <row r="2" spans="1:10" x14ac:dyDescent="0.25">
      <c r="A2" s="17" t="s">
        <v>245</v>
      </c>
      <c r="B2" s="41" t="s">
        <v>426</v>
      </c>
      <c r="C2" s="17"/>
      <c r="D2" s="17"/>
      <c r="E2" s="17"/>
    </row>
    <row r="3" spans="1:10" x14ac:dyDescent="0.25">
      <c r="A3" s="17" t="s">
        <v>246</v>
      </c>
      <c r="B3" s="67">
        <v>44479</v>
      </c>
      <c r="C3" s="17"/>
      <c r="D3" s="17"/>
      <c r="E3" s="17"/>
    </row>
    <row r="4" spans="1:10" x14ac:dyDescent="0.25">
      <c r="B4" s="66"/>
    </row>
    <row r="5" spans="1:10" x14ac:dyDescent="0.25">
      <c r="A5" s="1" t="s">
        <v>70</v>
      </c>
      <c r="B5" t="s">
        <v>71</v>
      </c>
    </row>
    <row r="6" spans="1:10" x14ac:dyDescent="0.25">
      <c r="A6" s="48" t="s">
        <v>72</v>
      </c>
      <c r="B6" t="s">
        <v>74</v>
      </c>
    </row>
    <row r="7" spans="1:10" x14ac:dyDescent="0.25">
      <c r="A7" s="13" t="s">
        <v>75</v>
      </c>
      <c r="B7" t="s">
        <v>113</v>
      </c>
    </row>
    <row r="8" spans="1:10" x14ac:dyDescent="0.25">
      <c r="A8" s="31" t="s">
        <v>73</v>
      </c>
      <c r="B8" t="s">
        <v>322</v>
      </c>
    </row>
    <row r="9" spans="1:10" x14ac:dyDescent="0.25">
      <c r="A9" s="47" t="s">
        <v>100</v>
      </c>
      <c r="B9" t="s">
        <v>101</v>
      </c>
    </row>
    <row r="10" spans="1:10" s="5" customFormat="1" x14ac:dyDescent="0.25"/>
    <row r="12" spans="1:10" ht="15.75" thickBot="1" x14ac:dyDescent="0.3">
      <c r="A12" s="2" t="s">
        <v>314</v>
      </c>
    </row>
    <row r="13" spans="1:10" x14ac:dyDescent="0.25">
      <c r="A13" s="109" t="s">
        <v>154</v>
      </c>
      <c r="B13" s="96" t="s">
        <v>155</v>
      </c>
      <c r="C13" s="96"/>
      <c r="D13" s="96"/>
      <c r="E13" s="96"/>
      <c r="F13" s="96"/>
      <c r="G13" s="96"/>
      <c r="H13" s="96"/>
      <c r="I13" s="96"/>
      <c r="J13" s="97"/>
    </row>
    <row r="14" spans="1:10" x14ac:dyDescent="0.25">
      <c r="A14" s="112" t="s">
        <v>53</v>
      </c>
      <c r="B14" s="81" t="s">
        <v>54</v>
      </c>
      <c r="C14" s="81"/>
      <c r="D14" s="81"/>
      <c r="E14" s="81"/>
      <c r="F14" s="81"/>
      <c r="G14" s="81"/>
      <c r="H14" s="81"/>
      <c r="I14" s="81"/>
      <c r="J14" s="100"/>
    </row>
    <row r="15" spans="1:10" x14ac:dyDescent="0.25">
      <c r="A15" s="112" t="s">
        <v>55</v>
      </c>
      <c r="B15" s="81" t="s">
        <v>56</v>
      </c>
      <c r="C15" s="81"/>
      <c r="D15" s="81"/>
      <c r="E15" s="81"/>
      <c r="F15" s="81"/>
      <c r="G15" s="81"/>
      <c r="H15" s="81"/>
      <c r="I15" s="81"/>
      <c r="J15" s="100"/>
    </row>
    <row r="16" spans="1:10" x14ac:dyDescent="0.25">
      <c r="A16" s="112" t="s">
        <v>57</v>
      </c>
      <c r="B16" s="81" t="s">
        <v>58</v>
      </c>
      <c r="C16" s="81"/>
      <c r="D16" s="81"/>
      <c r="E16" s="81"/>
      <c r="F16" s="81"/>
      <c r="G16" s="81"/>
      <c r="H16" s="81"/>
      <c r="I16" s="81"/>
      <c r="J16" s="100"/>
    </row>
    <row r="17" spans="1:10" x14ac:dyDescent="0.25">
      <c r="A17" s="112" t="s">
        <v>59</v>
      </c>
      <c r="B17" s="81" t="s">
        <v>60</v>
      </c>
      <c r="C17" s="81"/>
      <c r="D17" s="81"/>
      <c r="E17" s="81"/>
      <c r="F17" s="81"/>
      <c r="G17" s="81"/>
      <c r="H17" s="81"/>
      <c r="I17" s="81"/>
      <c r="J17" s="100"/>
    </row>
    <row r="18" spans="1:10" x14ac:dyDescent="0.25">
      <c r="A18" s="112" t="s">
        <v>62</v>
      </c>
      <c r="B18" s="81" t="s">
        <v>63</v>
      </c>
      <c r="C18" s="81"/>
      <c r="D18" s="81"/>
      <c r="E18" s="81"/>
      <c r="F18" s="81"/>
      <c r="G18" s="81"/>
      <c r="H18" s="81"/>
      <c r="I18" s="81"/>
      <c r="J18" s="100"/>
    </row>
    <row r="19" spans="1:10" x14ac:dyDescent="0.25">
      <c r="A19" s="112" t="s">
        <v>64</v>
      </c>
      <c r="B19" s="81" t="s">
        <v>65</v>
      </c>
      <c r="C19" s="81"/>
      <c r="D19" s="81"/>
      <c r="E19" s="81"/>
      <c r="F19" s="81"/>
      <c r="G19" s="81"/>
      <c r="H19" s="81"/>
      <c r="I19" s="81"/>
      <c r="J19" s="100"/>
    </row>
    <row r="20" spans="1:10" ht="15.75" thickBot="1" x14ac:dyDescent="0.3">
      <c r="A20" s="121" t="s">
        <v>66</v>
      </c>
      <c r="B20" s="107" t="s">
        <v>313</v>
      </c>
      <c r="C20" s="107"/>
      <c r="D20" s="107"/>
      <c r="E20" s="107"/>
      <c r="F20" s="107"/>
      <c r="G20" s="107"/>
      <c r="H20" s="107"/>
      <c r="I20" s="107"/>
      <c r="J20" s="108"/>
    </row>
    <row r="21" spans="1:10" x14ac:dyDescent="0.25">
      <c r="A21" t="s">
        <v>67</v>
      </c>
      <c r="B21" t="s">
        <v>312</v>
      </c>
    </row>
    <row r="22" spans="1:10" x14ac:dyDescent="0.25">
      <c r="A22" t="s">
        <v>68</v>
      </c>
      <c r="B22" t="s">
        <v>312</v>
      </c>
    </row>
    <row r="23" spans="1:10" x14ac:dyDescent="0.25">
      <c r="A23" t="s">
        <v>69</v>
      </c>
      <c r="B23" t="s">
        <v>312</v>
      </c>
    </row>
    <row r="24" spans="1:10" x14ac:dyDescent="0.25">
      <c r="A24" t="s">
        <v>61</v>
      </c>
      <c r="B24" t="s">
        <v>312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1"/>
  <sheetViews>
    <sheetView topLeftCell="W1" workbookViewId="0">
      <pane ySplit="1" topLeftCell="A2" activePane="bottomLeft" state="frozen"/>
      <selection pane="bottomLeft" activeCell="AH14" sqref="AH14"/>
    </sheetView>
  </sheetViews>
  <sheetFormatPr baseColWidth="10" defaultRowHeight="15" x14ac:dyDescent="0.25"/>
  <cols>
    <col min="1" max="1" width="25.7109375" customWidth="1"/>
    <col min="2" max="2" width="5.5703125" style="82" customWidth="1"/>
    <col min="3" max="25" width="4.85546875" style="82" customWidth="1"/>
    <col min="26" max="26" width="2.5703125" style="5" customWidth="1"/>
    <col min="27" max="27" width="9.28515625" customWidth="1"/>
    <col min="28" max="28" width="9" customWidth="1"/>
    <col min="29" max="29" width="35.85546875" bestFit="1" customWidth="1"/>
    <col min="30" max="30" width="4.5703125" customWidth="1"/>
    <col min="31" max="31" width="3" style="17" customWidth="1"/>
    <col min="33" max="33" width="25" customWidth="1"/>
    <col min="34" max="34" width="6.28515625" customWidth="1"/>
    <col min="36" max="36" width="8.42578125" customWidth="1"/>
    <col min="37" max="83" width="4.85546875" customWidth="1"/>
  </cols>
  <sheetData>
    <row r="1" spans="1:61" x14ac:dyDescent="0.25">
      <c r="B1" s="305" t="s">
        <v>2</v>
      </c>
      <c r="C1" s="305"/>
      <c r="D1" s="305" t="s">
        <v>0</v>
      </c>
      <c r="E1" s="305"/>
      <c r="F1" s="305" t="s">
        <v>1</v>
      </c>
      <c r="G1" s="305"/>
      <c r="H1" s="305" t="s">
        <v>3</v>
      </c>
      <c r="I1" s="305"/>
      <c r="J1" s="305" t="s">
        <v>4</v>
      </c>
      <c r="K1" s="305"/>
      <c r="L1" s="305" t="s">
        <v>5</v>
      </c>
      <c r="M1" s="305"/>
      <c r="N1" s="305" t="s">
        <v>6</v>
      </c>
      <c r="O1" s="305"/>
      <c r="P1" s="305" t="s">
        <v>7</v>
      </c>
      <c r="Q1" s="305"/>
      <c r="R1" s="305" t="s">
        <v>8</v>
      </c>
      <c r="S1" s="305"/>
      <c r="T1" s="305" t="s">
        <v>9</v>
      </c>
      <c r="U1" s="305"/>
      <c r="V1" s="305" t="s">
        <v>10</v>
      </c>
      <c r="W1" s="305"/>
      <c r="X1" s="305" t="s">
        <v>11</v>
      </c>
      <c r="Y1" s="305"/>
      <c r="Z1" s="83"/>
      <c r="AA1" t="s">
        <v>177</v>
      </c>
      <c r="AK1" t="s">
        <v>1388</v>
      </c>
    </row>
    <row r="2" spans="1:61" x14ac:dyDescent="0.25">
      <c r="B2" s="82">
        <v>1</v>
      </c>
      <c r="C2" s="82">
        <v>2</v>
      </c>
      <c r="D2" s="82">
        <v>3</v>
      </c>
      <c r="E2" s="82">
        <v>4</v>
      </c>
      <c r="F2" s="82">
        <v>5</v>
      </c>
      <c r="G2" s="82">
        <v>6</v>
      </c>
      <c r="H2" s="82">
        <v>7</v>
      </c>
      <c r="I2" s="82">
        <v>8</v>
      </c>
      <c r="J2" s="82">
        <v>9</v>
      </c>
      <c r="K2" s="82">
        <v>10</v>
      </c>
      <c r="L2" s="82">
        <v>11</v>
      </c>
      <c r="M2" s="82">
        <v>12</v>
      </c>
      <c r="N2" s="82">
        <v>13</v>
      </c>
      <c r="O2" s="82">
        <v>14</v>
      </c>
      <c r="P2" s="82">
        <v>15</v>
      </c>
      <c r="Q2" s="82">
        <v>16</v>
      </c>
      <c r="R2" s="82">
        <v>17</v>
      </c>
      <c r="S2" s="82">
        <v>18</v>
      </c>
      <c r="T2" s="82">
        <v>19</v>
      </c>
      <c r="U2" s="82">
        <v>20</v>
      </c>
      <c r="V2" s="82">
        <v>21</v>
      </c>
      <c r="W2" s="82">
        <v>22</v>
      </c>
      <c r="X2" s="82">
        <v>23</v>
      </c>
      <c r="Y2" s="82">
        <v>24</v>
      </c>
      <c r="AH2" s="14" t="s">
        <v>1391</v>
      </c>
      <c r="AI2" s="1"/>
      <c r="AK2" s="50" t="s">
        <v>227</v>
      </c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</row>
    <row r="3" spans="1:61" x14ac:dyDescent="0.25">
      <c r="A3" t="s">
        <v>176</v>
      </c>
      <c r="B3" s="82">
        <v>15.5</v>
      </c>
      <c r="C3" s="82">
        <v>15.5</v>
      </c>
      <c r="D3" s="82">
        <v>14</v>
      </c>
      <c r="E3" s="82">
        <v>14</v>
      </c>
      <c r="F3" s="82">
        <v>15.5</v>
      </c>
      <c r="G3" s="82">
        <v>15.5</v>
      </c>
      <c r="H3" s="82">
        <v>15</v>
      </c>
      <c r="I3" s="82">
        <v>15</v>
      </c>
      <c r="J3" s="82">
        <v>15.5</v>
      </c>
      <c r="K3" s="82">
        <v>15.5</v>
      </c>
      <c r="L3" s="82">
        <v>15</v>
      </c>
      <c r="M3" s="82">
        <v>15</v>
      </c>
      <c r="N3" s="82">
        <v>15.5</v>
      </c>
      <c r="O3" s="82">
        <v>15.5</v>
      </c>
      <c r="P3" s="82">
        <v>15.5</v>
      </c>
      <c r="Q3" s="82">
        <v>15.5</v>
      </c>
      <c r="R3" s="82">
        <v>15</v>
      </c>
      <c r="S3" s="82">
        <v>15</v>
      </c>
      <c r="T3" s="82">
        <v>15.5</v>
      </c>
      <c r="U3" s="82">
        <v>15.5</v>
      </c>
      <c r="V3" s="82">
        <v>15</v>
      </c>
      <c r="W3" s="82">
        <v>15</v>
      </c>
      <c r="X3" s="82">
        <v>15.5</v>
      </c>
      <c r="Y3" s="82">
        <v>15.5</v>
      </c>
      <c r="AA3">
        <f>SUM(B3:Y3)</f>
        <v>365</v>
      </c>
      <c r="AB3" t="s">
        <v>35</v>
      </c>
      <c r="AC3" s="2" t="s">
        <v>181</v>
      </c>
      <c r="AK3" s="50" t="s">
        <v>156</v>
      </c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</row>
    <row r="4" spans="1:61" x14ac:dyDescent="0.25">
      <c r="A4" s="2" t="s">
        <v>327</v>
      </c>
      <c r="AC4" t="s">
        <v>182</v>
      </c>
      <c r="AF4" s="45"/>
      <c r="AK4" s="50" t="s">
        <v>157</v>
      </c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</row>
    <row r="5" spans="1:61" x14ac:dyDescent="0.25">
      <c r="A5" s="51" t="s">
        <v>328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52"/>
      <c r="AC5" t="s">
        <v>183</v>
      </c>
      <c r="AE5" s="17">
        <v>2</v>
      </c>
      <c r="AF5" s="125">
        <f>HLOOKUP(AF$4,[1]Anx!$C$36:$CO$48,AE5)</f>
        <v>0</v>
      </c>
      <c r="AG5" s="5"/>
      <c r="AK5" s="50" t="s">
        <v>158</v>
      </c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</row>
    <row r="6" spans="1:61" x14ac:dyDescent="0.25">
      <c r="A6" s="51" t="s">
        <v>329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52"/>
      <c r="AC6" t="s">
        <v>198</v>
      </c>
      <c r="AD6">
        <v>1</v>
      </c>
      <c r="AE6" s="17">
        <v>3</v>
      </c>
      <c r="AF6" s="125">
        <f>HLOOKUP(AF$4,[1]Anx!$C$36:$CO$48,AE6)</f>
        <v>0</v>
      </c>
      <c r="AG6" t="s">
        <v>193</v>
      </c>
      <c r="AK6" s="50" t="s">
        <v>159</v>
      </c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</row>
    <row r="7" spans="1:61" x14ac:dyDescent="0.25">
      <c r="A7" s="137" t="s">
        <v>331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52"/>
      <c r="AC7" t="s">
        <v>199</v>
      </c>
      <c r="AD7">
        <v>2</v>
      </c>
      <c r="AE7" s="17">
        <v>4</v>
      </c>
      <c r="AF7" s="125">
        <f>HLOOKUP(AF$4,[1]Anx!$C$36:$CO$48,AE7)</f>
        <v>0</v>
      </c>
      <c r="AG7" t="s">
        <v>194</v>
      </c>
      <c r="AK7" s="50" t="s">
        <v>160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</row>
    <row r="8" spans="1:61" x14ac:dyDescent="0.25">
      <c r="A8" s="51" t="s">
        <v>330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52"/>
      <c r="AC8" t="s">
        <v>200</v>
      </c>
      <c r="AD8">
        <v>3</v>
      </c>
      <c r="AE8" s="17">
        <v>5</v>
      </c>
      <c r="AF8" s="125">
        <f>HLOOKUP(AF$4,[1]Anx!$C$36:$CO$48,AE8)</f>
        <v>0</v>
      </c>
      <c r="AG8" t="s">
        <v>195</v>
      </c>
      <c r="AK8" s="50" t="s">
        <v>161</v>
      </c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</row>
    <row r="9" spans="1:61" x14ac:dyDescent="0.25">
      <c r="A9" s="51" t="s">
        <v>165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52"/>
      <c r="AC9" t="s">
        <v>201</v>
      </c>
      <c r="AD9">
        <v>4</v>
      </c>
      <c r="AE9" s="17">
        <v>6</v>
      </c>
      <c r="AF9" s="125">
        <f>HLOOKUP(AF$4,[1]Anx!$C$36:$CO$48,AE9)</f>
        <v>0</v>
      </c>
      <c r="AG9" t="s">
        <v>196</v>
      </c>
      <c r="AK9" s="50" t="s">
        <v>162</v>
      </c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</row>
    <row r="10" spans="1:61" x14ac:dyDescent="0.25">
      <c r="A10" s="51" t="s">
        <v>166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52"/>
      <c r="AC10" t="s">
        <v>202</v>
      </c>
      <c r="AD10">
        <v>5</v>
      </c>
      <c r="AE10" s="17">
        <v>7</v>
      </c>
      <c r="AF10" s="125">
        <f>HLOOKUP(AF$4,[1]Anx!$C$36:$CO$48,AE10)</f>
        <v>0</v>
      </c>
      <c r="AG10" t="s">
        <v>197</v>
      </c>
      <c r="AK10" s="50" t="s">
        <v>163</v>
      </c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</row>
    <row r="11" spans="1:61" x14ac:dyDescent="0.25">
      <c r="A11" s="51" t="s">
        <v>167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52"/>
      <c r="AC11" t="s">
        <v>289</v>
      </c>
      <c r="AE11" s="17">
        <v>10</v>
      </c>
      <c r="AF11" s="125">
        <f>HLOOKUP(AF$4,[1]Anx!$C$36:$CO$48,AE11)</f>
        <v>0</v>
      </c>
      <c r="AK11" s="50" t="s">
        <v>164</v>
      </c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</row>
    <row r="12" spans="1:61" x14ac:dyDescent="0.25">
      <c r="A12" s="51" t="s">
        <v>168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AC12" t="s">
        <v>290</v>
      </c>
      <c r="AE12" s="17">
        <v>11</v>
      </c>
      <c r="AF12" s="125">
        <f>HLOOKUP(AF$4,[1]Anx!$C$36:$CO$48,AE12)</f>
        <v>0</v>
      </c>
    </row>
    <row r="13" spans="1:61" x14ac:dyDescent="0.25">
      <c r="A13" s="2" t="s">
        <v>12</v>
      </c>
      <c r="B13" s="65" t="s">
        <v>174</v>
      </c>
    </row>
    <row r="14" spans="1:61" x14ac:dyDescent="0.25">
      <c r="A14" s="44" t="s">
        <v>173</v>
      </c>
    </row>
    <row r="15" spans="1:61" x14ac:dyDescent="0.25">
      <c r="A15" s="50" t="s">
        <v>227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52"/>
    </row>
    <row r="16" spans="1:61" x14ac:dyDescent="0.25">
      <c r="A16" s="50" t="s">
        <v>156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52"/>
      <c r="AC16" s="2" t="s">
        <v>421</v>
      </c>
      <c r="AI16" t="s">
        <v>287</v>
      </c>
      <c r="AK16" t="s">
        <v>190</v>
      </c>
    </row>
    <row r="17" spans="1:83" x14ac:dyDescent="0.25">
      <c r="A17" s="50" t="s">
        <v>157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52"/>
      <c r="AG17" t="s">
        <v>285</v>
      </c>
      <c r="AH17" t="s">
        <v>286</v>
      </c>
      <c r="AI17" t="s">
        <v>318</v>
      </c>
      <c r="AK17" s="4">
        <v>1</v>
      </c>
      <c r="AL17" s="4">
        <v>2</v>
      </c>
      <c r="AM17" s="4">
        <v>3</v>
      </c>
      <c r="AN17" s="4">
        <v>4</v>
      </c>
      <c r="AO17" s="4">
        <v>5</v>
      </c>
      <c r="AP17" s="4">
        <v>6</v>
      </c>
      <c r="AQ17" s="4">
        <v>7</v>
      </c>
      <c r="AR17" s="4">
        <v>8</v>
      </c>
      <c r="AS17" s="4">
        <v>9</v>
      </c>
      <c r="AT17" s="4">
        <v>10</v>
      </c>
      <c r="AU17" s="4">
        <v>11</v>
      </c>
      <c r="AV17" s="4">
        <v>12</v>
      </c>
      <c r="AW17" s="4">
        <v>13</v>
      </c>
      <c r="AX17" s="4">
        <v>14</v>
      </c>
      <c r="AY17" s="4">
        <v>15</v>
      </c>
      <c r="AZ17" s="4">
        <v>16</v>
      </c>
      <c r="BA17" s="4">
        <v>17</v>
      </c>
      <c r="BB17" s="4">
        <v>18</v>
      </c>
      <c r="BC17" s="4">
        <v>19</v>
      </c>
      <c r="BD17" s="4">
        <v>20</v>
      </c>
      <c r="BE17" s="4">
        <v>21</v>
      </c>
      <c r="BF17" s="4">
        <v>22</v>
      </c>
      <c r="BG17" s="4">
        <v>23</v>
      </c>
      <c r="BH17" s="4">
        <v>24</v>
      </c>
      <c r="BI17" s="4">
        <v>25</v>
      </c>
      <c r="BJ17" s="4">
        <v>26</v>
      </c>
      <c r="BK17" s="4">
        <v>27</v>
      </c>
      <c r="BL17" s="4">
        <v>28</v>
      </c>
      <c r="BM17" s="4">
        <v>29</v>
      </c>
      <c r="BN17" s="4">
        <v>30</v>
      </c>
      <c r="BO17" s="4">
        <v>31</v>
      </c>
      <c r="BP17" s="4">
        <v>32</v>
      </c>
      <c r="BQ17" s="4">
        <v>33</v>
      </c>
      <c r="BR17" s="4">
        <v>34</v>
      </c>
      <c r="BS17" s="4">
        <v>35</v>
      </c>
      <c r="BT17" s="4">
        <v>36</v>
      </c>
      <c r="BU17" s="4">
        <v>37</v>
      </c>
      <c r="BV17" s="4">
        <v>38</v>
      </c>
      <c r="BW17" s="4">
        <v>39</v>
      </c>
      <c r="BX17" s="4">
        <v>40</v>
      </c>
      <c r="BY17" s="4">
        <v>41</v>
      </c>
      <c r="BZ17" s="4">
        <v>42</v>
      </c>
      <c r="CA17" s="4">
        <v>43</v>
      </c>
      <c r="CB17" s="4">
        <v>44</v>
      </c>
      <c r="CC17" s="4">
        <v>45</v>
      </c>
      <c r="CD17" s="4">
        <v>46</v>
      </c>
      <c r="CE17" s="4">
        <v>47</v>
      </c>
    </row>
    <row r="18" spans="1:83" x14ac:dyDescent="0.25">
      <c r="A18" s="50" t="s">
        <v>158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52"/>
      <c r="AC18" t="s">
        <v>376</v>
      </c>
      <c r="AE18" s="17">
        <v>2</v>
      </c>
      <c r="AG18" s="126">
        <f>HLOOKUP(AF$4,[1]Anx!$C$86:$CO$121,AE18)</f>
        <v>0</v>
      </c>
      <c r="AH18" s="61">
        <f>VALUE(LEFT(AG18,2))</f>
        <v>0</v>
      </c>
      <c r="AI18" s="129">
        <f>Troupeau!D72</f>
        <v>0</v>
      </c>
      <c r="AK18" s="54">
        <f>IF($AH18=AK$17,ROUND($AI18/1000,1),0)</f>
        <v>0</v>
      </c>
      <c r="AL18" s="54">
        <f>IF($AH18=AL$17,ROUND($AI18/1000,1),0)</f>
        <v>0</v>
      </c>
      <c r="AM18" s="54">
        <f>IF($AH18=AM$17,ROUND($AI18/1000,1),0)</f>
        <v>0</v>
      </c>
      <c r="AN18" s="54">
        <f t="shared" ref="AN18:BC33" si="0">IF($AH18=AN$17,ROUND($AI18/1000,1),0)</f>
        <v>0</v>
      </c>
      <c r="AO18" s="54">
        <f t="shared" si="0"/>
        <v>0</v>
      </c>
      <c r="AP18" s="54">
        <f t="shared" si="0"/>
        <v>0</v>
      </c>
      <c r="AQ18" s="54">
        <f t="shared" si="0"/>
        <v>0</v>
      </c>
      <c r="AR18" s="54">
        <f t="shared" si="0"/>
        <v>0</v>
      </c>
      <c r="AS18" s="54">
        <f t="shared" si="0"/>
        <v>0</v>
      </c>
      <c r="AT18" s="54">
        <f t="shared" si="0"/>
        <v>0</v>
      </c>
      <c r="AU18" s="54">
        <f t="shared" si="0"/>
        <v>0</v>
      </c>
      <c r="AV18" s="54">
        <f t="shared" si="0"/>
        <v>0</v>
      </c>
      <c r="AW18" s="54">
        <f t="shared" si="0"/>
        <v>0</v>
      </c>
      <c r="AX18" s="54">
        <f t="shared" si="0"/>
        <v>0</v>
      </c>
      <c r="AY18" s="54">
        <f t="shared" si="0"/>
        <v>0</v>
      </c>
      <c r="AZ18" s="54">
        <f t="shared" si="0"/>
        <v>0</v>
      </c>
      <c r="BA18" s="54">
        <f t="shared" si="0"/>
        <v>0</v>
      </c>
      <c r="BB18" s="54">
        <f t="shared" si="0"/>
        <v>0</v>
      </c>
      <c r="BC18" s="54">
        <f t="shared" si="0"/>
        <v>0</v>
      </c>
      <c r="BD18" s="54">
        <f t="shared" ref="BD18:CE27" si="1">IF($AH18=BD$17,ROUND($AI18/1000,1),0)</f>
        <v>0</v>
      </c>
      <c r="BE18" s="54">
        <f t="shared" si="1"/>
        <v>0</v>
      </c>
      <c r="BF18" s="54">
        <f t="shared" si="1"/>
        <v>0</v>
      </c>
      <c r="BG18" s="54">
        <f t="shared" si="1"/>
        <v>0</v>
      </c>
      <c r="BH18" s="54">
        <f t="shared" si="1"/>
        <v>0</v>
      </c>
      <c r="BI18" s="54">
        <f t="shared" si="1"/>
        <v>0</v>
      </c>
      <c r="BJ18" s="54">
        <f t="shared" si="1"/>
        <v>0</v>
      </c>
      <c r="BK18" s="54">
        <f t="shared" si="1"/>
        <v>0</v>
      </c>
      <c r="BL18" s="54">
        <f t="shared" si="1"/>
        <v>0</v>
      </c>
      <c r="BM18" s="54">
        <f t="shared" si="1"/>
        <v>0</v>
      </c>
      <c r="BN18" s="54">
        <f t="shared" si="1"/>
        <v>0</v>
      </c>
      <c r="BO18" s="54">
        <f t="shared" si="1"/>
        <v>0</v>
      </c>
      <c r="BP18" s="54">
        <f t="shared" si="1"/>
        <v>0</v>
      </c>
      <c r="BQ18" s="54">
        <f t="shared" si="1"/>
        <v>0</v>
      </c>
      <c r="BR18" s="54">
        <f t="shared" si="1"/>
        <v>0</v>
      </c>
      <c r="BS18" s="54">
        <f t="shared" si="1"/>
        <v>0</v>
      </c>
      <c r="BT18" s="54">
        <f t="shared" si="1"/>
        <v>0</v>
      </c>
      <c r="BU18" s="54">
        <f t="shared" si="1"/>
        <v>0</v>
      </c>
      <c r="BV18" s="54">
        <f t="shared" si="1"/>
        <v>0</v>
      </c>
      <c r="BW18" s="54">
        <f t="shared" si="1"/>
        <v>0</v>
      </c>
      <c r="BX18" s="54">
        <f t="shared" si="1"/>
        <v>0</v>
      </c>
      <c r="BY18" s="54">
        <f t="shared" si="1"/>
        <v>0</v>
      </c>
      <c r="BZ18" s="54">
        <f t="shared" si="1"/>
        <v>0</v>
      </c>
      <c r="CA18" s="54">
        <f t="shared" si="1"/>
        <v>0</v>
      </c>
      <c r="CB18" s="54">
        <f t="shared" si="1"/>
        <v>0</v>
      </c>
      <c r="CC18" s="54">
        <f t="shared" si="1"/>
        <v>0</v>
      </c>
      <c r="CD18" s="54">
        <f t="shared" si="1"/>
        <v>0</v>
      </c>
      <c r="CE18" s="54">
        <f t="shared" si="1"/>
        <v>0</v>
      </c>
    </row>
    <row r="19" spans="1:83" x14ac:dyDescent="0.25">
      <c r="A19" s="50" t="s">
        <v>159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52"/>
      <c r="AC19" t="s">
        <v>377</v>
      </c>
      <c r="AE19" s="17">
        <v>3</v>
      </c>
      <c r="AG19" s="126">
        <f>HLOOKUP(AF$4,[1]Anx!$C$86:$CO$121,AE19)</f>
        <v>0</v>
      </c>
      <c r="AH19" s="61">
        <f t="shared" ref="AH19:AH52" si="2">VALUE(LEFT(AG19,2))</f>
        <v>0</v>
      </c>
      <c r="AI19" s="129">
        <f>Troupeau!D73</f>
        <v>0</v>
      </c>
      <c r="AK19" s="54">
        <f t="shared" ref="AK19:AK52" si="3">IF($AH19=AK$17,ROUND($AI19/1000,1),0)</f>
        <v>0</v>
      </c>
      <c r="AL19" s="54">
        <f t="shared" ref="AL19:AM34" si="4">IF($AH19=AL$17,ROUND($AI19/1000,1),0)</f>
        <v>0</v>
      </c>
      <c r="AM19" s="54">
        <f t="shared" si="4"/>
        <v>0</v>
      </c>
      <c r="AN19" s="54">
        <f t="shared" si="0"/>
        <v>0</v>
      </c>
      <c r="AO19" s="54">
        <f t="shared" si="0"/>
        <v>0</v>
      </c>
      <c r="AP19" s="54">
        <f t="shared" si="0"/>
        <v>0</v>
      </c>
      <c r="AQ19" s="54">
        <f t="shared" si="0"/>
        <v>0</v>
      </c>
      <c r="AR19" s="54">
        <f t="shared" si="0"/>
        <v>0</v>
      </c>
      <c r="AS19" s="54">
        <f t="shared" si="0"/>
        <v>0</v>
      </c>
      <c r="AT19" s="54">
        <f t="shared" si="0"/>
        <v>0</v>
      </c>
      <c r="AU19" s="54">
        <f t="shared" si="0"/>
        <v>0</v>
      </c>
      <c r="AV19" s="54">
        <f t="shared" si="0"/>
        <v>0</v>
      </c>
      <c r="AW19" s="54">
        <f t="shared" si="0"/>
        <v>0</v>
      </c>
      <c r="AX19" s="54">
        <f t="shared" si="0"/>
        <v>0</v>
      </c>
      <c r="AY19" s="54">
        <f t="shared" si="0"/>
        <v>0</v>
      </c>
      <c r="AZ19" s="54">
        <f t="shared" si="0"/>
        <v>0</v>
      </c>
      <c r="BA19" s="54">
        <f t="shared" si="0"/>
        <v>0</v>
      </c>
      <c r="BB19" s="54">
        <f t="shared" si="0"/>
        <v>0</v>
      </c>
      <c r="BC19" s="54">
        <f t="shared" si="0"/>
        <v>0</v>
      </c>
      <c r="BD19" s="54">
        <f t="shared" si="1"/>
        <v>0</v>
      </c>
      <c r="BE19" s="54">
        <f t="shared" si="1"/>
        <v>0</v>
      </c>
      <c r="BF19" s="54">
        <f t="shared" si="1"/>
        <v>0</v>
      </c>
      <c r="BG19" s="54">
        <f t="shared" si="1"/>
        <v>0</v>
      </c>
      <c r="BH19" s="54">
        <f t="shared" si="1"/>
        <v>0</v>
      </c>
      <c r="BI19" s="54">
        <f t="shared" si="1"/>
        <v>0</v>
      </c>
      <c r="BJ19" s="54">
        <f t="shared" si="1"/>
        <v>0</v>
      </c>
      <c r="BK19" s="54">
        <f t="shared" si="1"/>
        <v>0</v>
      </c>
      <c r="BL19" s="54">
        <f t="shared" si="1"/>
        <v>0</v>
      </c>
      <c r="BM19" s="54">
        <f t="shared" si="1"/>
        <v>0</v>
      </c>
      <c r="BN19" s="54">
        <f t="shared" si="1"/>
        <v>0</v>
      </c>
      <c r="BO19" s="54">
        <f t="shared" si="1"/>
        <v>0</v>
      </c>
      <c r="BP19" s="54">
        <f t="shared" si="1"/>
        <v>0</v>
      </c>
      <c r="BQ19" s="54">
        <f t="shared" si="1"/>
        <v>0</v>
      </c>
      <c r="BR19" s="54">
        <f t="shared" si="1"/>
        <v>0</v>
      </c>
      <c r="BS19" s="54">
        <f t="shared" si="1"/>
        <v>0</v>
      </c>
      <c r="BT19" s="54">
        <f t="shared" si="1"/>
        <v>0</v>
      </c>
      <c r="BU19" s="54">
        <f t="shared" si="1"/>
        <v>0</v>
      </c>
      <c r="BV19" s="54">
        <f t="shared" si="1"/>
        <v>0</v>
      </c>
      <c r="BW19" s="54">
        <f t="shared" si="1"/>
        <v>0</v>
      </c>
      <c r="BX19" s="54">
        <f t="shared" si="1"/>
        <v>0</v>
      </c>
      <c r="BY19" s="54">
        <f t="shared" si="1"/>
        <v>0</v>
      </c>
      <c r="BZ19" s="54">
        <f t="shared" si="1"/>
        <v>0</v>
      </c>
      <c r="CA19" s="54">
        <f t="shared" si="1"/>
        <v>0</v>
      </c>
      <c r="CB19" s="54">
        <f t="shared" si="1"/>
        <v>0</v>
      </c>
      <c r="CC19" s="54">
        <f t="shared" si="1"/>
        <v>0</v>
      </c>
      <c r="CD19" s="54">
        <f t="shared" si="1"/>
        <v>0</v>
      </c>
      <c r="CE19" s="54">
        <f t="shared" si="1"/>
        <v>0</v>
      </c>
    </row>
    <row r="20" spans="1:83" x14ac:dyDescent="0.25">
      <c r="A20" s="50" t="s">
        <v>160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52"/>
      <c r="AC20" t="s">
        <v>378</v>
      </c>
      <c r="AE20" s="17">
        <v>4</v>
      </c>
      <c r="AG20" s="126">
        <f>HLOOKUP(AF$4,[1]Anx!$C$86:$CO$121,AE20)</f>
        <v>0</v>
      </c>
      <c r="AH20" s="61">
        <f t="shared" si="2"/>
        <v>0</v>
      </c>
      <c r="AI20" s="129">
        <f>Troupeau!D74</f>
        <v>0</v>
      </c>
      <c r="AK20" s="54">
        <f t="shared" si="3"/>
        <v>0</v>
      </c>
      <c r="AL20" s="54">
        <f t="shared" si="4"/>
        <v>0</v>
      </c>
      <c r="AM20" s="54">
        <f t="shared" si="4"/>
        <v>0</v>
      </c>
      <c r="AN20" s="54">
        <f t="shared" si="0"/>
        <v>0</v>
      </c>
      <c r="AO20" s="54">
        <f t="shared" si="0"/>
        <v>0</v>
      </c>
      <c r="AP20" s="54">
        <f t="shared" si="0"/>
        <v>0</v>
      </c>
      <c r="AQ20" s="54">
        <f t="shared" si="0"/>
        <v>0</v>
      </c>
      <c r="AR20" s="54">
        <f t="shared" si="0"/>
        <v>0</v>
      </c>
      <c r="AS20" s="54">
        <f t="shared" si="0"/>
        <v>0</v>
      </c>
      <c r="AT20" s="54">
        <f t="shared" si="0"/>
        <v>0</v>
      </c>
      <c r="AU20" s="54">
        <f t="shared" si="0"/>
        <v>0</v>
      </c>
      <c r="AV20" s="54">
        <f t="shared" si="0"/>
        <v>0</v>
      </c>
      <c r="AW20" s="54">
        <f t="shared" si="0"/>
        <v>0</v>
      </c>
      <c r="AX20" s="54">
        <f t="shared" si="0"/>
        <v>0</v>
      </c>
      <c r="AY20" s="54">
        <f t="shared" si="0"/>
        <v>0</v>
      </c>
      <c r="AZ20" s="54">
        <f t="shared" si="0"/>
        <v>0</v>
      </c>
      <c r="BA20" s="54">
        <f t="shared" si="0"/>
        <v>0</v>
      </c>
      <c r="BB20" s="54">
        <f t="shared" si="0"/>
        <v>0</v>
      </c>
      <c r="BC20" s="54">
        <f t="shared" si="0"/>
        <v>0</v>
      </c>
      <c r="BD20" s="54">
        <f t="shared" si="1"/>
        <v>0</v>
      </c>
      <c r="BE20" s="54">
        <f t="shared" si="1"/>
        <v>0</v>
      </c>
      <c r="BF20" s="54">
        <f t="shared" si="1"/>
        <v>0</v>
      </c>
      <c r="BG20" s="54">
        <f t="shared" si="1"/>
        <v>0</v>
      </c>
      <c r="BH20" s="54">
        <f t="shared" si="1"/>
        <v>0</v>
      </c>
      <c r="BI20" s="54">
        <f t="shared" si="1"/>
        <v>0</v>
      </c>
      <c r="BJ20" s="54">
        <f t="shared" si="1"/>
        <v>0</v>
      </c>
      <c r="BK20" s="54">
        <f t="shared" si="1"/>
        <v>0</v>
      </c>
      <c r="BL20" s="54">
        <f t="shared" si="1"/>
        <v>0</v>
      </c>
      <c r="BM20" s="54">
        <f t="shared" si="1"/>
        <v>0</v>
      </c>
      <c r="BN20" s="54">
        <f t="shared" si="1"/>
        <v>0</v>
      </c>
      <c r="BO20" s="54">
        <f t="shared" si="1"/>
        <v>0</v>
      </c>
      <c r="BP20" s="54">
        <f t="shared" si="1"/>
        <v>0</v>
      </c>
      <c r="BQ20" s="54">
        <f t="shared" si="1"/>
        <v>0</v>
      </c>
      <c r="BR20" s="54">
        <f t="shared" si="1"/>
        <v>0</v>
      </c>
      <c r="BS20" s="54">
        <f t="shared" si="1"/>
        <v>0</v>
      </c>
      <c r="BT20" s="54">
        <f t="shared" si="1"/>
        <v>0</v>
      </c>
      <c r="BU20" s="54">
        <f t="shared" si="1"/>
        <v>0</v>
      </c>
      <c r="BV20" s="54">
        <f t="shared" si="1"/>
        <v>0</v>
      </c>
      <c r="BW20" s="54">
        <f t="shared" si="1"/>
        <v>0</v>
      </c>
      <c r="BX20" s="54">
        <f t="shared" si="1"/>
        <v>0</v>
      </c>
      <c r="BY20" s="54">
        <f t="shared" si="1"/>
        <v>0</v>
      </c>
      <c r="BZ20" s="54">
        <f t="shared" si="1"/>
        <v>0</v>
      </c>
      <c r="CA20" s="54">
        <f t="shared" si="1"/>
        <v>0</v>
      </c>
      <c r="CB20" s="54">
        <f t="shared" si="1"/>
        <v>0</v>
      </c>
      <c r="CC20" s="54">
        <f t="shared" si="1"/>
        <v>0</v>
      </c>
      <c r="CD20" s="54">
        <f t="shared" si="1"/>
        <v>0</v>
      </c>
      <c r="CE20" s="54">
        <f t="shared" si="1"/>
        <v>0</v>
      </c>
    </row>
    <row r="21" spans="1:83" x14ac:dyDescent="0.25">
      <c r="A21" s="50" t="s">
        <v>161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52"/>
      <c r="AC21" t="s">
        <v>379</v>
      </c>
      <c r="AE21" s="17">
        <v>5</v>
      </c>
      <c r="AG21" s="126">
        <f>HLOOKUP(AF$4,[1]Anx!$C$86:$CO$121,AE21)</f>
        <v>0</v>
      </c>
      <c r="AH21" s="61">
        <f t="shared" si="2"/>
        <v>0</v>
      </c>
      <c r="AI21" s="129">
        <f>Troupeau!D75</f>
        <v>0</v>
      </c>
      <c r="AK21" s="54">
        <f t="shared" si="3"/>
        <v>0</v>
      </c>
      <c r="AL21" s="54">
        <f t="shared" si="4"/>
        <v>0</v>
      </c>
      <c r="AM21" s="54">
        <f t="shared" si="4"/>
        <v>0</v>
      </c>
      <c r="AN21" s="54">
        <f t="shared" si="0"/>
        <v>0</v>
      </c>
      <c r="AO21" s="54">
        <f t="shared" si="0"/>
        <v>0</v>
      </c>
      <c r="AP21" s="54">
        <f t="shared" si="0"/>
        <v>0</v>
      </c>
      <c r="AQ21" s="54">
        <f t="shared" si="0"/>
        <v>0</v>
      </c>
      <c r="AR21" s="54">
        <f t="shared" si="0"/>
        <v>0</v>
      </c>
      <c r="AS21" s="54">
        <f t="shared" si="0"/>
        <v>0</v>
      </c>
      <c r="AT21" s="54">
        <f t="shared" si="0"/>
        <v>0</v>
      </c>
      <c r="AU21" s="54">
        <f t="shared" si="0"/>
        <v>0</v>
      </c>
      <c r="AV21" s="54">
        <f t="shared" si="0"/>
        <v>0</v>
      </c>
      <c r="AW21" s="54">
        <f t="shared" si="0"/>
        <v>0</v>
      </c>
      <c r="AX21" s="54">
        <f t="shared" si="0"/>
        <v>0</v>
      </c>
      <c r="AY21" s="54">
        <f t="shared" si="0"/>
        <v>0</v>
      </c>
      <c r="AZ21" s="54">
        <f t="shared" si="0"/>
        <v>0</v>
      </c>
      <c r="BA21" s="54">
        <f t="shared" si="0"/>
        <v>0</v>
      </c>
      <c r="BB21" s="54">
        <f t="shared" si="0"/>
        <v>0</v>
      </c>
      <c r="BC21" s="54">
        <f t="shared" si="0"/>
        <v>0</v>
      </c>
      <c r="BD21" s="54">
        <f t="shared" si="1"/>
        <v>0</v>
      </c>
      <c r="BE21" s="54">
        <f t="shared" si="1"/>
        <v>0</v>
      </c>
      <c r="BF21" s="54">
        <f t="shared" si="1"/>
        <v>0</v>
      </c>
      <c r="BG21" s="54">
        <f t="shared" si="1"/>
        <v>0</v>
      </c>
      <c r="BH21" s="54">
        <f t="shared" si="1"/>
        <v>0</v>
      </c>
      <c r="BI21" s="54">
        <f t="shared" si="1"/>
        <v>0</v>
      </c>
      <c r="BJ21" s="54">
        <f t="shared" si="1"/>
        <v>0</v>
      </c>
      <c r="BK21" s="54">
        <f t="shared" si="1"/>
        <v>0</v>
      </c>
      <c r="BL21" s="54">
        <f t="shared" si="1"/>
        <v>0</v>
      </c>
      <c r="BM21" s="54">
        <f t="shared" si="1"/>
        <v>0</v>
      </c>
      <c r="BN21" s="54">
        <f t="shared" si="1"/>
        <v>0</v>
      </c>
      <c r="BO21" s="54">
        <f t="shared" si="1"/>
        <v>0</v>
      </c>
      <c r="BP21" s="54">
        <f t="shared" si="1"/>
        <v>0</v>
      </c>
      <c r="BQ21" s="54">
        <f t="shared" si="1"/>
        <v>0</v>
      </c>
      <c r="BR21" s="54">
        <f t="shared" si="1"/>
        <v>0</v>
      </c>
      <c r="BS21" s="54">
        <f t="shared" si="1"/>
        <v>0</v>
      </c>
      <c r="BT21" s="54">
        <f t="shared" si="1"/>
        <v>0</v>
      </c>
      <c r="BU21" s="54">
        <f t="shared" si="1"/>
        <v>0</v>
      </c>
      <c r="BV21" s="54">
        <f t="shared" si="1"/>
        <v>0</v>
      </c>
      <c r="BW21" s="54">
        <f t="shared" si="1"/>
        <v>0</v>
      </c>
      <c r="BX21" s="54">
        <f t="shared" si="1"/>
        <v>0</v>
      </c>
      <c r="BY21" s="54">
        <f t="shared" si="1"/>
        <v>0</v>
      </c>
      <c r="BZ21" s="54">
        <f t="shared" si="1"/>
        <v>0</v>
      </c>
      <c r="CA21" s="54">
        <f t="shared" si="1"/>
        <v>0</v>
      </c>
      <c r="CB21" s="54">
        <f t="shared" si="1"/>
        <v>0</v>
      </c>
      <c r="CC21" s="54">
        <f t="shared" si="1"/>
        <v>0</v>
      </c>
      <c r="CD21" s="54">
        <f t="shared" si="1"/>
        <v>0</v>
      </c>
      <c r="CE21" s="54">
        <f t="shared" si="1"/>
        <v>0</v>
      </c>
    </row>
    <row r="22" spans="1:83" x14ac:dyDescent="0.25">
      <c r="A22" s="50" t="s">
        <v>162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52"/>
      <c r="AA22" s="5"/>
      <c r="AB22" s="5"/>
      <c r="AC22" t="s">
        <v>380</v>
      </c>
      <c r="AD22" s="5"/>
      <c r="AE22" s="17">
        <v>6</v>
      </c>
      <c r="AG22" s="126">
        <f>HLOOKUP(AF$4,[1]Anx!$C$86:$CO$121,AE22)</f>
        <v>0</v>
      </c>
      <c r="AH22" s="61">
        <f t="shared" si="2"/>
        <v>0</v>
      </c>
      <c r="AI22" s="129">
        <f>Troupeau!D76</f>
        <v>0</v>
      </c>
      <c r="AK22" s="54">
        <f t="shared" si="3"/>
        <v>0</v>
      </c>
      <c r="AL22" s="54">
        <f t="shared" si="4"/>
        <v>0</v>
      </c>
      <c r="AM22" s="54">
        <f t="shared" si="4"/>
        <v>0</v>
      </c>
      <c r="AN22" s="54">
        <f t="shared" si="0"/>
        <v>0</v>
      </c>
      <c r="AO22" s="54">
        <f t="shared" si="0"/>
        <v>0</v>
      </c>
      <c r="AP22" s="54">
        <f t="shared" si="0"/>
        <v>0</v>
      </c>
      <c r="AQ22" s="54">
        <f t="shared" si="0"/>
        <v>0</v>
      </c>
      <c r="AR22" s="54">
        <f t="shared" si="0"/>
        <v>0</v>
      </c>
      <c r="AS22" s="54">
        <f t="shared" si="0"/>
        <v>0</v>
      </c>
      <c r="AT22" s="54">
        <f t="shared" si="0"/>
        <v>0</v>
      </c>
      <c r="AU22" s="54">
        <f t="shared" si="0"/>
        <v>0</v>
      </c>
      <c r="AV22" s="54">
        <f t="shared" si="0"/>
        <v>0</v>
      </c>
      <c r="AW22" s="54">
        <f t="shared" si="0"/>
        <v>0</v>
      </c>
      <c r="AX22" s="54">
        <f t="shared" si="0"/>
        <v>0</v>
      </c>
      <c r="AY22" s="54">
        <f t="shared" si="0"/>
        <v>0</v>
      </c>
      <c r="AZ22" s="54">
        <f t="shared" si="0"/>
        <v>0</v>
      </c>
      <c r="BA22" s="54">
        <f t="shared" si="0"/>
        <v>0</v>
      </c>
      <c r="BB22" s="54">
        <f t="shared" si="0"/>
        <v>0</v>
      </c>
      <c r="BC22" s="54">
        <f t="shared" si="0"/>
        <v>0</v>
      </c>
      <c r="BD22" s="54">
        <f t="shared" si="1"/>
        <v>0</v>
      </c>
      <c r="BE22" s="54">
        <f t="shared" si="1"/>
        <v>0</v>
      </c>
      <c r="BF22" s="54">
        <f t="shared" si="1"/>
        <v>0</v>
      </c>
      <c r="BG22" s="54">
        <f t="shared" si="1"/>
        <v>0</v>
      </c>
      <c r="BH22" s="54">
        <f t="shared" si="1"/>
        <v>0</v>
      </c>
      <c r="BI22" s="54">
        <f t="shared" si="1"/>
        <v>0</v>
      </c>
      <c r="BJ22" s="54">
        <f t="shared" si="1"/>
        <v>0</v>
      </c>
      <c r="BK22" s="54">
        <f t="shared" si="1"/>
        <v>0</v>
      </c>
      <c r="BL22" s="54">
        <f t="shared" si="1"/>
        <v>0</v>
      </c>
      <c r="BM22" s="54">
        <f t="shared" si="1"/>
        <v>0</v>
      </c>
      <c r="BN22" s="54">
        <f t="shared" si="1"/>
        <v>0</v>
      </c>
      <c r="BO22" s="54">
        <f t="shared" si="1"/>
        <v>0</v>
      </c>
      <c r="BP22" s="54">
        <f t="shared" si="1"/>
        <v>0</v>
      </c>
      <c r="BQ22" s="54">
        <f t="shared" si="1"/>
        <v>0</v>
      </c>
      <c r="BR22" s="54">
        <f t="shared" si="1"/>
        <v>0</v>
      </c>
      <c r="BS22" s="54">
        <f t="shared" si="1"/>
        <v>0</v>
      </c>
      <c r="BT22" s="54">
        <f t="shared" si="1"/>
        <v>0</v>
      </c>
      <c r="BU22" s="54">
        <f t="shared" si="1"/>
        <v>0</v>
      </c>
      <c r="BV22" s="54">
        <f t="shared" si="1"/>
        <v>0</v>
      </c>
      <c r="BW22" s="54">
        <f t="shared" si="1"/>
        <v>0</v>
      </c>
      <c r="BX22" s="54">
        <f t="shared" si="1"/>
        <v>0</v>
      </c>
      <c r="BY22" s="54">
        <f t="shared" si="1"/>
        <v>0</v>
      </c>
      <c r="BZ22" s="54">
        <f t="shared" si="1"/>
        <v>0</v>
      </c>
      <c r="CA22" s="54">
        <f t="shared" si="1"/>
        <v>0</v>
      </c>
      <c r="CB22" s="54">
        <f t="shared" si="1"/>
        <v>0</v>
      </c>
      <c r="CC22" s="54">
        <f t="shared" si="1"/>
        <v>0</v>
      </c>
      <c r="CD22" s="54">
        <f t="shared" si="1"/>
        <v>0</v>
      </c>
      <c r="CE22" s="54">
        <f t="shared" si="1"/>
        <v>0</v>
      </c>
    </row>
    <row r="23" spans="1:83" x14ac:dyDescent="0.25">
      <c r="A23" s="50" t="s">
        <v>163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52"/>
      <c r="AA23" s="5"/>
      <c r="AB23" s="5"/>
      <c r="AC23" t="s">
        <v>381</v>
      </c>
      <c r="AD23" s="5"/>
      <c r="AE23" s="17">
        <v>7</v>
      </c>
      <c r="AG23" s="126">
        <f>HLOOKUP(AF$4,[1]Anx!$C$86:$CO$121,AE23)</f>
        <v>0</v>
      </c>
      <c r="AH23" s="61">
        <f t="shared" si="2"/>
        <v>0</v>
      </c>
      <c r="AI23" s="129">
        <f>Troupeau!D77</f>
        <v>0</v>
      </c>
      <c r="AK23" s="54">
        <f t="shared" si="3"/>
        <v>0</v>
      </c>
      <c r="AL23" s="54">
        <f t="shared" si="4"/>
        <v>0</v>
      </c>
      <c r="AM23" s="54">
        <f t="shared" si="4"/>
        <v>0</v>
      </c>
      <c r="AN23" s="54">
        <f t="shared" si="0"/>
        <v>0</v>
      </c>
      <c r="AO23" s="54">
        <f t="shared" si="0"/>
        <v>0</v>
      </c>
      <c r="AP23" s="54">
        <f t="shared" si="0"/>
        <v>0</v>
      </c>
      <c r="AQ23" s="54">
        <f t="shared" si="0"/>
        <v>0</v>
      </c>
      <c r="AR23" s="54">
        <f t="shared" si="0"/>
        <v>0</v>
      </c>
      <c r="AS23" s="54">
        <f t="shared" si="0"/>
        <v>0</v>
      </c>
      <c r="AT23" s="54">
        <f t="shared" si="0"/>
        <v>0</v>
      </c>
      <c r="AU23" s="54">
        <f t="shared" si="0"/>
        <v>0</v>
      </c>
      <c r="AV23" s="54">
        <f t="shared" si="0"/>
        <v>0</v>
      </c>
      <c r="AW23" s="54">
        <f t="shared" si="0"/>
        <v>0</v>
      </c>
      <c r="AX23" s="54">
        <f t="shared" si="0"/>
        <v>0</v>
      </c>
      <c r="AY23" s="54">
        <f t="shared" si="0"/>
        <v>0</v>
      </c>
      <c r="AZ23" s="54">
        <f t="shared" si="0"/>
        <v>0</v>
      </c>
      <c r="BA23" s="54">
        <f t="shared" si="0"/>
        <v>0</v>
      </c>
      <c r="BB23" s="54">
        <f t="shared" si="0"/>
        <v>0</v>
      </c>
      <c r="BC23" s="54">
        <f t="shared" si="0"/>
        <v>0</v>
      </c>
      <c r="BD23" s="54">
        <f t="shared" si="1"/>
        <v>0</v>
      </c>
      <c r="BE23" s="54">
        <f t="shared" si="1"/>
        <v>0</v>
      </c>
      <c r="BF23" s="54">
        <f t="shared" si="1"/>
        <v>0</v>
      </c>
      <c r="BG23" s="54">
        <f t="shared" si="1"/>
        <v>0</v>
      </c>
      <c r="BH23" s="54">
        <f t="shared" si="1"/>
        <v>0</v>
      </c>
      <c r="BI23" s="54">
        <f t="shared" si="1"/>
        <v>0</v>
      </c>
      <c r="BJ23" s="54">
        <f t="shared" si="1"/>
        <v>0</v>
      </c>
      <c r="BK23" s="54">
        <f t="shared" si="1"/>
        <v>0</v>
      </c>
      <c r="BL23" s="54">
        <f t="shared" si="1"/>
        <v>0</v>
      </c>
      <c r="BM23" s="54">
        <f t="shared" si="1"/>
        <v>0</v>
      </c>
      <c r="BN23" s="54">
        <f t="shared" si="1"/>
        <v>0</v>
      </c>
      <c r="BO23" s="54">
        <f t="shared" si="1"/>
        <v>0</v>
      </c>
      <c r="BP23" s="54">
        <f t="shared" si="1"/>
        <v>0</v>
      </c>
      <c r="BQ23" s="54">
        <f t="shared" si="1"/>
        <v>0</v>
      </c>
      <c r="BR23" s="54">
        <f t="shared" si="1"/>
        <v>0</v>
      </c>
      <c r="BS23" s="54">
        <f t="shared" si="1"/>
        <v>0</v>
      </c>
      <c r="BT23" s="54">
        <f t="shared" si="1"/>
        <v>0</v>
      </c>
      <c r="BU23" s="54">
        <f t="shared" si="1"/>
        <v>0</v>
      </c>
      <c r="BV23" s="54">
        <f t="shared" si="1"/>
        <v>0</v>
      </c>
      <c r="BW23" s="54">
        <f t="shared" si="1"/>
        <v>0</v>
      </c>
      <c r="BX23" s="54">
        <f t="shared" si="1"/>
        <v>0</v>
      </c>
      <c r="BY23" s="54">
        <f t="shared" si="1"/>
        <v>0</v>
      </c>
      <c r="BZ23" s="54">
        <f t="shared" si="1"/>
        <v>0</v>
      </c>
      <c r="CA23" s="54">
        <f t="shared" si="1"/>
        <v>0</v>
      </c>
      <c r="CB23" s="54">
        <f t="shared" si="1"/>
        <v>0</v>
      </c>
      <c r="CC23" s="54">
        <f t="shared" si="1"/>
        <v>0</v>
      </c>
      <c r="CD23" s="54">
        <f t="shared" si="1"/>
        <v>0</v>
      </c>
      <c r="CE23" s="54">
        <f t="shared" si="1"/>
        <v>0</v>
      </c>
    </row>
    <row r="24" spans="1:83" x14ac:dyDescent="0.25">
      <c r="A24" s="50" t="s">
        <v>164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2"/>
      <c r="AA24" s="5"/>
      <c r="AB24" s="53"/>
      <c r="AC24" t="s">
        <v>382</v>
      </c>
      <c r="AD24" s="5"/>
      <c r="AE24" s="17">
        <v>8</v>
      </c>
      <c r="AG24" s="126">
        <f>HLOOKUP(AF$4,[1]Anx!$C$86:$CO$121,AE24)</f>
        <v>0</v>
      </c>
      <c r="AH24" s="61">
        <f t="shared" si="2"/>
        <v>0</v>
      </c>
      <c r="AI24" s="129">
        <f>Troupeau!D78</f>
        <v>0</v>
      </c>
      <c r="AK24" s="54">
        <f t="shared" si="3"/>
        <v>0</v>
      </c>
      <c r="AL24" s="54">
        <f t="shared" si="4"/>
        <v>0</v>
      </c>
      <c r="AM24" s="54">
        <f t="shared" si="4"/>
        <v>0</v>
      </c>
      <c r="AN24" s="54">
        <f t="shared" si="0"/>
        <v>0</v>
      </c>
      <c r="AO24" s="54">
        <f t="shared" si="0"/>
        <v>0</v>
      </c>
      <c r="AP24" s="54">
        <f t="shared" si="0"/>
        <v>0</v>
      </c>
      <c r="AQ24" s="54">
        <f t="shared" si="0"/>
        <v>0</v>
      </c>
      <c r="AR24" s="54">
        <f t="shared" si="0"/>
        <v>0</v>
      </c>
      <c r="AS24" s="54">
        <f t="shared" si="0"/>
        <v>0</v>
      </c>
      <c r="AT24" s="54">
        <f t="shared" si="0"/>
        <v>0</v>
      </c>
      <c r="AU24" s="54">
        <f t="shared" si="0"/>
        <v>0</v>
      </c>
      <c r="AV24" s="54">
        <f t="shared" si="0"/>
        <v>0</v>
      </c>
      <c r="AW24" s="54">
        <f t="shared" si="0"/>
        <v>0</v>
      </c>
      <c r="AX24" s="54">
        <f t="shared" si="0"/>
        <v>0</v>
      </c>
      <c r="AY24" s="54">
        <f t="shared" si="0"/>
        <v>0</v>
      </c>
      <c r="AZ24" s="54">
        <f t="shared" si="0"/>
        <v>0</v>
      </c>
      <c r="BA24" s="54">
        <f t="shared" si="0"/>
        <v>0</v>
      </c>
      <c r="BB24" s="54">
        <f t="shared" si="0"/>
        <v>0</v>
      </c>
      <c r="BC24" s="54">
        <f t="shared" si="0"/>
        <v>0</v>
      </c>
      <c r="BD24" s="54">
        <f t="shared" si="1"/>
        <v>0</v>
      </c>
      <c r="BE24" s="54">
        <f t="shared" si="1"/>
        <v>0</v>
      </c>
      <c r="BF24" s="54">
        <f t="shared" si="1"/>
        <v>0</v>
      </c>
      <c r="BG24" s="54">
        <f t="shared" si="1"/>
        <v>0</v>
      </c>
      <c r="BH24" s="54">
        <f t="shared" si="1"/>
        <v>0</v>
      </c>
      <c r="BI24" s="54">
        <f t="shared" si="1"/>
        <v>0</v>
      </c>
      <c r="BJ24" s="54">
        <f t="shared" si="1"/>
        <v>0</v>
      </c>
      <c r="BK24" s="54">
        <f t="shared" si="1"/>
        <v>0</v>
      </c>
      <c r="BL24" s="54">
        <f t="shared" si="1"/>
        <v>0</v>
      </c>
      <c r="BM24" s="54">
        <f t="shared" si="1"/>
        <v>0</v>
      </c>
      <c r="BN24" s="54">
        <f t="shared" si="1"/>
        <v>0</v>
      </c>
      <c r="BO24" s="54">
        <f t="shared" si="1"/>
        <v>0</v>
      </c>
      <c r="BP24" s="54">
        <f t="shared" si="1"/>
        <v>0</v>
      </c>
      <c r="BQ24" s="54">
        <f t="shared" si="1"/>
        <v>0</v>
      </c>
      <c r="BR24" s="54">
        <f t="shared" si="1"/>
        <v>0</v>
      </c>
      <c r="BS24" s="54">
        <f t="shared" si="1"/>
        <v>0</v>
      </c>
      <c r="BT24" s="54">
        <f t="shared" si="1"/>
        <v>0</v>
      </c>
      <c r="BU24" s="54">
        <f t="shared" si="1"/>
        <v>0</v>
      </c>
      <c r="BV24" s="54">
        <f t="shared" si="1"/>
        <v>0</v>
      </c>
      <c r="BW24" s="54">
        <f t="shared" si="1"/>
        <v>0</v>
      </c>
      <c r="BX24" s="54">
        <f t="shared" si="1"/>
        <v>0</v>
      </c>
      <c r="BY24" s="54">
        <f t="shared" si="1"/>
        <v>0</v>
      </c>
      <c r="BZ24" s="54">
        <f t="shared" si="1"/>
        <v>0</v>
      </c>
      <c r="CA24" s="54">
        <f t="shared" si="1"/>
        <v>0</v>
      </c>
      <c r="CB24" s="54">
        <f t="shared" si="1"/>
        <v>0</v>
      </c>
      <c r="CC24" s="54">
        <f t="shared" si="1"/>
        <v>0</v>
      </c>
      <c r="CD24" s="54">
        <f t="shared" si="1"/>
        <v>0</v>
      </c>
      <c r="CE24" s="54">
        <f t="shared" si="1"/>
        <v>0</v>
      </c>
    </row>
    <row r="25" spans="1:83" x14ac:dyDescent="0.25">
      <c r="AA25" s="5"/>
      <c r="AB25" s="5"/>
      <c r="AC25" t="s">
        <v>383</v>
      </c>
      <c r="AD25" s="5"/>
      <c r="AE25" s="17">
        <v>9</v>
      </c>
      <c r="AG25" s="126">
        <f>HLOOKUP(AF$4,[1]Anx!$C$86:$CO$121,AE25)</f>
        <v>0</v>
      </c>
      <c r="AH25" s="61">
        <f t="shared" si="2"/>
        <v>0</v>
      </c>
      <c r="AI25" s="129">
        <f>Troupeau!D79</f>
        <v>0</v>
      </c>
      <c r="AK25" s="54">
        <f t="shared" si="3"/>
        <v>0</v>
      </c>
      <c r="AL25" s="54">
        <f t="shared" si="4"/>
        <v>0</v>
      </c>
      <c r="AM25" s="54">
        <f t="shared" si="4"/>
        <v>0</v>
      </c>
      <c r="AN25" s="54">
        <f t="shared" si="0"/>
        <v>0</v>
      </c>
      <c r="AO25" s="54">
        <f t="shared" si="0"/>
        <v>0</v>
      </c>
      <c r="AP25" s="54">
        <f t="shared" si="0"/>
        <v>0</v>
      </c>
      <c r="AQ25" s="54">
        <f t="shared" si="0"/>
        <v>0</v>
      </c>
      <c r="AR25" s="54">
        <f t="shared" si="0"/>
        <v>0</v>
      </c>
      <c r="AS25" s="54">
        <f t="shared" si="0"/>
        <v>0</v>
      </c>
      <c r="AT25" s="54">
        <f t="shared" si="0"/>
        <v>0</v>
      </c>
      <c r="AU25" s="54">
        <f t="shared" si="0"/>
        <v>0</v>
      </c>
      <c r="AV25" s="54">
        <f t="shared" si="0"/>
        <v>0</v>
      </c>
      <c r="AW25" s="54">
        <f t="shared" si="0"/>
        <v>0</v>
      </c>
      <c r="AX25" s="54">
        <f t="shared" si="0"/>
        <v>0</v>
      </c>
      <c r="AY25" s="54">
        <f t="shared" si="0"/>
        <v>0</v>
      </c>
      <c r="AZ25" s="54">
        <f t="shared" si="0"/>
        <v>0</v>
      </c>
      <c r="BA25" s="54">
        <f t="shared" si="0"/>
        <v>0</v>
      </c>
      <c r="BB25" s="54">
        <f t="shared" si="0"/>
        <v>0</v>
      </c>
      <c r="BC25" s="54">
        <f t="shared" si="0"/>
        <v>0</v>
      </c>
      <c r="BD25" s="54">
        <f t="shared" si="1"/>
        <v>0</v>
      </c>
      <c r="BE25" s="54">
        <f t="shared" si="1"/>
        <v>0</v>
      </c>
      <c r="BF25" s="54">
        <f t="shared" si="1"/>
        <v>0</v>
      </c>
      <c r="BG25" s="54">
        <f t="shared" si="1"/>
        <v>0</v>
      </c>
      <c r="BH25" s="54">
        <f t="shared" si="1"/>
        <v>0</v>
      </c>
      <c r="BI25" s="54">
        <f t="shared" si="1"/>
        <v>0</v>
      </c>
      <c r="BJ25" s="54">
        <f t="shared" si="1"/>
        <v>0</v>
      </c>
      <c r="BK25" s="54">
        <f t="shared" si="1"/>
        <v>0</v>
      </c>
      <c r="BL25" s="54">
        <f t="shared" si="1"/>
        <v>0</v>
      </c>
      <c r="BM25" s="54">
        <f t="shared" si="1"/>
        <v>0</v>
      </c>
      <c r="BN25" s="54">
        <f t="shared" si="1"/>
        <v>0</v>
      </c>
      <c r="BO25" s="54">
        <f t="shared" si="1"/>
        <v>0</v>
      </c>
      <c r="BP25" s="54">
        <f t="shared" si="1"/>
        <v>0</v>
      </c>
      <c r="BQ25" s="54">
        <f t="shared" si="1"/>
        <v>0</v>
      </c>
      <c r="BR25" s="54">
        <f t="shared" si="1"/>
        <v>0</v>
      </c>
      <c r="BS25" s="54">
        <f t="shared" si="1"/>
        <v>0</v>
      </c>
      <c r="BT25" s="54">
        <f t="shared" si="1"/>
        <v>0</v>
      </c>
      <c r="BU25" s="54">
        <f t="shared" si="1"/>
        <v>0</v>
      </c>
      <c r="BV25" s="54">
        <f t="shared" si="1"/>
        <v>0</v>
      </c>
      <c r="BW25" s="54">
        <f t="shared" si="1"/>
        <v>0</v>
      </c>
      <c r="BX25" s="54">
        <f t="shared" si="1"/>
        <v>0</v>
      </c>
      <c r="BY25" s="54">
        <f t="shared" si="1"/>
        <v>0</v>
      </c>
      <c r="BZ25" s="54">
        <f t="shared" si="1"/>
        <v>0</v>
      </c>
      <c r="CA25" s="54">
        <f t="shared" si="1"/>
        <v>0</v>
      </c>
      <c r="CB25" s="54">
        <f t="shared" si="1"/>
        <v>0</v>
      </c>
      <c r="CC25" s="54">
        <f t="shared" si="1"/>
        <v>0</v>
      </c>
      <c r="CD25" s="54">
        <f t="shared" si="1"/>
        <v>0</v>
      </c>
      <c r="CE25" s="54">
        <f t="shared" si="1"/>
        <v>0</v>
      </c>
    </row>
    <row r="26" spans="1:83" x14ac:dyDescent="0.25">
      <c r="A26" s="2" t="s">
        <v>169</v>
      </c>
      <c r="B26" s="65" t="s">
        <v>172</v>
      </c>
      <c r="AA26" s="5"/>
      <c r="AB26" s="5"/>
      <c r="AC26" t="s">
        <v>384</v>
      </c>
      <c r="AD26" s="5"/>
      <c r="AE26" s="17">
        <v>10</v>
      </c>
      <c r="AG26" s="126">
        <f>HLOOKUP(AF$4,[1]Anx!$C$86:$CO$121,AE26)</f>
        <v>0</v>
      </c>
      <c r="AH26" s="61">
        <f t="shared" si="2"/>
        <v>0</v>
      </c>
      <c r="AI26" s="129">
        <f>Troupeau!D80</f>
        <v>0</v>
      </c>
      <c r="AK26" s="54">
        <f t="shared" si="3"/>
        <v>0</v>
      </c>
      <c r="AL26" s="54">
        <f t="shared" si="4"/>
        <v>0</v>
      </c>
      <c r="AM26" s="54">
        <f t="shared" si="4"/>
        <v>0</v>
      </c>
      <c r="AN26" s="54">
        <f t="shared" si="0"/>
        <v>0</v>
      </c>
      <c r="AO26" s="54">
        <f t="shared" si="0"/>
        <v>0</v>
      </c>
      <c r="AP26" s="54">
        <f t="shared" si="0"/>
        <v>0</v>
      </c>
      <c r="AQ26" s="54">
        <f t="shared" si="0"/>
        <v>0</v>
      </c>
      <c r="AR26" s="54">
        <f t="shared" si="0"/>
        <v>0</v>
      </c>
      <c r="AS26" s="54">
        <f t="shared" si="0"/>
        <v>0</v>
      </c>
      <c r="AT26" s="54">
        <f t="shared" si="0"/>
        <v>0</v>
      </c>
      <c r="AU26" s="54">
        <f t="shared" si="0"/>
        <v>0</v>
      </c>
      <c r="AV26" s="54">
        <f t="shared" si="0"/>
        <v>0</v>
      </c>
      <c r="AW26" s="54">
        <f t="shared" si="0"/>
        <v>0</v>
      </c>
      <c r="AX26" s="54">
        <f t="shared" si="0"/>
        <v>0</v>
      </c>
      <c r="AY26" s="54">
        <f t="shared" si="0"/>
        <v>0</v>
      </c>
      <c r="AZ26" s="54">
        <f t="shared" si="0"/>
        <v>0</v>
      </c>
      <c r="BA26" s="54">
        <f t="shared" si="0"/>
        <v>0</v>
      </c>
      <c r="BB26" s="54">
        <f t="shared" si="0"/>
        <v>0</v>
      </c>
      <c r="BC26" s="54">
        <f t="shared" si="0"/>
        <v>0</v>
      </c>
      <c r="BD26" s="54">
        <f t="shared" si="1"/>
        <v>0</v>
      </c>
      <c r="BE26" s="54">
        <f t="shared" si="1"/>
        <v>0</v>
      </c>
      <c r="BF26" s="54">
        <f t="shared" si="1"/>
        <v>0</v>
      </c>
      <c r="BG26" s="54">
        <f t="shared" si="1"/>
        <v>0</v>
      </c>
      <c r="BH26" s="54">
        <f t="shared" si="1"/>
        <v>0</v>
      </c>
      <c r="BI26" s="54">
        <f t="shared" si="1"/>
        <v>0</v>
      </c>
      <c r="BJ26" s="54">
        <f t="shared" si="1"/>
        <v>0</v>
      </c>
      <c r="BK26" s="54">
        <f t="shared" si="1"/>
        <v>0</v>
      </c>
      <c r="BL26" s="54">
        <f t="shared" si="1"/>
        <v>0</v>
      </c>
      <c r="BM26" s="54">
        <f t="shared" si="1"/>
        <v>0</v>
      </c>
      <c r="BN26" s="54">
        <f t="shared" si="1"/>
        <v>0</v>
      </c>
      <c r="BO26" s="54">
        <f t="shared" si="1"/>
        <v>0</v>
      </c>
      <c r="BP26" s="54">
        <f t="shared" si="1"/>
        <v>0</v>
      </c>
      <c r="BQ26" s="54">
        <f t="shared" si="1"/>
        <v>0</v>
      </c>
      <c r="BR26" s="54">
        <f t="shared" si="1"/>
        <v>0</v>
      </c>
      <c r="BS26" s="54">
        <f t="shared" si="1"/>
        <v>0</v>
      </c>
      <c r="BT26" s="54">
        <f t="shared" si="1"/>
        <v>0</v>
      </c>
      <c r="BU26" s="54">
        <f t="shared" si="1"/>
        <v>0</v>
      </c>
      <c r="BV26" s="54">
        <f t="shared" si="1"/>
        <v>0</v>
      </c>
      <c r="BW26" s="54">
        <f t="shared" si="1"/>
        <v>0</v>
      </c>
      <c r="BX26" s="54">
        <f t="shared" si="1"/>
        <v>0</v>
      </c>
      <c r="BY26" s="54">
        <f t="shared" si="1"/>
        <v>0</v>
      </c>
      <c r="BZ26" s="54">
        <f t="shared" si="1"/>
        <v>0</v>
      </c>
      <c r="CA26" s="54">
        <f t="shared" si="1"/>
        <v>0</v>
      </c>
      <c r="CB26" s="54">
        <f t="shared" si="1"/>
        <v>0</v>
      </c>
      <c r="CC26" s="54">
        <f t="shared" si="1"/>
        <v>0</v>
      </c>
      <c r="CD26" s="54">
        <f t="shared" si="1"/>
        <v>0</v>
      </c>
      <c r="CE26" s="54">
        <f t="shared" si="1"/>
        <v>0</v>
      </c>
    </row>
    <row r="27" spans="1:83" x14ac:dyDescent="0.25">
      <c r="A27" s="127" t="str">
        <f>A$15</f>
        <v>lot1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52"/>
      <c r="AA27" s="5"/>
      <c r="AB27" s="5"/>
      <c r="AC27" t="s">
        <v>385</v>
      </c>
      <c r="AD27" s="5"/>
      <c r="AE27" s="17">
        <v>11</v>
      </c>
      <c r="AG27" s="126">
        <f>HLOOKUP(AF$4,[1]Anx!$C$86:$CO$121,AE27)</f>
        <v>0</v>
      </c>
      <c r="AH27" s="61">
        <f t="shared" si="2"/>
        <v>0</v>
      </c>
      <c r="AI27" s="129">
        <f>Troupeau!D81</f>
        <v>0</v>
      </c>
      <c r="AK27" s="54">
        <f t="shared" si="3"/>
        <v>0</v>
      </c>
      <c r="AL27" s="54">
        <f t="shared" si="4"/>
        <v>0</v>
      </c>
      <c r="AM27" s="54">
        <f t="shared" si="4"/>
        <v>0</v>
      </c>
      <c r="AN27" s="54">
        <f t="shared" si="0"/>
        <v>0</v>
      </c>
      <c r="AO27" s="54">
        <f t="shared" si="0"/>
        <v>0</v>
      </c>
      <c r="AP27" s="54">
        <f t="shared" si="0"/>
        <v>0</v>
      </c>
      <c r="AQ27" s="54">
        <f t="shared" si="0"/>
        <v>0</v>
      </c>
      <c r="AR27" s="54">
        <f t="shared" si="0"/>
        <v>0</v>
      </c>
      <c r="AS27" s="54">
        <f t="shared" si="0"/>
        <v>0</v>
      </c>
      <c r="AT27" s="54">
        <f t="shared" si="0"/>
        <v>0</v>
      </c>
      <c r="AU27" s="54">
        <f t="shared" si="0"/>
        <v>0</v>
      </c>
      <c r="AV27" s="54">
        <f t="shared" si="0"/>
        <v>0</v>
      </c>
      <c r="AW27" s="54">
        <f t="shared" si="0"/>
        <v>0</v>
      </c>
      <c r="AX27" s="54">
        <f t="shared" si="0"/>
        <v>0</v>
      </c>
      <c r="AY27" s="54">
        <f t="shared" si="0"/>
        <v>0</v>
      </c>
      <c r="AZ27" s="54">
        <f t="shared" si="0"/>
        <v>0</v>
      </c>
      <c r="BA27" s="54">
        <f t="shared" si="0"/>
        <v>0</v>
      </c>
      <c r="BB27" s="54">
        <f t="shared" si="0"/>
        <v>0</v>
      </c>
      <c r="BC27" s="54">
        <f t="shared" si="0"/>
        <v>0</v>
      </c>
      <c r="BD27" s="54">
        <f t="shared" si="1"/>
        <v>0</v>
      </c>
      <c r="BE27" s="54">
        <f t="shared" si="1"/>
        <v>0</v>
      </c>
      <c r="BF27" s="54">
        <f t="shared" si="1"/>
        <v>0</v>
      </c>
      <c r="BG27" s="54">
        <f t="shared" ref="BG27:CE27" si="5">IF($AH27=BG$17,ROUND($AI27/1000,1),0)</f>
        <v>0</v>
      </c>
      <c r="BH27" s="54">
        <f t="shared" si="5"/>
        <v>0</v>
      </c>
      <c r="BI27" s="54">
        <f t="shared" si="5"/>
        <v>0</v>
      </c>
      <c r="BJ27" s="54">
        <f t="shared" si="5"/>
        <v>0</v>
      </c>
      <c r="BK27" s="54">
        <f t="shared" si="5"/>
        <v>0</v>
      </c>
      <c r="BL27" s="54">
        <f t="shared" si="5"/>
        <v>0</v>
      </c>
      <c r="BM27" s="54">
        <f t="shared" si="5"/>
        <v>0</v>
      </c>
      <c r="BN27" s="54">
        <f t="shared" si="5"/>
        <v>0</v>
      </c>
      <c r="BO27" s="54">
        <f t="shared" si="5"/>
        <v>0</v>
      </c>
      <c r="BP27" s="54">
        <f t="shared" si="5"/>
        <v>0</v>
      </c>
      <c r="BQ27" s="54">
        <f t="shared" si="5"/>
        <v>0</v>
      </c>
      <c r="BR27" s="54">
        <f t="shared" si="5"/>
        <v>0</v>
      </c>
      <c r="BS27" s="54">
        <f t="shared" si="5"/>
        <v>0</v>
      </c>
      <c r="BT27" s="54">
        <f t="shared" si="5"/>
        <v>0</v>
      </c>
      <c r="BU27" s="54">
        <f t="shared" si="5"/>
        <v>0</v>
      </c>
      <c r="BV27" s="54">
        <f t="shared" si="5"/>
        <v>0</v>
      </c>
      <c r="BW27" s="54">
        <f t="shared" si="5"/>
        <v>0</v>
      </c>
      <c r="BX27" s="54">
        <f t="shared" si="5"/>
        <v>0</v>
      </c>
      <c r="BY27" s="54">
        <f t="shared" si="5"/>
        <v>0</v>
      </c>
      <c r="BZ27" s="54">
        <f t="shared" si="5"/>
        <v>0</v>
      </c>
      <c r="CA27" s="54">
        <f t="shared" si="5"/>
        <v>0</v>
      </c>
      <c r="CB27" s="54">
        <f t="shared" si="5"/>
        <v>0</v>
      </c>
      <c r="CC27" s="54">
        <f t="shared" si="5"/>
        <v>0</v>
      </c>
      <c r="CD27" s="54">
        <f t="shared" si="5"/>
        <v>0</v>
      </c>
      <c r="CE27" s="54">
        <f t="shared" si="5"/>
        <v>0</v>
      </c>
    </row>
    <row r="28" spans="1:83" x14ac:dyDescent="0.25">
      <c r="A28" s="128" t="str">
        <f>A$16</f>
        <v>lot2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52"/>
      <c r="AB28" s="5"/>
      <c r="AC28" t="s">
        <v>386</v>
      </c>
      <c r="AE28" s="17">
        <v>12</v>
      </c>
      <c r="AG28" s="126">
        <f>HLOOKUP(AF$4,[1]Anx!$C$86:$CO$121,AE28)</f>
        <v>0</v>
      </c>
      <c r="AH28" s="61">
        <f t="shared" si="2"/>
        <v>0</v>
      </c>
      <c r="AI28" s="129">
        <f>Troupeau!D82</f>
        <v>0</v>
      </c>
      <c r="AK28" s="54">
        <f t="shared" si="3"/>
        <v>0</v>
      </c>
      <c r="AL28" s="54">
        <f t="shared" si="4"/>
        <v>0</v>
      </c>
      <c r="AM28" s="54">
        <f t="shared" si="4"/>
        <v>0</v>
      </c>
      <c r="AN28" s="54">
        <f t="shared" si="0"/>
        <v>0</v>
      </c>
      <c r="AO28" s="54">
        <f t="shared" si="0"/>
        <v>0</v>
      </c>
      <c r="AP28" s="54">
        <f t="shared" si="0"/>
        <v>0</v>
      </c>
      <c r="AQ28" s="54">
        <f t="shared" si="0"/>
        <v>0</v>
      </c>
      <c r="AR28" s="54">
        <f t="shared" si="0"/>
        <v>0</v>
      </c>
      <c r="AS28" s="54">
        <f t="shared" si="0"/>
        <v>0</v>
      </c>
      <c r="AT28" s="54">
        <f t="shared" si="0"/>
        <v>0</v>
      </c>
      <c r="AU28" s="54">
        <f t="shared" si="0"/>
        <v>0</v>
      </c>
      <c r="AV28" s="54">
        <f t="shared" si="0"/>
        <v>0</v>
      </c>
      <c r="AW28" s="54">
        <f t="shared" si="0"/>
        <v>0</v>
      </c>
      <c r="AX28" s="54">
        <f t="shared" si="0"/>
        <v>0</v>
      </c>
      <c r="AY28" s="54">
        <f t="shared" si="0"/>
        <v>0</v>
      </c>
      <c r="AZ28" s="54">
        <f t="shared" si="0"/>
        <v>0</v>
      </c>
      <c r="BA28" s="54">
        <f t="shared" si="0"/>
        <v>0</v>
      </c>
      <c r="BB28" s="54">
        <f t="shared" si="0"/>
        <v>0</v>
      </c>
      <c r="BC28" s="54">
        <f t="shared" si="0"/>
        <v>0</v>
      </c>
      <c r="BD28" s="54">
        <f t="shared" ref="BD28:CE37" si="6">IF($AH28=BD$17,ROUND($AI28/1000,1),0)</f>
        <v>0</v>
      </c>
      <c r="BE28" s="54">
        <f t="shared" si="6"/>
        <v>0</v>
      </c>
      <c r="BF28" s="54">
        <f t="shared" si="6"/>
        <v>0</v>
      </c>
      <c r="BG28" s="54">
        <f t="shared" si="6"/>
        <v>0</v>
      </c>
      <c r="BH28" s="54">
        <f t="shared" si="6"/>
        <v>0</v>
      </c>
      <c r="BI28" s="54">
        <f t="shared" si="6"/>
        <v>0</v>
      </c>
      <c r="BJ28" s="54">
        <f t="shared" si="6"/>
        <v>0</v>
      </c>
      <c r="BK28" s="54">
        <f t="shared" si="6"/>
        <v>0</v>
      </c>
      <c r="BL28" s="54">
        <f t="shared" si="6"/>
        <v>0</v>
      </c>
      <c r="BM28" s="54">
        <f t="shared" si="6"/>
        <v>0</v>
      </c>
      <c r="BN28" s="54">
        <f t="shared" si="6"/>
        <v>0</v>
      </c>
      <c r="BO28" s="54">
        <f t="shared" si="6"/>
        <v>0</v>
      </c>
      <c r="BP28" s="54">
        <f t="shared" si="6"/>
        <v>0</v>
      </c>
      <c r="BQ28" s="54">
        <f t="shared" si="6"/>
        <v>0</v>
      </c>
      <c r="BR28" s="54">
        <f t="shared" si="6"/>
        <v>0</v>
      </c>
      <c r="BS28" s="54">
        <f t="shared" si="6"/>
        <v>0</v>
      </c>
      <c r="BT28" s="54">
        <f t="shared" si="6"/>
        <v>0</v>
      </c>
      <c r="BU28" s="54">
        <f t="shared" si="6"/>
        <v>0</v>
      </c>
      <c r="BV28" s="54">
        <f t="shared" si="6"/>
        <v>0</v>
      </c>
      <c r="BW28" s="54">
        <f t="shared" si="6"/>
        <v>0</v>
      </c>
      <c r="BX28" s="54">
        <f t="shared" si="6"/>
        <v>0</v>
      </c>
      <c r="BY28" s="54">
        <f t="shared" si="6"/>
        <v>0</v>
      </c>
      <c r="BZ28" s="54">
        <f t="shared" si="6"/>
        <v>0</v>
      </c>
      <c r="CA28" s="54">
        <f t="shared" si="6"/>
        <v>0</v>
      </c>
      <c r="CB28" s="54">
        <f t="shared" si="6"/>
        <v>0</v>
      </c>
      <c r="CC28" s="54">
        <f t="shared" si="6"/>
        <v>0</v>
      </c>
      <c r="CD28" s="54">
        <f t="shared" si="6"/>
        <v>0</v>
      </c>
      <c r="CE28" s="54">
        <f t="shared" si="6"/>
        <v>0</v>
      </c>
    </row>
    <row r="29" spans="1:83" x14ac:dyDescent="0.25">
      <c r="A29" s="128" t="str">
        <f>A$17</f>
        <v>lot3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2"/>
      <c r="AB29" s="5"/>
      <c r="AC29" t="s">
        <v>387</v>
      </c>
      <c r="AE29" s="17">
        <v>13</v>
      </c>
      <c r="AG29" s="126">
        <f>HLOOKUP(AF$4,[1]Anx!$C$86:$CO$121,AE29)</f>
        <v>0</v>
      </c>
      <c r="AH29" s="61">
        <f t="shared" si="2"/>
        <v>0</v>
      </c>
      <c r="AI29" s="129">
        <f>Troupeau!D83</f>
        <v>0</v>
      </c>
      <c r="AK29" s="54">
        <f t="shared" si="3"/>
        <v>0</v>
      </c>
      <c r="AL29" s="54">
        <f t="shared" si="4"/>
        <v>0</v>
      </c>
      <c r="AM29" s="54">
        <f t="shared" si="4"/>
        <v>0</v>
      </c>
      <c r="AN29" s="54">
        <f t="shared" si="0"/>
        <v>0</v>
      </c>
      <c r="AO29" s="54">
        <f t="shared" si="0"/>
        <v>0</v>
      </c>
      <c r="AP29" s="54">
        <f t="shared" si="0"/>
        <v>0</v>
      </c>
      <c r="AQ29" s="54">
        <f t="shared" si="0"/>
        <v>0</v>
      </c>
      <c r="AR29" s="54">
        <f t="shared" si="0"/>
        <v>0</v>
      </c>
      <c r="AS29" s="54">
        <f t="shared" si="0"/>
        <v>0</v>
      </c>
      <c r="AT29" s="54">
        <f t="shared" si="0"/>
        <v>0</v>
      </c>
      <c r="AU29" s="54">
        <f t="shared" si="0"/>
        <v>0</v>
      </c>
      <c r="AV29" s="54">
        <f t="shared" si="0"/>
        <v>0</v>
      </c>
      <c r="AW29" s="54">
        <f t="shared" si="0"/>
        <v>0</v>
      </c>
      <c r="AX29" s="54">
        <f t="shared" si="0"/>
        <v>0</v>
      </c>
      <c r="AY29" s="54">
        <f t="shared" si="0"/>
        <v>0</v>
      </c>
      <c r="AZ29" s="54">
        <f t="shared" si="0"/>
        <v>0</v>
      </c>
      <c r="BA29" s="54">
        <f t="shared" si="0"/>
        <v>0</v>
      </c>
      <c r="BB29" s="54">
        <f t="shared" si="0"/>
        <v>0</v>
      </c>
      <c r="BC29" s="54">
        <f t="shared" si="0"/>
        <v>0</v>
      </c>
      <c r="BD29" s="54">
        <f t="shared" si="6"/>
        <v>0</v>
      </c>
      <c r="BE29" s="54">
        <f t="shared" si="6"/>
        <v>0</v>
      </c>
      <c r="BF29" s="54">
        <f t="shared" si="6"/>
        <v>0</v>
      </c>
      <c r="BG29" s="54">
        <f t="shared" si="6"/>
        <v>0</v>
      </c>
      <c r="BH29" s="54">
        <f t="shared" si="6"/>
        <v>0</v>
      </c>
      <c r="BI29" s="54">
        <f t="shared" si="6"/>
        <v>0</v>
      </c>
      <c r="BJ29" s="54">
        <f t="shared" si="6"/>
        <v>0</v>
      </c>
      <c r="BK29" s="54">
        <f t="shared" si="6"/>
        <v>0</v>
      </c>
      <c r="BL29" s="54">
        <f t="shared" si="6"/>
        <v>0</v>
      </c>
      <c r="BM29" s="54">
        <f t="shared" si="6"/>
        <v>0</v>
      </c>
      <c r="BN29" s="54">
        <f t="shared" si="6"/>
        <v>0</v>
      </c>
      <c r="BO29" s="54">
        <f t="shared" si="6"/>
        <v>0</v>
      </c>
      <c r="BP29" s="54">
        <f t="shared" si="6"/>
        <v>0</v>
      </c>
      <c r="BQ29" s="54">
        <f t="shared" si="6"/>
        <v>0</v>
      </c>
      <c r="BR29" s="54">
        <f t="shared" si="6"/>
        <v>0</v>
      </c>
      <c r="BS29" s="54">
        <f t="shared" si="6"/>
        <v>0</v>
      </c>
      <c r="BT29" s="54">
        <f t="shared" si="6"/>
        <v>0</v>
      </c>
      <c r="BU29" s="54">
        <f t="shared" si="6"/>
        <v>0</v>
      </c>
      <c r="BV29" s="54">
        <f t="shared" si="6"/>
        <v>0</v>
      </c>
      <c r="BW29" s="54">
        <f t="shared" si="6"/>
        <v>0</v>
      </c>
      <c r="BX29" s="54">
        <f t="shared" si="6"/>
        <v>0</v>
      </c>
      <c r="BY29" s="54">
        <f t="shared" si="6"/>
        <v>0</v>
      </c>
      <c r="BZ29" s="54">
        <f t="shared" si="6"/>
        <v>0</v>
      </c>
      <c r="CA29" s="54">
        <f t="shared" si="6"/>
        <v>0</v>
      </c>
      <c r="CB29" s="54">
        <f t="shared" si="6"/>
        <v>0</v>
      </c>
      <c r="CC29" s="54">
        <f t="shared" si="6"/>
        <v>0</v>
      </c>
      <c r="CD29" s="54">
        <f t="shared" si="6"/>
        <v>0</v>
      </c>
      <c r="CE29" s="54">
        <f t="shared" si="6"/>
        <v>0</v>
      </c>
    </row>
    <row r="30" spans="1:83" x14ac:dyDescent="0.25">
      <c r="A30" s="127" t="str">
        <f>A$18</f>
        <v>lot4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2"/>
      <c r="AB30" s="5"/>
      <c r="AC30" t="s">
        <v>388</v>
      </c>
      <c r="AE30" s="17">
        <v>14</v>
      </c>
      <c r="AG30" s="126">
        <f>HLOOKUP(AF$4,[1]Anx!$C$86:$CO$121,AE30)</f>
        <v>0</v>
      </c>
      <c r="AH30" s="61">
        <f t="shared" si="2"/>
        <v>0</v>
      </c>
      <c r="AI30" s="129">
        <f>Troupeau!D84</f>
        <v>0</v>
      </c>
      <c r="AK30" s="54">
        <f t="shared" si="3"/>
        <v>0</v>
      </c>
      <c r="AL30" s="54">
        <f t="shared" si="4"/>
        <v>0</v>
      </c>
      <c r="AM30" s="54">
        <f t="shared" si="4"/>
        <v>0</v>
      </c>
      <c r="AN30" s="54">
        <f t="shared" si="0"/>
        <v>0</v>
      </c>
      <c r="AO30" s="54">
        <f t="shared" si="0"/>
        <v>0</v>
      </c>
      <c r="AP30" s="54">
        <f t="shared" si="0"/>
        <v>0</v>
      </c>
      <c r="AQ30" s="54">
        <f t="shared" si="0"/>
        <v>0</v>
      </c>
      <c r="AR30" s="54">
        <f t="shared" si="0"/>
        <v>0</v>
      </c>
      <c r="AS30" s="54">
        <f t="shared" si="0"/>
        <v>0</v>
      </c>
      <c r="AT30" s="54">
        <f t="shared" si="0"/>
        <v>0</v>
      </c>
      <c r="AU30" s="54">
        <f t="shared" si="0"/>
        <v>0</v>
      </c>
      <c r="AV30" s="54">
        <f t="shared" si="0"/>
        <v>0</v>
      </c>
      <c r="AW30" s="54">
        <f t="shared" si="0"/>
        <v>0</v>
      </c>
      <c r="AX30" s="54">
        <f t="shared" si="0"/>
        <v>0</v>
      </c>
      <c r="AY30" s="54">
        <f t="shared" si="0"/>
        <v>0</v>
      </c>
      <c r="AZ30" s="54">
        <f t="shared" si="0"/>
        <v>0</v>
      </c>
      <c r="BA30" s="54">
        <f t="shared" si="0"/>
        <v>0</v>
      </c>
      <c r="BB30" s="54">
        <f t="shared" si="0"/>
        <v>0</v>
      </c>
      <c r="BC30" s="54">
        <f t="shared" si="0"/>
        <v>0</v>
      </c>
      <c r="BD30" s="54">
        <f t="shared" si="6"/>
        <v>0</v>
      </c>
      <c r="BE30" s="54">
        <f t="shared" si="6"/>
        <v>0</v>
      </c>
      <c r="BF30" s="54">
        <f t="shared" si="6"/>
        <v>0</v>
      </c>
      <c r="BG30" s="54">
        <f t="shared" si="6"/>
        <v>0</v>
      </c>
      <c r="BH30" s="54">
        <f t="shared" si="6"/>
        <v>0</v>
      </c>
      <c r="BI30" s="54">
        <f t="shared" si="6"/>
        <v>0</v>
      </c>
      <c r="BJ30" s="54">
        <f t="shared" si="6"/>
        <v>0</v>
      </c>
      <c r="BK30" s="54">
        <f t="shared" si="6"/>
        <v>0</v>
      </c>
      <c r="BL30" s="54">
        <f t="shared" si="6"/>
        <v>0</v>
      </c>
      <c r="BM30" s="54">
        <f t="shared" si="6"/>
        <v>0</v>
      </c>
      <c r="BN30" s="54">
        <f t="shared" si="6"/>
        <v>0</v>
      </c>
      <c r="BO30" s="54">
        <f t="shared" si="6"/>
        <v>0</v>
      </c>
      <c r="BP30" s="54">
        <f t="shared" si="6"/>
        <v>0</v>
      </c>
      <c r="BQ30" s="54">
        <f t="shared" si="6"/>
        <v>0</v>
      </c>
      <c r="BR30" s="54">
        <f t="shared" si="6"/>
        <v>0</v>
      </c>
      <c r="BS30" s="54">
        <f t="shared" si="6"/>
        <v>0</v>
      </c>
      <c r="BT30" s="54">
        <f t="shared" si="6"/>
        <v>0</v>
      </c>
      <c r="BU30" s="54">
        <f t="shared" si="6"/>
        <v>0</v>
      </c>
      <c r="BV30" s="54">
        <f t="shared" si="6"/>
        <v>0</v>
      </c>
      <c r="BW30" s="54">
        <f t="shared" si="6"/>
        <v>0</v>
      </c>
      <c r="BX30" s="54">
        <f t="shared" si="6"/>
        <v>0</v>
      </c>
      <c r="BY30" s="54">
        <f t="shared" si="6"/>
        <v>0</v>
      </c>
      <c r="BZ30" s="54">
        <f t="shared" si="6"/>
        <v>0</v>
      </c>
      <c r="CA30" s="54">
        <f t="shared" si="6"/>
        <v>0</v>
      </c>
      <c r="CB30" s="54">
        <f t="shared" si="6"/>
        <v>0</v>
      </c>
      <c r="CC30" s="54">
        <f t="shared" si="6"/>
        <v>0</v>
      </c>
      <c r="CD30" s="54">
        <f t="shared" si="6"/>
        <v>0</v>
      </c>
      <c r="CE30" s="54">
        <f t="shared" si="6"/>
        <v>0</v>
      </c>
    </row>
    <row r="31" spans="1:83" x14ac:dyDescent="0.25">
      <c r="A31" s="128" t="str">
        <f>A$19</f>
        <v>lot5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52"/>
      <c r="AB31" s="5"/>
      <c r="AC31" t="s">
        <v>389</v>
      </c>
      <c r="AE31" s="17">
        <v>15</v>
      </c>
      <c r="AG31" s="126">
        <f>HLOOKUP(AF$4,[1]Anx!$C$86:$CO$121,AE31)</f>
        <v>0</v>
      </c>
      <c r="AH31" s="61">
        <f t="shared" si="2"/>
        <v>0</v>
      </c>
      <c r="AI31" s="129">
        <f>Troupeau!D85</f>
        <v>0</v>
      </c>
      <c r="AK31" s="54">
        <f t="shared" si="3"/>
        <v>0</v>
      </c>
      <c r="AL31" s="54">
        <f t="shared" si="4"/>
        <v>0</v>
      </c>
      <c r="AM31" s="54">
        <f t="shared" si="4"/>
        <v>0</v>
      </c>
      <c r="AN31" s="54">
        <f t="shared" si="0"/>
        <v>0</v>
      </c>
      <c r="AO31" s="54">
        <f t="shared" si="0"/>
        <v>0</v>
      </c>
      <c r="AP31" s="54">
        <f t="shared" si="0"/>
        <v>0</v>
      </c>
      <c r="AQ31" s="54">
        <f t="shared" si="0"/>
        <v>0</v>
      </c>
      <c r="AR31" s="54">
        <f t="shared" si="0"/>
        <v>0</v>
      </c>
      <c r="AS31" s="54">
        <f t="shared" si="0"/>
        <v>0</v>
      </c>
      <c r="AT31" s="54">
        <f t="shared" si="0"/>
        <v>0</v>
      </c>
      <c r="AU31" s="54">
        <f t="shared" si="0"/>
        <v>0</v>
      </c>
      <c r="AV31" s="54">
        <f t="shared" si="0"/>
        <v>0</v>
      </c>
      <c r="AW31" s="54">
        <f t="shared" si="0"/>
        <v>0</v>
      </c>
      <c r="AX31" s="54">
        <f t="shared" si="0"/>
        <v>0</v>
      </c>
      <c r="AY31" s="54">
        <f t="shared" si="0"/>
        <v>0</v>
      </c>
      <c r="AZ31" s="54">
        <f t="shared" si="0"/>
        <v>0</v>
      </c>
      <c r="BA31" s="54">
        <f t="shared" si="0"/>
        <v>0</v>
      </c>
      <c r="BB31" s="54">
        <f t="shared" si="0"/>
        <v>0</v>
      </c>
      <c r="BC31" s="54">
        <f t="shared" si="0"/>
        <v>0</v>
      </c>
      <c r="BD31" s="54">
        <f t="shared" si="6"/>
        <v>0</v>
      </c>
      <c r="BE31" s="54">
        <f t="shared" si="6"/>
        <v>0</v>
      </c>
      <c r="BF31" s="54">
        <f t="shared" si="6"/>
        <v>0</v>
      </c>
      <c r="BG31" s="54">
        <f t="shared" si="6"/>
        <v>0</v>
      </c>
      <c r="BH31" s="54">
        <f t="shared" si="6"/>
        <v>0</v>
      </c>
      <c r="BI31" s="54">
        <f t="shared" si="6"/>
        <v>0</v>
      </c>
      <c r="BJ31" s="54">
        <f t="shared" si="6"/>
        <v>0</v>
      </c>
      <c r="BK31" s="54">
        <f t="shared" si="6"/>
        <v>0</v>
      </c>
      <c r="BL31" s="54">
        <f t="shared" si="6"/>
        <v>0</v>
      </c>
      <c r="BM31" s="54">
        <f t="shared" si="6"/>
        <v>0</v>
      </c>
      <c r="BN31" s="54">
        <f t="shared" si="6"/>
        <v>0</v>
      </c>
      <c r="BO31" s="54">
        <f t="shared" si="6"/>
        <v>0</v>
      </c>
      <c r="BP31" s="54">
        <f t="shared" si="6"/>
        <v>0</v>
      </c>
      <c r="BQ31" s="54">
        <f t="shared" si="6"/>
        <v>0</v>
      </c>
      <c r="BR31" s="54">
        <f t="shared" si="6"/>
        <v>0</v>
      </c>
      <c r="BS31" s="54">
        <f t="shared" si="6"/>
        <v>0</v>
      </c>
      <c r="BT31" s="54">
        <f t="shared" si="6"/>
        <v>0</v>
      </c>
      <c r="BU31" s="54">
        <f t="shared" si="6"/>
        <v>0</v>
      </c>
      <c r="BV31" s="54">
        <f t="shared" si="6"/>
        <v>0</v>
      </c>
      <c r="BW31" s="54">
        <f t="shared" si="6"/>
        <v>0</v>
      </c>
      <c r="BX31" s="54">
        <f t="shared" si="6"/>
        <v>0</v>
      </c>
      <c r="BY31" s="54">
        <f t="shared" si="6"/>
        <v>0</v>
      </c>
      <c r="BZ31" s="54">
        <f t="shared" si="6"/>
        <v>0</v>
      </c>
      <c r="CA31" s="54">
        <f t="shared" si="6"/>
        <v>0</v>
      </c>
      <c r="CB31" s="54">
        <f t="shared" si="6"/>
        <v>0</v>
      </c>
      <c r="CC31" s="54">
        <f t="shared" si="6"/>
        <v>0</v>
      </c>
      <c r="CD31" s="54">
        <f t="shared" si="6"/>
        <v>0</v>
      </c>
      <c r="CE31" s="54">
        <f t="shared" si="6"/>
        <v>0</v>
      </c>
    </row>
    <row r="32" spans="1:83" x14ac:dyDescent="0.25">
      <c r="A32" s="127" t="str">
        <f>A$20</f>
        <v>lot6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52"/>
      <c r="AB32" s="5"/>
      <c r="AC32" t="s">
        <v>390</v>
      </c>
      <c r="AE32" s="17">
        <v>16</v>
      </c>
      <c r="AG32" s="126">
        <f>HLOOKUP(AF$4,[1]Anx!$C$86:$CO$121,AE32)</f>
        <v>0</v>
      </c>
      <c r="AH32" s="61">
        <f t="shared" si="2"/>
        <v>0</v>
      </c>
      <c r="AI32" s="129">
        <f>Troupeau!D86</f>
        <v>0</v>
      </c>
      <c r="AK32" s="54">
        <f t="shared" si="3"/>
        <v>0</v>
      </c>
      <c r="AL32" s="54">
        <f t="shared" si="4"/>
        <v>0</v>
      </c>
      <c r="AM32" s="54">
        <f t="shared" si="4"/>
        <v>0</v>
      </c>
      <c r="AN32" s="54">
        <f t="shared" si="0"/>
        <v>0</v>
      </c>
      <c r="AO32" s="54">
        <f t="shared" si="0"/>
        <v>0</v>
      </c>
      <c r="AP32" s="54">
        <f t="shared" si="0"/>
        <v>0</v>
      </c>
      <c r="AQ32" s="54">
        <f t="shared" si="0"/>
        <v>0</v>
      </c>
      <c r="AR32" s="54">
        <f t="shared" si="0"/>
        <v>0</v>
      </c>
      <c r="AS32" s="54">
        <f t="shared" si="0"/>
        <v>0</v>
      </c>
      <c r="AT32" s="54">
        <f t="shared" si="0"/>
        <v>0</v>
      </c>
      <c r="AU32" s="54">
        <f t="shared" si="0"/>
        <v>0</v>
      </c>
      <c r="AV32" s="54">
        <f t="shared" si="0"/>
        <v>0</v>
      </c>
      <c r="AW32" s="54">
        <f t="shared" si="0"/>
        <v>0</v>
      </c>
      <c r="AX32" s="54">
        <f t="shared" si="0"/>
        <v>0</v>
      </c>
      <c r="AY32" s="54">
        <f t="shared" si="0"/>
        <v>0</v>
      </c>
      <c r="AZ32" s="54">
        <f t="shared" si="0"/>
        <v>0</v>
      </c>
      <c r="BA32" s="54">
        <f t="shared" si="0"/>
        <v>0</v>
      </c>
      <c r="BB32" s="54">
        <f t="shared" si="0"/>
        <v>0</v>
      </c>
      <c r="BC32" s="54">
        <f t="shared" si="0"/>
        <v>0</v>
      </c>
      <c r="BD32" s="54">
        <f t="shared" si="6"/>
        <v>0</v>
      </c>
      <c r="BE32" s="54">
        <f t="shared" si="6"/>
        <v>0</v>
      </c>
      <c r="BF32" s="54">
        <f t="shared" si="6"/>
        <v>0</v>
      </c>
      <c r="BG32" s="54">
        <f t="shared" si="6"/>
        <v>0</v>
      </c>
      <c r="BH32" s="54">
        <f t="shared" si="6"/>
        <v>0</v>
      </c>
      <c r="BI32" s="54">
        <f t="shared" si="6"/>
        <v>0</v>
      </c>
      <c r="BJ32" s="54">
        <f t="shared" si="6"/>
        <v>0</v>
      </c>
      <c r="BK32" s="54">
        <f t="shared" si="6"/>
        <v>0</v>
      </c>
      <c r="BL32" s="54">
        <f t="shared" si="6"/>
        <v>0</v>
      </c>
      <c r="BM32" s="54">
        <f t="shared" si="6"/>
        <v>0</v>
      </c>
      <c r="BN32" s="54">
        <f t="shared" si="6"/>
        <v>0</v>
      </c>
      <c r="BO32" s="54">
        <f t="shared" si="6"/>
        <v>0</v>
      </c>
      <c r="BP32" s="54">
        <f t="shared" si="6"/>
        <v>0</v>
      </c>
      <c r="BQ32" s="54">
        <f t="shared" si="6"/>
        <v>0</v>
      </c>
      <c r="BR32" s="54">
        <f t="shared" si="6"/>
        <v>0</v>
      </c>
      <c r="BS32" s="54">
        <f t="shared" si="6"/>
        <v>0</v>
      </c>
      <c r="BT32" s="54">
        <f t="shared" si="6"/>
        <v>0</v>
      </c>
      <c r="BU32" s="54">
        <f t="shared" si="6"/>
        <v>0</v>
      </c>
      <c r="BV32" s="54">
        <f t="shared" si="6"/>
        <v>0</v>
      </c>
      <c r="BW32" s="54">
        <f t="shared" si="6"/>
        <v>0</v>
      </c>
      <c r="BX32" s="54">
        <f t="shared" si="6"/>
        <v>0</v>
      </c>
      <c r="BY32" s="54">
        <f t="shared" si="6"/>
        <v>0</v>
      </c>
      <c r="BZ32" s="54">
        <f t="shared" si="6"/>
        <v>0</v>
      </c>
      <c r="CA32" s="54">
        <f t="shared" si="6"/>
        <v>0</v>
      </c>
      <c r="CB32" s="54">
        <f t="shared" si="6"/>
        <v>0</v>
      </c>
      <c r="CC32" s="54">
        <f t="shared" si="6"/>
        <v>0</v>
      </c>
      <c r="CD32" s="54">
        <f t="shared" si="6"/>
        <v>0</v>
      </c>
      <c r="CE32" s="54">
        <f t="shared" si="6"/>
        <v>0</v>
      </c>
    </row>
    <row r="33" spans="1:83" x14ac:dyDescent="0.25">
      <c r="A33" s="128" t="str">
        <f>A$21</f>
        <v>lot7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52"/>
      <c r="AB33" s="5"/>
      <c r="AC33" t="s">
        <v>391</v>
      </c>
      <c r="AE33" s="17">
        <v>17</v>
      </c>
      <c r="AG33" s="126">
        <f>HLOOKUP(AF$4,[1]Anx!$C$86:$CO$121,AE33)</f>
        <v>0</v>
      </c>
      <c r="AH33" s="61">
        <f t="shared" si="2"/>
        <v>0</v>
      </c>
      <c r="AI33" s="129">
        <f>Troupeau!D87</f>
        <v>0</v>
      </c>
      <c r="AK33" s="54">
        <f t="shared" si="3"/>
        <v>0</v>
      </c>
      <c r="AL33" s="54">
        <f t="shared" si="4"/>
        <v>0</v>
      </c>
      <c r="AM33" s="54">
        <f t="shared" si="4"/>
        <v>0</v>
      </c>
      <c r="AN33" s="54">
        <f t="shared" si="0"/>
        <v>0</v>
      </c>
      <c r="AO33" s="54">
        <f t="shared" si="0"/>
        <v>0</v>
      </c>
      <c r="AP33" s="54">
        <f t="shared" si="0"/>
        <v>0</v>
      </c>
      <c r="AQ33" s="54">
        <f t="shared" si="0"/>
        <v>0</v>
      </c>
      <c r="AR33" s="54">
        <f t="shared" si="0"/>
        <v>0</v>
      </c>
      <c r="AS33" s="54">
        <f t="shared" si="0"/>
        <v>0</v>
      </c>
      <c r="AT33" s="54">
        <f t="shared" si="0"/>
        <v>0</v>
      </c>
      <c r="AU33" s="54">
        <f t="shared" si="0"/>
        <v>0</v>
      </c>
      <c r="AV33" s="54">
        <f t="shared" si="0"/>
        <v>0</v>
      </c>
      <c r="AW33" s="54">
        <f t="shared" si="0"/>
        <v>0</v>
      </c>
      <c r="AX33" s="54">
        <f t="shared" si="0"/>
        <v>0</v>
      </c>
      <c r="AY33" s="54">
        <f t="shared" si="0"/>
        <v>0</v>
      </c>
      <c r="AZ33" s="54">
        <f t="shared" si="0"/>
        <v>0</v>
      </c>
      <c r="BA33" s="54">
        <f t="shared" si="0"/>
        <v>0</v>
      </c>
      <c r="BB33" s="54">
        <f t="shared" si="0"/>
        <v>0</v>
      </c>
      <c r="BC33" s="54">
        <f t="shared" ref="AN33:BC49" si="7">IF($AH33=BC$17,ROUND($AI33/1000,1),0)</f>
        <v>0</v>
      </c>
      <c r="BD33" s="54">
        <f t="shared" si="6"/>
        <v>0</v>
      </c>
      <c r="BE33" s="54">
        <f t="shared" si="6"/>
        <v>0</v>
      </c>
      <c r="BF33" s="54">
        <f t="shared" si="6"/>
        <v>0</v>
      </c>
      <c r="BG33" s="54">
        <f t="shared" si="6"/>
        <v>0</v>
      </c>
      <c r="BH33" s="54">
        <f t="shared" si="6"/>
        <v>0</v>
      </c>
      <c r="BI33" s="54">
        <f t="shared" si="6"/>
        <v>0</v>
      </c>
      <c r="BJ33" s="54">
        <f t="shared" si="6"/>
        <v>0</v>
      </c>
      <c r="BK33" s="54">
        <f t="shared" si="6"/>
        <v>0</v>
      </c>
      <c r="BL33" s="54">
        <f t="shared" si="6"/>
        <v>0</v>
      </c>
      <c r="BM33" s="54">
        <f t="shared" si="6"/>
        <v>0</v>
      </c>
      <c r="BN33" s="54">
        <f t="shared" si="6"/>
        <v>0</v>
      </c>
      <c r="BO33" s="54">
        <f t="shared" si="6"/>
        <v>0</v>
      </c>
      <c r="BP33" s="54">
        <f t="shared" si="6"/>
        <v>0</v>
      </c>
      <c r="BQ33" s="54">
        <f t="shared" si="6"/>
        <v>0</v>
      </c>
      <c r="BR33" s="54">
        <f t="shared" si="6"/>
        <v>0</v>
      </c>
      <c r="BS33" s="54">
        <f t="shared" si="6"/>
        <v>0</v>
      </c>
      <c r="BT33" s="54">
        <f t="shared" si="6"/>
        <v>0</v>
      </c>
      <c r="BU33" s="54">
        <f t="shared" si="6"/>
        <v>0</v>
      </c>
      <c r="BV33" s="54">
        <f t="shared" si="6"/>
        <v>0</v>
      </c>
      <c r="BW33" s="54">
        <f t="shared" si="6"/>
        <v>0</v>
      </c>
      <c r="BX33" s="54">
        <f t="shared" si="6"/>
        <v>0</v>
      </c>
      <c r="BY33" s="54">
        <f t="shared" si="6"/>
        <v>0</v>
      </c>
      <c r="BZ33" s="54">
        <f t="shared" si="6"/>
        <v>0</v>
      </c>
      <c r="CA33" s="54">
        <f t="shared" si="6"/>
        <v>0</v>
      </c>
      <c r="CB33" s="54">
        <f t="shared" si="6"/>
        <v>0</v>
      </c>
      <c r="CC33" s="54">
        <f t="shared" si="6"/>
        <v>0</v>
      </c>
      <c r="CD33" s="54">
        <f t="shared" si="6"/>
        <v>0</v>
      </c>
      <c r="CE33" s="54">
        <f t="shared" si="6"/>
        <v>0</v>
      </c>
    </row>
    <row r="34" spans="1:83" x14ac:dyDescent="0.25">
      <c r="A34" s="128" t="str">
        <f>A$22</f>
        <v>lot8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52"/>
      <c r="AB34" s="5"/>
      <c r="AC34" t="s">
        <v>392</v>
      </c>
      <c r="AE34" s="17">
        <v>18</v>
      </c>
      <c r="AG34" s="126">
        <f>HLOOKUP(AF$4,[1]Anx!$C$86:$CO$121,AE34)</f>
        <v>0</v>
      </c>
      <c r="AH34" s="61">
        <f t="shared" si="2"/>
        <v>0</v>
      </c>
      <c r="AI34" s="129">
        <f>Troupeau!D88</f>
        <v>0</v>
      </c>
      <c r="AK34" s="54">
        <f t="shared" si="3"/>
        <v>0</v>
      </c>
      <c r="AL34" s="54">
        <f t="shared" si="4"/>
        <v>0</v>
      </c>
      <c r="AM34" s="54">
        <f t="shared" si="4"/>
        <v>0</v>
      </c>
      <c r="AN34" s="54">
        <f t="shared" si="7"/>
        <v>0</v>
      </c>
      <c r="AO34" s="54">
        <f t="shared" si="7"/>
        <v>0</v>
      </c>
      <c r="AP34" s="54">
        <f t="shared" si="7"/>
        <v>0</v>
      </c>
      <c r="AQ34" s="54">
        <f t="shared" si="7"/>
        <v>0</v>
      </c>
      <c r="AR34" s="54">
        <f t="shared" si="7"/>
        <v>0</v>
      </c>
      <c r="AS34" s="54">
        <f t="shared" si="7"/>
        <v>0</v>
      </c>
      <c r="AT34" s="54">
        <f t="shared" si="7"/>
        <v>0</v>
      </c>
      <c r="AU34" s="54">
        <f t="shared" si="7"/>
        <v>0</v>
      </c>
      <c r="AV34" s="54">
        <f t="shared" si="7"/>
        <v>0</v>
      </c>
      <c r="AW34" s="54">
        <f t="shared" si="7"/>
        <v>0</v>
      </c>
      <c r="AX34" s="54">
        <f t="shared" si="7"/>
        <v>0</v>
      </c>
      <c r="AY34" s="54">
        <f t="shared" si="7"/>
        <v>0</v>
      </c>
      <c r="AZ34" s="54">
        <f t="shared" si="7"/>
        <v>0</v>
      </c>
      <c r="BA34" s="54">
        <f t="shared" si="7"/>
        <v>0</v>
      </c>
      <c r="BB34" s="54">
        <f t="shared" si="7"/>
        <v>0</v>
      </c>
      <c r="BC34" s="54">
        <f t="shared" si="7"/>
        <v>0</v>
      </c>
      <c r="BD34" s="54">
        <f t="shared" si="6"/>
        <v>0</v>
      </c>
      <c r="BE34" s="54">
        <f t="shared" si="6"/>
        <v>0</v>
      </c>
      <c r="BF34" s="54">
        <f t="shared" si="6"/>
        <v>0</v>
      </c>
      <c r="BG34" s="54">
        <f t="shared" si="6"/>
        <v>0</v>
      </c>
      <c r="BH34" s="54">
        <f t="shared" si="6"/>
        <v>0</v>
      </c>
      <c r="BI34" s="54">
        <f t="shared" si="6"/>
        <v>0</v>
      </c>
      <c r="BJ34" s="54">
        <f t="shared" si="6"/>
        <v>0</v>
      </c>
      <c r="BK34" s="54">
        <f t="shared" si="6"/>
        <v>0</v>
      </c>
      <c r="BL34" s="54">
        <f t="shared" si="6"/>
        <v>0</v>
      </c>
      <c r="BM34" s="54">
        <f t="shared" si="6"/>
        <v>0</v>
      </c>
      <c r="BN34" s="54">
        <f t="shared" si="6"/>
        <v>0</v>
      </c>
      <c r="BO34" s="54">
        <f t="shared" si="6"/>
        <v>0</v>
      </c>
      <c r="BP34" s="54">
        <f t="shared" si="6"/>
        <v>0</v>
      </c>
      <c r="BQ34" s="54">
        <f t="shared" si="6"/>
        <v>0</v>
      </c>
      <c r="BR34" s="54">
        <f t="shared" si="6"/>
        <v>0</v>
      </c>
      <c r="BS34" s="54">
        <f t="shared" si="6"/>
        <v>0</v>
      </c>
      <c r="BT34" s="54">
        <f t="shared" si="6"/>
        <v>0</v>
      </c>
      <c r="BU34" s="54">
        <f t="shared" si="6"/>
        <v>0</v>
      </c>
      <c r="BV34" s="54">
        <f t="shared" si="6"/>
        <v>0</v>
      </c>
      <c r="BW34" s="54">
        <f t="shared" si="6"/>
        <v>0</v>
      </c>
      <c r="BX34" s="54">
        <f t="shared" si="6"/>
        <v>0</v>
      </c>
      <c r="BY34" s="54">
        <f t="shared" si="6"/>
        <v>0</v>
      </c>
      <c r="BZ34" s="54">
        <f t="shared" si="6"/>
        <v>0</v>
      </c>
      <c r="CA34" s="54">
        <f t="shared" si="6"/>
        <v>0</v>
      </c>
      <c r="CB34" s="54">
        <f t="shared" si="6"/>
        <v>0</v>
      </c>
      <c r="CC34" s="54">
        <f t="shared" si="6"/>
        <v>0</v>
      </c>
      <c r="CD34" s="54">
        <f t="shared" si="6"/>
        <v>0</v>
      </c>
      <c r="CE34" s="54">
        <f t="shared" si="6"/>
        <v>0</v>
      </c>
    </row>
    <row r="35" spans="1:83" x14ac:dyDescent="0.25">
      <c r="A35" s="127" t="str">
        <f>A$23</f>
        <v>lot9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52"/>
      <c r="AB35" s="5"/>
      <c r="AC35" t="s">
        <v>393</v>
      </c>
      <c r="AE35" s="17">
        <v>19</v>
      </c>
      <c r="AG35" s="126">
        <f>HLOOKUP(AF$4,[1]Anx!$C$86:$CO$121,AE35)</f>
        <v>0</v>
      </c>
      <c r="AH35" s="61">
        <f t="shared" si="2"/>
        <v>0</v>
      </c>
      <c r="AI35" s="129">
        <f>Troupeau!D89</f>
        <v>0</v>
      </c>
      <c r="AK35" s="54">
        <f t="shared" si="3"/>
        <v>0</v>
      </c>
      <c r="AL35" s="54">
        <f t="shared" ref="AL35:AM52" si="8">IF($AH35=AL$17,ROUND($AI35/1000,1),0)</f>
        <v>0</v>
      </c>
      <c r="AM35" s="54">
        <f t="shared" si="8"/>
        <v>0</v>
      </c>
      <c r="AN35" s="54">
        <f t="shared" si="7"/>
        <v>0</v>
      </c>
      <c r="AO35" s="54">
        <f t="shared" si="7"/>
        <v>0</v>
      </c>
      <c r="AP35" s="54">
        <f t="shared" si="7"/>
        <v>0</v>
      </c>
      <c r="AQ35" s="54">
        <f t="shared" si="7"/>
        <v>0</v>
      </c>
      <c r="AR35" s="54">
        <f t="shared" si="7"/>
        <v>0</v>
      </c>
      <c r="AS35" s="54">
        <f t="shared" si="7"/>
        <v>0</v>
      </c>
      <c r="AT35" s="54">
        <f t="shared" si="7"/>
        <v>0</v>
      </c>
      <c r="AU35" s="54">
        <f t="shared" si="7"/>
        <v>0</v>
      </c>
      <c r="AV35" s="54">
        <f t="shared" si="7"/>
        <v>0</v>
      </c>
      <c r="AW35" s="54">
        <f t="shared" si="7"/>
        <v>0</v>
      </c>
      <c r="AX35" s="54">
        <f t="shared" si="7"/>
        <v>0</v>
      </c>
      <c r="AY35" s="54">
        <f t="shared" si="7"/>
        <v>0</v>
      </c>
      <c r="AZ35" s="54">
        <f t="shared" si="7"/>
        <v>0</v>
      </c>
      <c r="BA35" s="54">
        <f t="shared" si="7"/>
        <v>0</v>
      </c>
      <c r="BB35" s="54">
        <f t="shared" si="7"/>
        <v>0</v>
      </c>
      <c r="BC35" s="54">
        <f t="shared" si="7"/>
        <v>0</v>
      </c>
      <c r="BD35" s="54">
        <f t="shared" si="6"/>
        <v>0</v>
      </c>
      <c r="BE35" s="54">
        <f t="shared" si="6"/>
        <v>0</v>
      </c>
      <c r="BF35" s="54">
        <f t="shared" si="6"/>
        <v>0</v>
      </c>
      <c r="BG35" s="54">
        <f t="shared" si="6"/>
        <v>0</v>
      </c>
      <c r="BH35" s="54">
        <f t="shared" si="6"/>
        <v>0</v>
      </c>
      <c r="BI35" s="54">
        <f t="shared" si="6"/>
        <v>0</v>
      </c>
      <c r="BJ35" s="54">
        <f t="shared" si="6"/>
        <v>0</v>
      </c>
      <c r="BK35" s="54">
        <f t="shared" si="6"/>
        <v>0</v>
      </c>
      <c r="BL35" s="54">
        <f t="shared" si="6"/>
        <v>0</v>
      </c>
      <c r="BM35" s="54">
        <f t="shared" si="6"/>
        <v>0</v>
      </c>
      <c r="BN35" s="54">
        <f t="shared" si="6"/>
        <v>0</v>
      </c>
      <c r="BO35" s="54">
        <f t="shared" si="6"/>
        <v>0</v>
      </c>
      <c r="BP35" s="54">
        <f t="shared" si="6"/>
        <v>0</v>
      </c>
      <c r="BQ35" s="54">
        <f t="shared" si="6"/>
        <v>0</v>
      </c>
      <c r="BR35" s="54">
        <f t="shared" si="6"/>
        <v>0</v>
      </c>
      <c r="BS35" s="54">
        <f t="shared" si="6"/>
        <v>0</v>
      </c>
      <c r="BT35" s="54">
        <f t="shared" si="6"/>
        <v>0</v>
      </c>
      <c r="BU35" s="54">
        <f t="shared" si="6"/>
        <v>0</v>
      </c>
      <c r="BV35" s="54">
        <f t="shared" si="6"/>
        <v>0</v>
      </c>
      <c r="BW35" s="54">
        <f t="shared" si="6"/>
        <v>0</v>
      </c>
      <c r="BX35" s="54">
        <f t="shared" si="6"/>
        <v>0</v>
      </c>
      <c r="BY35" s="54">
        <f t="shared" si="6"/>
        <v>0</v>
      </c>
      <c r="BZ35" s="54">
        <f t="shared" si="6"/>
        <v>0</v>
      </c>
      <c r="CA35" s="54">
        <f t="shared" si="6"/>
        <v>0</v>
      </c>
      <c r="CB35" s="54">
        <f t="shared" si="6"/>
        <v>0</v>
      </c>
      <c r="CC35" s="54">
        <f t="shared" si="6"/>
        <v>0</v>
      </c>
      <c r="CD35" s="54">
        <f t="shared" si="6"/>
        <v>0</v>
      </c>
      <c r="CE35" s="54">
        <f t="shared" si="6"/>
        <v>0</v>
      </c>
    </row>
    <row r="36" spans="1:83" x14ac:dyDescent="0.25">
      <c r="A36" s="128" t="str">
        <f>A$24</f>
        <v>lot10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52"/>
      <c r="AB36" s="5"/>
      <c r="AC36" t="s">
        <v>394</v>
      </c>
      <c r="AE36" s="17">
        <v>20</v>
      </c>
      <c r="AG36" s="126">
        <f>HLOOKUP(AF$4,[1]Anx!$C$86:$CO$121,AE36)</f>
        <v>0</v>
      </c>
      <c r="AH36" s="61">
        <f t="shared" si="2"/>
        <v>0</v>
      </c>
      <c r="AI36" s="129">
        <f>Troupeau!D90</f>
        <v>0</v>
      </c>
      <c r="AK36" s="54">
        <f t="shared" si="3"/>
        <v>0</v>
      </c>
      <c r="AL36" s="54">
        <f t="shared" si="8"/>
        <v>0</v>
      </c>
      <c r="AM36" s="54">
        <f t="shared" si="8"/>
        <v>0</v>
      </c>
      <c r="AN36" s="54">
        <f t="shared" si="7"/>
        <v>0</v>
      </c>
      <c r="AO36" s="54">
        <f t="shared" si="7"/>
        <v>0</v>
      </c>
      <c r="AP36" s="54">
        <f t="shared" si="7"/>
        <v>0</v>
      </c>
      <c r="AQ36" s="54">
        <f t="shared" si="7"/>
        <v>0</v>
      </c>
      <c r="AR36" s="54">
        <f t="shared" si="7"/>
        <v>0</v>
      </c>
      <c r="AS36" s="54">
        <f t="shared" si="7"/>
        <v>0</v>
      </c>
      <c r="AT36" s="54">
        <f t="shared" si="7"/>
        <v>0</v>
      </c>
      <c r="AU36" s="54">
        <f t="shared" si="7"/>
        <v>0</v>
      </c>
      <c r="AV36" s="54">
        <f t="shared" si="7"/>
        <v>0</v>
      </c>
      <c r="AW36" s="54">
        <f t="shared" si="7"/>
        <v>0</v>
      </c>
      <c r="AX36" s="54">
        <f t="shared" si="7"/>
        <v>0</v>
      </c>
      <c r="AY36" s="54">
        <f t="shared" si="7"/>
        <v>0</v>
      </c>
      <c r="AZ36" s="54">
        <f t="shared" si="7"/>
        <v>0</v>
      </c>
      <c r="BA36" s="54">
        <f t="shared" si="7"/>
        <v>0</v>
      </c>
      <c r="BB36" s="54">
        <f t="shared" si="7"/>
        <v>0</v>
      </c>
      <c r="BC36" s="54">
        <f t="shared" si="7"/>
        <v>0</v>
      </c>
      <c r="BD36" s="54">
        <f t="shared" si="6"/>
        <v>0</v>
      </c>
      <c r="BE36" s="54">
        <f t="shared" si="6"/>
        <v>0</v>
      </c>
      <c r="BF36" s="54">
        <f t="shared" si="6"/>
        <v>0</v>
      </c>
      <c r="BG36" s="54">
        <f t="shared" si="6"/>
        <v>0</v>
      </c>
      <c r="BH36" s="54">
        <f t="shared" si="6"/>
        <v>0</v>
      </c>
      <c r="BI36" s="54">
        <f t="shared" si="6"/>
        <v>0</v>
      </c>
      <c r="BJ36" s="54">
        <f t="shared" si="6"/>
        <v>0</v>
      </c>
      <c r="BK36" s="54">
        <f t="shared" si="6"/>
        <v>0</v>
      </c>
      <c r="BL36" s="54">
        <f t="shared" si="6"/>
        <v>0</v>
      </c>
      <c r="BM36" s="54">
        <f t="shared" si="6"/>
        <v>0</v>
      </c>
      <c r="BN36" s="54">
        <f t="shared" si="6"/>
        <v>0</v>
      </c>
      <c r="BO36" s="54">
        <f t="shared" si="6"/>
        <v>0</v>
      </c>
      <c r="BP36" s="54">
        <f t="shared" si="6"/>
        <v>0</v>
      </c>
      <c r="BQ36" s="54">
        <f t="shared" si="6"/>
        <v>0</v>
      </c>
      <c r="BR36" s="54">
        <f t="shared" si="6"/>
        <v>0</v>
      </c>
      <c r="BS36" s="54">
        <f t="shared" si="6"/>
        <v>0</v>
      </c>
      <c r="BT36" s="54">
        <f t="shared" si="6"/>
        <v>0</v>
      </c>
      <c r="BU36" s="54">
        <f t="shared" si="6"/>
        <v>0</v>
      </c>
      <c r="BV36" s="54">
        <f t="shared" si="6"/>
        <v>0</v>
      </c>
      <c r="BW36" s="54">
        <f t="shared" si="6"/>
        <v>0</v>
      </c>
      <c r="BX36" s="54">
        <f t="shared" si="6"/>
        <v>0</v>
      </c>
      <c r="BY36" s="54">
        <f t="shared" si="6"/>
        <v>0</v>
      </c>
      <c r="BZ36" s="54">
        <f t="shared" si="6"/>
        <v>0</v>
      </c>
      <c r="CA36" s="54">
        <f t="shared" si="6"/>
        <v>0</v>
      </c>
      <c r="CB36" s="54">
        <f t="shared" si="6"/>
        <v>0</v>
      </c>
      <c r="CC36" s="54">
        <f t="shared" si="6"/>
        <v>0</v>
      </c>
      <c r="CD36" s="54">
        <f t="shared" si="6"/>
        <v>0</v>
      </c>
      <c r="CE36" s="54">
        <f t="shared" si="6"/>
        <v>0</v>
      </c>
    </row>
    <row r="37" spans="1:83" x14ac:dyDescent="0.25">
      <c r="AB37" s="5"/>
      <c r="AC37" t="s">
        <v>395</v>
      </c>
      <c r="AE37" s="17">
        <v>21</v>
      </c>
      <c r="AG37" s="126">
        <f>HLOOKUP(AF$4,[1]Anx!$C$86:$CO$121,AE37)</f>
        <v>0</v>
      </c>
      <c r="AH37" s="61">
        <f t="shared" si="2"/>
        <v>0</v>
      </c>
      <c r="AI37" s="129">
        <f>Troupeau!D91</f>
        <v>0</v>
      </c>
      <c r="AK37" s="54">
        <f t="shared" si="3"/>
        <v>0</v>
      </c>
      <c r="AL37" s="54">
        <f t="shared" si="8"/>
        <v>0</v>
      </c>
      <c r="AM37" s="54">
        <f t="shared" si="8"/>
        <v>0</v>
      </c>
      <c r="AN37" s="54">
        <f t="shared" si="7"/>
        <v>0</v>
      </c>
      <c r="AO37" s="54">
        <f t="shared" si="7"/>
        <v>0</v>
      </c>
      <c r="AP37" s="54">
        <f t="shared" si="7"/>
        <v>0</v>
      </c>
      <c r="AQ37" s="54">
        <f t="shared" si="7"/>
        <v>0</v>
      </c>
      <c r="AR37" s="54">
        <f t="shared" si="7"/>
        <v>0</v>
      </c>
      <c r="AS37" s="54">
        <f t="shared" si="7"/>
        <v>0</v>
      </c>
      <c r="AT37" s="54">
        <f t="shared" si="7"/>
        <v>0</v>
      </c>
      <c r="AU37" s="54">
        <f t="shared" si="7"/>
        <v>0</v>
      </c>
      <c r="AV37" s="54">
        <f t="shared" si="7"/>
        <v>0</v>
      </c>
      <c r="AW37" s="54">
        <f t="shared" si="7"/>
        <v>0</v>
      </c>
      <c r="AX37" s="54">
        <f t="shared" si="7"/>
        <v>0</v>
      </c>
      <c r="AY37" s="54">
        <f t="shared" si="7"/>
        <v>0</v>
      </c>
      <c r="AZ37" s="54">
        <f t="shared" si="7"/>
        <v>0</v>
      </c>
      <c r="BA37" s="54">
        <f t="shared" si="7"/>
        <v>0</v>
      </c>
      <c r="BB37" s="54">
        <f t="shared" si="7"/>
        <v>0</v>
      </c>
      <c r="BC37" s="54">
        <f t="shared" si="7"/>
        <v>0</v>
      </c>
      <c r="BD37" s="54">
        <f t="shared" si="6"/>
        <v>0</v>
      </c>
      <c r="BE37" s="54">
        <f t="shared" si="6"/>
        <v>0</v>
      </c>
      <c r="BF37" s="54">
        <f t="shared" si="6"/>
        <v>0</v>
      </c>
      <c r="BG37" s="54">
        <f t="shared" ref="BG37:BV52" si="9">IF($AH37=BG$17,ROUND($AI37/1000,1),0)</f>
        <v>0</v>
      </c>
      <c r="BH37" s="54">
        <f t="shared" si="9"/>
        <v>0</v>
      </c>
      <c r="BI37" s="54">
        <f t="shared" si="9"/>
        <v>0</v>
      </c>
      <c r="BJ37" s="54">
        <f t="shared" si="9"/>
        <v>0</v>
      </c>
      <c r="BK37" s="54">
        <f t="shared" si="9"/>
        <v>0</v>
      </c>
      <c r="BL37" s="54">
        <f t="shared" si="9"/>
        <v>0</v>
      </c>
      <c r="BM37" s="54">
        <f t="shared" si="9"/>
        <v>0</v>
      </c>
      <c r="BN37" s="54">
        <f t="shared" si="9"/>
        <v>0</v>
      </c>
      <c r="BO37" s="54">
        <f t="shared" si="9"/>
        <v>0</v>
      </c>
      <c r="BP37" s="54">
        <f t="shared" si="9"/>
        <v>0</v>
      </c>
      <c r="BQ37" s="54">
        <f t="shared" si="9"/>
        <v>0</v>
      </c>
      <c r="BR37" s="54">
        <f t="shared" si="9"/>
        <v>0</v>
      </c>
      <c r="BS37" s="54">
        <f t="shared" si="9"/>
        <v>0</v>
      </c>
      <c r="BT37" s="54">
        <f t="shared" si="9"/>
        <v>0</v>
      </c>
      <c r="BU37" s="54">
        <f t="shared" si="9"/>
        <v>0</v>
      </c>
      <c r="BV37" s="54">
        <f t="shared" si="9"/>
        <v>0</v>
      </c>
      <c r="BW37" s="54">
        <f t="shared" ref="BW37:CE52" si="10">IF($AH37=BW$17,ROUND($AI37/1000,1),0)</f>
        <v>0</v>
      </c>
      <c r="BX37" s="54">
        <f t="shared" si="10"/>
        <v>0</v>
      </c>
      <c r="BY37" s="54">
        <f t="shared" si="10"/>
        <v>0</v>
      </c>
      <c r="BZ37" s="54">
        <f t="shared" si="10"/>
        <v>0</v>
      </c>
      <c r="CA37" s="54">
        <f t="shared" si="10"/>
        <v>0</v>
      </c>
      <c r="CB37" s="54">
        <f t="shared" si="10"/>
        <v>0</v>
      </c>
      <c r="CC37" s="54">
        <f t="shared" si="10"/>
        <v>0</v>
      </c>
      <c r="CD37" s="54">
        <f t="shared" si="10"/>
        <v>0</v>
      </c>
      <c r="CE37" s="54">
        <f t="shared" si="10"/>
        <v>0</v>
      </c>
    </row>
    <row r="38" spans="1:83" x14ac:dyDescent="0.25">
      <c r="A38" s="2" t="s">
        <v>170</v>
      </c>
      <c r="AB38" s="5"/>
      <c r="AC38" t="s">
        <v>396</v>
      </c>
      <c r="AE38" s="17">
        <v>22</v>
      </c>
      <c r="AG38" s="126">
        <f>HLOOKUP(AF$4,[1]Anx!$C$86:$CO$121,AE38)</f>
        <v>0</v>
      </c>
      <c r="AH38" s="61">
        <f t="shared" si="2"/>
        <v>0</v>
      </c>
      <c r="AI38" s="129">
        <f>Troupeau!D92</f>
        <v>0</v>
      </c>
      <c r="AK38" s="54">
        <f t="shared" si="3"/>
        <v>0</v>
      </c>
      <c r="AL38" s="54">
        <f t="shared" si="8"/>
        <v>0</v>
      </c>
      <c r="AM38" s="54">
        <f t="shared" si="8"/>
        <v>0</v>
      </c>
      <c r="AN38" s="54">
        <f t="shared" si="7"/>
        <v>0</v>
      </c>
      <c r="AO38" s="54">
        <f t="shared" si="7"/>
        <v>0</v>
      </c>
      <c r="AP38" s="54">
        <f t="shared" si="7"/>
        <v>0</v>
      </c>
      <c r="AQ38" s="54">
        <f t="shared" si="7"/>
        <v>0</v>
      </c>
      <c r="AR38" s="54">
        <f t="shared" si="7"/>
        <v>0</v>
      </c>
      <c r="AS38" s="54">
        <f t="shared" si="7"/>
        <v>0</v>
      </c>
      <c r="AT38" s="54">
        <f t="shared" si="7"/>
        <v>0</v>
      </c>
      <c r="AU38" s="54">
        <f t="shared" si="7"/>
        <v>0</v>
      </c>
      <c r="AV38" s="54">
        <f t="shared" si="7"/>
        <v>0</v>
      </c>
      <c r="AW38" s="54">
        <f t="shared" si="7"/>
        <v>0</v>
      </c>
      <c r="AX38" s="54">
        <f t="shared" si="7"/>
        <v>0</v>
      </c>
      <c r="AY38" s="54">
        <f t="shared" si="7"/>
        <v>0</v>
      </c>
      <c r="AZ38" s="54">
        <f t="shared" si="7"/>
        <v>0</v>
      </c>
      <c r="BA38" s="54">
        <f t="shared" si="7"/>
        <v>0</v>
      </c>
      <c r="BB38" s="54">
        <f t="shared" si="7"/>
        <v>0</v>
      </c>
      <c r="BC38" s="54">
        <f t="shared" si="7"/>
        <v>0</v>
      </c>
      <c r="BD38" s="54">
        <f t="shared" ref="BD38:BS52" si="11">IF($AH38=BD$17,ROUND($AI38/1000,1),0)</f>
        <v>0</v>
      </c>
      <c r="BE38" s="54">
        <f t="shared" si="11"/>
        <v>0</v>
      </c>
      <c r="BF38" s="54">
        <f t="shared" si="11"/>
        <v>0</v>
      </c>
      <c r="BG38" s="54">
        <f t="shared" si="11"/>
        <v>0</v>
      </c>
      <c r="BH38" s="54">
        <f t="shared" si="11"/>
        <v>0</v>
      </c>
      <c r="BI38" s="54">
        <f t="shared" si="11"/>
        <v>0</v>
      </c>
      <c r="BJ38" s="54">
        <f t="shared" si="11"/>
        <v>0</v>
      </c>
      <c r="BK38" s="54">
        <f t="shared" si="11"/>
        <v>0</v>
      </c>
      <c r="BL38" s="54">
        <f t="shared" si="11"/>
        <v>0</v>
      </c>
      <c r="BM38" s="54">
        <f t="shared" si="11"/>
        <v>0</v>
      </c>
      <c r="BN38" s="54">
        <f t="shared" si="11"/>
        <v>0</v>
      </c>
      <c r="BO38" s="54">
        <f t="shared" si="11"/>
        <v>0</v>
      </c>
      <c r="BP38" s="54">
        <f t="shared" si="11"/>
        <v>0</v>
      </c>
      <c r="BQ38" s="54">
        <f t="shared" si="11"/>
        <v>0</v>
      </c>
      <c r="BR38" s="54">
        <f t="shared" si="11"/>
        <v>0</v>
      </c>
      <c r="BS38" s="54">
        <f t="shared" si="11"/>
        <v>0</v>
      </c>
      <c r="BT38" s="54">
        <f t="shared" si="9"/>
        <v>0</v>
      </c>
      <c r="BU38" s="54">
        <f t="shared" si="9"/>
        <v>0</v>
      </c>
      <c r="BV38" s="54">
        <f t="shared" si="9"/>
        <v>0</v>
      </c>
      <c r="BW38" s="54">
        <f t="shared" si="10"/>
        <v>0</v>
      </c>
      <c r="BX38" s="54">
        <f t="shared" si="10"/>
        <v>0</v>
      </c>
      <c r="BY38" s="54">
        <f t="shared" si="10"/>
        <v>0</v>
      </c>
      <c r="BZ38" s="54">
        <f t="shared" si="10"/>
        <v>0</v>
      </c>
      <c r="CA38" s="54">
        <f t="shared" si="10"/>
        <v>0</v>
      </c>
      <c r="CB38" s="54">
        <f t="shared" si="10"/>
        <v>0</v>
      </c>
      <c r="CC38" s="54">
        <f t="shared" si="10"/>
        <v>0</v>
      </c>
      <c r="CD38" s="54">
        <f t="shared" si="10"/>
        <v>0</v>
      </c>
      <c r="CE38" s="54">
        <f t="shared" si="10"/>
        <v>0</v>
      </c>
    </row>
    <row r="39" spans="1:83" x14ac:dyDescent="0.25">
      <c r="A39" s="127" t="str">
        <f>A$15</f>
        <v>lot1</v>
      </c>
      <c r="B39" s="61">
        <f>B15*B27</f>
        <v>0</v>
      </c>
      <c r="C39" s="61">
        <f t="shared" ref="C39:Y48" si="12">C15*C27</f>
        <v>0</v>
      </c>
      <c r="D39" s="61">
        <f t="shared" si="12"/>
        <v>0</v>
      </c>
      <c r="E39" s="61">
        <f t="shared" si="12"/>
        <v>0</v>
      </c>
      <c r="F39" s="61">
        <f t="shared" si="12"/>
        <v>0</v>
      </c>
      <c r="G39" s="61">
        <f t="shared" si="12"/>
        <v>0</v>
      </c>
      <c r="H39" s="61">
        <f t="shared" si="12"/>
        <v>0</v>
      </c>
      <c r="I39" s="61">
        <f t="shared" si="12"/>
        <v>0</v>
      </c>
      <c r="J39" s="61">
        <f t="shared" si="12"/>
        <v>0</v>
      </c>
      <c r="K39" s="61">
        <f t="shared" si="12"/>
        <v>0</v>
      </c>
      <c r="L39" s="61">
        <f t="shared" si="12"/>
        <v>0</v>
      </c>
      <c r="M39" s="61">
        <f t="shared" si="12"/>
        <v>0</v>
      </c>
      <c r="N39" s="61">
        <f t="shared" si="12"/>
        <v>0</v>
      </c>
      <c r="O39" s="61">
        <f t="shared" si="12"/>
        <v>0</v>
      </c>
      <c r="P39" s="61">
        <f t="shared" si="12"/>
        <v>0</v>
      </c>
      <c r="Q39" s="61">
        <f t="shared" si="12"/>
        <v>0</v>
      </c>
      <c r="R39" s="61">
        <f t="shared" si="12"/>
        <v>0</v>
      </c>
      <c r="S39" s="61">
        <f t="shared" si="12"/>
        <v>0</v>
      </c>
      <c r="T39" s="61">
        <f t="shared" si="12"/>
        <v>0</v>
      </c>
      <c r="U39" s="61">
        <f t="shared" si="12"/>
        <v>0</v>
      </c>
      <c r="V39" s="61">
        <f t="shared" si="12"/>
        <v>0</v>
      </c>
      <c r="W39" s="61">
        <f t="shared" si="12"/>
        <v>0</v>
      </c>
      <c r="X39" s="61">
        <f t="shared" si="12"/>
        <v>0</v>
      </c>
      <c r="Y39" s="61">
        <f t="shared" si="12"/>
        <v>0</v>
      </c>
      <c r="Z39" s="52"/>
      <c r="AB39" s="5"/>
      <c r="AC39" t="s">
        <v>397</v>
      </c>
      <c r="AE39" s="17">
        <v>23</v>
      </c>
      <c r="AG39" s="126">
        <f>HLOOKUP(AF$4,[1]Anx!$C$86:$CO$121,AE39)</f>
        <v>0</v>
      </c>
      <c r="AH39" s="61">
        <f t="shared" si="2"/>
        <v>0</v>
      </c>
      <c r="AI39" s="129">
        <f>Troupeau!D93</f>
        <v>0</v>
      </c>
      <c r="AK39" s="54">
        <f t="shared" si="3"/>
        <v>0</v>
      </c>
      <c r="AL39" s="54">
        <f t="shared" si="8"/>
        <v>0</v>
      </c>
      <c r="AM39" s="54">
        <f t="shared" si="8"/>
        <v>0</v>
      </c>
      <c r="AN39" s="54">
        <f t="shared" si="7"/>
        <v>0</v>
      </c>
      <c r="AO39" s="54">
        <f t="shared" si="7"/>
        <v>0</v>
      </c>
      <c r="AP39" s="54">
        <f t="shared" si="7"/>
        <v>0</v>
      </c>
      <c r="AQ39" s="54">
        <f t="shared" si="7"/>
        <v>0</v>
      </c>
      <c r="AR39" s="54">
        <f t="shared" si="7"/>
        <v>0</v>
      </c>
      <c r="AS39" s="54">
        <f t="shared" si="7"/>
        <v>0</v>
      </c>
      <c r="AT39" s="54">
        <f t="shared" si="7"/>
        <v>0</v>
      </c>
      <c r="AU39" s="54">
        <f t="shared" si="7"/>
        <v>0</v>
      </c>
      <c r="AV39" s="54">
        <f t="shared" si="7"/>
        <v>0</v>
      </c>
      <c r="AW39" s="54">
        <f t="shared" si="7"/>
        <v>0</v>
      </c>
      <c r="AX39" s="54">
        <f t="shared" si="7"/>
        <v>0</v>
      </c>
      <c r="AY39" s="54">
        <f t="shared" si="7"/>
        <v>0</v>
      </c>
      <c r="AZ39" s="54">
        <f t="shared" si="7"/>
        <v>0</v>
      </c>
      <c r="BA39" s="54">
        <f t="shared" si="7"/>
        <v>0</v>
      </c>
      <c r="BB39" s="54">
        <f t="shared" si="7"/>
        <v>0</v>
      </c>
      <c r="BC39" s="54">
        <f t="shared" si="7"/>
        <v>0</v>
      </c>
      <c r="BD39" s="54">
        <f t="shared" si="11"/>
        <v>0</v>
      </c>
      <c r="BE39" s="54">
        <f t="shared" si="11"/>
        <v>0</v>
      </c>
      <c r="BF39" s="54">
        <f t="shared" si="11"/>
        <v>0</v>
      </c>
      <c r="BG39" s="54">
        <f t="shared" si="11"/>
        <v>0</v>
      </c>
      <c r="BH39" s="54">
        <f t="shared" si="11"/>
        <v>0</v>
      </c>
      <c r="BI39" s="54">
        <f t="shared" si="11"/>
        <v>0</v>
      </c>
      <c r="BJ39" s="54">
        <f t="shared" si="11"/>
        <v>0</v>
      </c>
      <c r="BK39" s="54">
        <f t="shared" si="11"/>
        <v>0</v>
      </c>
      <c r="BL39" s="54">
        <f t="shared" si="11"/>
        <v>0</v>
      </c>
      <c r="BM39" s="54">
        <f t="shared" si="11"/>
        <v>0</v>
      </c>
      <c r="BN39" s="54">
        <f t="shared" si="11"/>
        <v>0</v>
      </c>
      <c r="BO39" s="54">
        <f t="shared" si="11"/>
        <v>0</v>
      </c>
      <c r="BP39" s="54">
        <f t="shared" si="11"/>
        <v>0</v>
      </c>
      <c r="BQ39" s="54">
        <f t="shared" si="11"/>
        <v>0</v>
      </c>
      <c r="BR39" s="54">
        <f t="shared" si="11"/>
        <v>0</v>
      </c>
      <c r="BS39" s="54">
        <f t="shared" si="11"/>
        <v>0</v>
      </c>
      <c r="BT39" s="54">
        <f t="shared" si="9"/>
        <v>0</v>
      </c>
      <c r="BU39" s="54">
        <f t="shared" si="9"/>
        <v>0</v>
      </c>
      <c r="BV39" s="54">
        <f t="shared" si="9"/>
        <v>0</v>
      </c>
      <c r="BW39" s="54">
        <f t="shared" si="10"/>
        <v>0</v>
      </c>
      <c r="BX39" s="54">
        <f t="shared" si="10"/>
        <v>0</v>
      </c>
      <c r="BY39" s="54">
        <f t="shared" si="10"/>
        <v>0</v>
      </c>
      <c r="BZ39" s="54">
        <f t="shared" si="10"/>
        <v>0</v>
      </c>
      <c r="CA39" s="54">
        <f t="shared" si="10"/>
        <v>0</v>
      </c>
      <c r="CB39" s="54">
        <f t="shared" si="10"/>
        <v>0</v>
      </c>
      <c r="CC39" s="54">
        <f t="shared" si="10"/>
        <v>0</v>
      </c>
      <c r="CD39" s="54">
        <f t="shared" si="10"/>
        <v>0</v>
      </c>
      <c r="CE39" s="54">
        <f t="shared" si="10"/>
        <v>0</v>
      </c>
    </row>
    <row r="40" spans="1:83" x14ac:dyDescent="0.25">
      <c r="A40" s="128" t="str">
        <f>A$16</f>
        <v>lot2</v>
      </c>
      <c r="B40" s="61">
        <f t="shared" ref="B40:Q48" si="13">B16*B28</f>
        <v>0</v>
      </c>
      <c r="C40" s="61">
        <f t="shared" si="13"/>
        <v>0</v>
      </c>
      <c r="D40" s="61">
        <f t="shared" si="13"/>
        <v>0</v>
      </c>
      <c r="E40" s="61">
        <f t="shared" si="13"/>
        <v>0</v>
      </c>
      <c r="F40" s="61">
        <f t="shared" si="13"/>
        <v>0</v>
      </c>
      <c r="G40" s="61">
        <f t="shared" si="13"/>
        <v>0</v>
      </c>
      <c r="H40" s="61">
        <f t="shared" si="13"/>
        <v>0</v>
      </c>
      <c r="I40" s="61">
        <f t="shared" si="13"/>
        <v>0</v>
      </c>
      <c r="J40" s="61">
        <f t="shared" si="13"/>
        <v>0</v>
      </c>
      <c r="K40" s="61">
        <f t="shared" si="13"/>
        <v>0</v>
      </c>
      <c r="L40" s="61">
        <f t="shared" si="13"/>
        <v>0</v>
      </c>
      <c r="M40" s="61">
        <f t="shared" si="13"/>
        <v>0</v>
      </c>
      <c r="N40" s="61">
        <f t="shared" si="13"/>
        <v>0</v>
      </c>
      <c r="O40" s="61">
        <f t="shared" si="13"/>
        <v>0</v>
      </c>
      <c r="P40" s="61">
        <f t="shared" si="13"/>
        <v>0</v>
      </c>
      <c r="Q40" s="61">
        <f t="shared" si="13"/>
        <v>0</v>
      </c>
      <c r="R40" s="61">
        <f t="shared" si="12"/>
        <v>0</v>
      </c>
      <c r="S40" s="61">
        <f t="shared" si="12"/>
        <v>0</v>
      </c>
      <c r="T40" s="61">
        <f t="shared" si="12"/>
        <v>0</v>
      </c>
      <c r="U40" s="61">
        <f t="shared" si="12"/>
        <v>0</v>
      </c>
      <c r="V40" s="61">
        <f t="shared" si="12"/>
        <v>0</v>
      </c>
      <c r="W40" s="61">
        <f t="shared" si="12"/>
        <v>0</v>
      </c>
      <c r="X40" s="61">
        <f t="shared" si="12"/>
        <v>0</v>
      </c>
      <c r="Y40" s="61">
        <f t="shared" si="12"/>
        <v>0</v>
      </c>
      <c r="Z40" s="52"/>
      <c r="AB40" s="5"/>
      <c r="AC40" t="s">
        <v>398</v>
      </c>
      <c r="AE40" s="17">
        <v>24</v>
      </c>
      <c r="AG40" s="126">
        <f>HLOOKUP(AF$4,[1]Anx!$C$86:$CO$121,AE40)</f>
        <v>0</v>
      </c>
      <c r="AH40" s="61">
        <f t="shared" si="2"/>
        <v>0</v>
      </c>
      <c r="AI40" s="129">
        <f>Troupeau!D94</f>
        <v>0</v>
      </c>
      <c r="AK40" s="54">
        <f t="shared" si="3"/>
        <v>0</v>
      </c>
      <c r="AL40" s="54">
        <f t="shared" si="8"/>
        <v>0</v>
      </c>
      <c r="AM40" s="54">
        <f t="shared" si="8"/>
        <v>0</v>
      </c>
      <c r="AN40" s="54">
        <f t="shared" si="7"/>
        <v>0</v>
      </c>
      <c r="AO40" s="54">
        <f t="shared" si="7"/>
        <v>0</v>
      </c>
      <c r="AP40" s="54">
        <f t="shared" si="7"/>
        <v>0</v>
      </c>
      <c r="AQ40" s="54">
        <f t="shared" si="7"/>
        <v>0</v>
      </c>
      <c r="AR40" s="54">
        <f t="shared" si="7"/>
        <v>0</v>
      </c>
      <c r="AS40" s="54">
        <f t="shared" si="7"/>
        <v>0</v>
      </c>
      <c r="AT40" s="54">
        <f t="shared" si="7"/>
        <v>0</v>
      </c>
      <c r="AU40" s="54">
        <f t="shared" si="7"/>
        <v>0</v>
      </c>
      <c r="AV40" s="54">
        <f t="shared" si="7"/>
        <v>0</v>
      </c>
      <c r="AW40" s="54">
        <f t="shared" si="7"/>
        <v>0</v>
      </c>
      <c r="AX40" s="54">
        <f t="shared" si="7"/>
        <v>0</v>
      </c>
      <c r="AY40" s="54">
        <f t="shared" si="7"/>
        <v>0</v>
      </c>
      <c r="AZ40" s="54">
        <f t="shared" si="7"/>
        <v>0</v>
      </c>
      <c r="BA40" s="54">
        <f t="shared" si="7"/>
        <v>0</v>
      </c>
      <c r="BB40" s="54">
        <f t="shared" si="7"/>
        <v>0</v>
      </c>
      <c r="BC40" s="54">
        <f t="shared" si="7"/>
        <v>0</v>
      </c>
      <c r="BD40" s="54">
        <f t="shared" si="11"/>
        <v>0</v>
      </c>
      <c r="BE40" s="54">
        <f t="shared" si="11"/>
        <v>0</v>
      </c>
      <c r="BF40" s="54">
        <f t="shared" si="11"/>
        <v>0</v>
      </c>
      <c r="BG40" s="54">
        <f t="shared" si="11"/>
        <v>0</v>
      </c>
      <c r="BH40" s="54">
        <f t="shared" si="11"/>
        <v>0</v>
      </c>
      <c r="BI40" s="54">
        <f t="shared" si="11"/>
        <v>0</v>
      </c>
      <c r="BJ40" s="54">
        <f t="shared" si="11"/>
        <v>0</v>
      </c>
      <c r="BK40" s="54">
        <f t="shared" si="11"/>
        <v>0</v>
      </c>
      <c r="BL40" s="54">
        <f t="shared" si="11"/>
        <v>0</v>
      </c>
      <c r="BM40" s="54">
        <f t="shared" si="11"/>
        <v>0</v>
      </c>
      <c r="BN40" s="54">
        <f t="shared" si="11"/>
        <v>0</v>
      </c>
      <c r="BO40" s="54">
        <f t="shared" si="11"/>
        <v>0</v>
      </c>
      <c r="BP40" s="54">
        <f t="shared" si="11"/>
        <v>0</v>
      </c>
      <c r="BQ40" s="54">
        <f t="shared" si="11"/>
        <v>0</v>
      </c>
      <c r="BR40" s="54">
        <f t="shared" si="11"/>
        <v>0</v>
      </c>
      <c r="BS40" s="54">
        <f t="shared" si="11"/>
        <v>0</v>
      </c>
      <c r="BT40" s="54">
        <f t="shared" si="9"/>
        <v>0</v>
      </c>
      <c r="BU40" s="54">
        <f t="shared" si="9"/>
        <v>0</v>
      </c>
      <c r="BV40" s="54">
        <f t="shared" si="9"/>
        <v>0</v>
      </c>
      <c r="BW40" s="54">
        <f t="shared" si="10"/>
        <v>0</v>
      </c>
      <c r="BX40" s="54">
        <f t="shared" si="10"/>
        <v>0</v>
      </c>
      <c r="BY40" s="54">
        <f t="shared" si="10"/>
        <v>0</v>
      </c>
      <c r="BZ40" s="54">
        <f t="shared" si="10"/>
        <v>0</v>
      </c>
      <c r="CA40" s="54">
        <f t="shared" si="10"/>
        <v>0</v>
      </c>
      <c r="CB40" s="54">
        <f t="shared" si="10"/>
        <v>0</v>
      </c>
      <c r="CC40" s="54">
        <f t="shared" si="10"/>
        <v>0</v>
      </c>
      <c r="CD40" s="54">
        <f t="shared" si="10"/>
        <v>0</v>
      </c>
      <c r="CE40" s="54">
        <f t="shared" si="10"/>
        <v>0</v>
      </c>
    </row>
    <row r="41" spans="1:83" x14ac:dyDescent="0.25">
      <c r="A41" s="128" t="str">
        <f>A$17</f>
        <v>lot3</v>
      </c>
      <c r="B41" s="61">
        <f t="shared" si="13"/>
        <v>0</v>
      </c>
      <c r="C41" s="61">
        <f t="shared" si="12"/>
        <v>0</v>
      </c>
      <c r="D41" s="61">
        <f t="shared" si="12"/>
        <v>0</v>
      </c>
      <c r="E41" s="61">
        <f t="shared" si="12"/>
        <v>0</v>
      </c>
      <c r="F41" s="61">
        <f t="shared" si="12"/>
        <v>0</v>
      </c>
      <c r="G41" s="61">
        <f t="shared" si="12"/>
        <v>0</v>
      </c>
      <c r="H41" s="61">
        <f t="shared" si="12"/>
        <v>0</v>
      </c>
      <c r="I41" s="61">
        <f t="shared" si="12"/>
        <v>0</v>
      </c>
      <c r="J41" s="61">
        <f t="shared" si="12"/>
        <v>0</v>
      </c>
      <c r="K41" s="61">
        <f t="shared" si="12"/>
        <v>0</v>
      </c>
      <c r="L41" s="61">
        <f t="shared" si="12"/>
        <v>0</v>
      </c>
      <c r="M41" s="61">
        <f t="shared" si="12"/>
        <v>0</v>
      </c>
      <c r="N41" s="61">
        <f t="shared" si="12"/>
        <v>0</v>
      </c>
      <c r="O41" s="61">
        <f t="shared" si="12"/>
        <v>0</v>
      </c>
      <c r="P41" s="61">
        <f t="shared" si="12"/>
        <v>0</v>
      </c>
      <c r="Q41" s="61">
        <f t="shared" si="12"/>
        <v>0</v>
      </c>
      <c r="R41" s="61">
        <f t="shared" si="12"/>
        <v>0</v>
      </c>
      <c r="S41" s="61">
        <f t="shared" si="12"/>
        <v>0</v>
      </c>
      <c r="T41" s="61">
        <f t="shared" si="12"/>
        <v>0</v>
      </c>
      <c r="U41" s="61">
        <f t="shared" si="12"/>
        <v>0</v>
      </c>
      <c r="V41" s="61">
        <f t="shared" si="12"/>
        <v>0</v>
      </c>
      <c r="W41" s="61">
        <f t="shared" si="12"/>
        <v>0</v>
      </c>
      <c r="X41" s="61">
        <f t="shared" si="12"/>
        <v>0</v>
      </c>
      <c r="Y41" s="61">
        <f t="shared" si="12"/>
        <v>0</v>
      </c>
      <c r="Z41" s="52"/>
      <c r="AB41" s="5"/>
      <c r="AC41" t="s">
        <v>399</v>
      </c>
      <c r="AE41" s="17">
        <v>25</v>
      </c>
      <c r="AG41" s="126">
        <f>HLOOKUP(AF$4,[1]Anx!$C$86:$CO$121,AE41)</f>
        <v>0</v>
      </c>
      <c r="AH41" s="61">
        <f t="shared" si="2"/>
        <v>0</v>
      </c>
      <c r="AI41" s="129">
        <f>Troupeau!D95</f>
        <v>0</v>
      </c>
      <c r="AK41" s="54">
        <f t="shared" si="3"/>
        <v>0</v>
      </c>
      <c r="AL41" s="54">
        <f t="shared" si="8"/>
        <v>0</v>
      </c>
      <c r="AM41" s="54">
        <f t="shared" si="8"/>
        <v>0</v>
      </c>
      <c r="AN41" s="54">
        <f t="shared" si="7"/>
        <v>0</v>
      </c>
      <c r="AO41" s="54">
        <f t="shared" si="7"/>
        <v>0</v>
      </c>
      <c r="AP41" s="54">
        <f t="shared" si="7"/>
        <v>0</v>
      </c>
      <c r="AQ41" s="54">
        <f t="shared" si="7"/>
        <v>0</v>
      </c>
      <c r="AR41" s="54">
        <f t="shared" si="7"/>
        <v>0</v>
      </c>
      <c r="AS41" s="54">
        <f t="shared" si="7"/>
        <v>0</v>
      </c>
      <c r="AT41" s="54">
        <f t="shared" si="7"/>
        <v>0</v>
      </c>
      <c r="AU41" s="54">
        <f t="shared" si="7"/>
        <v>0</v>
      </c>
      <c r="AV41" s="54">
        <f t="shared" si="7"/>
        <v>0</v>
      </c>
      <c r="AW41" s="54">
        <f t="shared" si="7"/>
        <v>0</v>
      </c>
      <c r="AX41" s="54">
        <f t="shared" si="7"/>
        <v>0</v>
      </c>
      <c r="AY41" s="54">
        <f t="shared" si="7"/>
        <v>0</v>
      </c>
      <c r="AZ41" s="54">
        <f t="shared" si="7"/>
        <v>0</v>
      </c>
      <c r="BA41" s="54">
        <f t="shared" si="7"/>
        <v>0</v>
      </c>
      <c r="BB41" s="54">
        <f t="shared" si="7"/>
        <v>0</v>
      </c>
      <c r="BC41" s="54">
        <f t="shared" si="7"/>
        <v>0</v>
      </c>
      <c r="BD41" s="54">
        <f t="shared" si="11"/>
        <v>0</v>
      </c>
      <c r="BE41" s="54">
        <f t="shared" si="11"/>
        <v>0</v>
      </c>
      <c r="BF41" s="54">
        <f t="shared" si="11"/>
        <v>0</v>
      </c>
      <c r="BG41" s="54">
        <f t="shared" si="11"/>
        <v>0</v>
      </c>
      <c r="BH41" s="54">
        <f t="shared" si="11"/>
        <v>0</v>
      </c>
      <c r="BI41" s="54">
        <f t="shared" si="11"/>
        <v>0</v>
      </c>
      <c r="BJ41" s="54">
        <f t="shared" si="11"/>
        <v>0</v>
      </c>
      <c r="BK41" s="54">
        <f t="shared" si="11"/>
        <v>0</v>
      </c>
      <c r="BL41" s="54">
        <f t="shared" si="11"/>
        <v>0</v>
      </c>
      <c r="BM41" s="54">
        <f t="shared" si="11"/>
        <v>0</v>
      </c>
      <c r="BN41" s="54">
        <f t="shared" si="11"/>
        <v>0</v>
      </c>
      <c r="BO41" s="54">
        <f t="shared" si="11"/>
        <v>0</v>
      </c>
      <c r="BP41" s="54">
        <f t="shared" si="11"/>
        <v>0</v>
      </c>
      <c r="BQ41" s="54">
        <f t="shared" si="11"/>
        <v>0</v>
      </c>
      <c r="BR41" s="54">
        <f t="shared" si="11"/>
        <v>0</v>
      </c>
      <c r="BS41" s="54">
        <f t="shared" si="11"/>
        <v>0</v>
      </c>
      <c r="BT41" s="54">
        <f t="shared" si="9"/>
        <v>0</v>
      </c>
      <c r="BU41" s="54">
        <f t="shared" si="9"/>
        <v>0</v>
      </c>
      <c r="BV41" s="54">
        <f t="shared" si="9"/>
        <v>0</v>
      </c>
      <c r="BW41" s="54">
        <f t="shared" si="10"/>
        <v>0</v>
      </c>
      <c r="BX41" s="54">
        <f t="shared" si="10"/>
        <v>0</v>
      </c>
      <c r="BY41" s="54">
        <f t="shared" si="10"/>
        <v>0</v>
      </c>
      <c r="BZ41" s="54">
        <f t="shared" si="10"/>
        <v>0</v>
      </c>
      <c r="CA41" s="54">
        <f t="shared" si="10"/>
        <v>0</v>
      </c>
      <c r="CB41" s="54">
        <f t="shared" si="10"/>
        <v>0</v>
      </c>
      <c r="CC41" s="54">
        <f t="shared" si="10"/>
        <v>0</v>
      </c>
      <c r="CD41" s="54">
        <f t="shared" si="10"/>
        <v>0</v>
      </c>
      <c r="CE41" s="54">
        <f t="shared" si="10"/>
        <v>0</v>
      </c>
    </row>
    <row r="42" spans="1:83" x14ac:dyDescent="0.25">
      <c r="A42" s="127" t="str">
        <f>A$18</f>
        <v>lot4</v>
      </c>
      <c r="B42" s="61">
        <f t="shared" si="13"/>
        <v>0</v>
      </c>
      <c r="C42" s="61">
        <f t="shared" si="12"/>
        <v>0</v>
      </c>
      <c r="D42" s="61">
        <f t="shared" si="12"/>
        <v>0</v>
      </c>
      <c r="E42" s="61">
        <f t="shared" si="12"/>
        <v>0</v>
      </c>
      <c r="F42" s="61">
        <f t="shared" si="12"/>
        <v>0</v>
      </c>
      <c r="G42" s="61">
        <f t="shared" si="12"/>
        <v>0</v>
      </c>
      <c r="H42" s="61">
        <f t="shared" si="12"/>
        <v>0</v>
      </c>
      <c r="I42" s="61">
        <f t="shared" si="12"/>
        <v>0</v>
      </c>
      <c r="J42" s="61">
        <f t="shared" si="12"/>
        <v>0</v>
      </c>
      <c r="K42" s="61">
        <f t="shared" si="12"/>
        <v>0</v>
      </c>
      <c r="L42" s="61">
        <f t="shared" si="12"/>
        <v>0</v>
      </c>
      <c r="M42" s="61">
        <f t="shared" si="12"/>
        <v>0</v>
      </c>
      <c r="N42" s="61">
        <f t="shared" si="12"/>
        <v>0</v>
      </c>
      <c r="O42" s="61">
        <f t="shared" si="12"/>
        <v>0</v>
      </c>
      <c r="P42" s="61">
        <f t="shared" si="12"/>
        <v>0</v>
      </c>
      <c r="Q42" s="61">
        <f t="shared" si="12"/>
        <v>0</v>
      </c>
      <c r="R42" s="61">
        <f t="shared" si="12"/>
        <v>0</v>
      </c>
      <c r="S42" s="61">
        <f t="shared" si="12"/>
        <v>0</v>
      </c>
      <c r="T42" s="61">
        <f t="shared" si="12"/>
        <v>0</v>
      </c>
      <c r="U42" s="61">
        <f t="shared" si="12"/>
        <v>0</v>
      </c>
      <c r="V42" s="61">
        <f t="shared" si="12"/>
        <v>0</v>
      </c>
      <c r="W42" s="61">
        <f t="shared" si="12"/>
        <v>0</v>
      </c>
      <c r="X42" s="61">
        <f t="shared" si="12"/>
        <v>0</v>
      </c>
      <c r="Y42" s="61">
        <f t="shared" si="12"/>
        <v>0</v>
      </c>
      <c r="Z42" s="52"/>
      <c r="AB42" s="5"/>
      <c r="AC42" t="s">
        <v>400</v>
      </c>
      <c r="AE42" s="17">
        <v>26</v>
      </c>
      <c r="AG42" s="126">
        <f>HLOOKUP(AF$4,[1]Anx!$C$86:$CO$121,AE42)</f>
        <v>0</v>
      </c>
      <c r="AH42" s="61">
        <f t="shared" si="2"/>
        <v>0</v>
      </c>
      <c r="AI42" s="129">
        <f>Troupeau!D96</f>
        <v>0</v>
      </c>
      <c r="AK42" s="54">
        <f t="shared" si="3"/>
        <v>0</v>
      </c>
      <c r="AL42" s="54">
        <f t="shared" si="8"/>
        <v>0</v>
      </c>
      <c r="AM42" s="54">
        <f t="shared" si="8"/>
        <v>0</v>
      </c>
      <c r="AN42" s="54">
        <f t="shared" si="7"/>
        <v>0</v>
      </c>
      <c r="AO42" s="54">
        <f t="shared" si="7"/>
        <v>0</v>
      </c>
      <c r="AP42" s="54">
        <f t="shared" si="7"/>
        <v>0</v>
      </c>
      <c r="AQ42" s="54">
        <f t="shared" si="7"/>
        <v>0</v>
      </c>
      <c r="AR42" s="54">
        <f t="shared" si="7"/>
        <v>0</v>
      </c>
      <c r="AS42" s="54">
        <f t="shared" si="7"/>
        <v>0</v>
      </c>
      <c r="AT42" s="54">
        <f t="shared" si="7"/>
        <v>0</v>
      </c>
      <c r="AU42" s="54">
        <f t="shared" si="7"/>
        <v>0</v>
      </c>
      <c r="AV42" s="54">
        <f t="shared" si="7"/>
        <v>0</v>
      </c>
      <c r="AW42" s="54">
        <f t="shared" si="7"/>
        <v>0</v>
      </c>
      <c r="AX42" s="54">
        <f t="shared" si="7"/>
        <v>0</v>
      </c>
      <c r="AY42" s="54">
        <f t="shared" si="7"/>
        <v>0</v>
      </c>
      <c r="AZ42" s="54">
        <f t="shared" si="7"/>
        <v>0</v>
      </c>
      <c r="BA42" s="54">
        <f t="shared" si="7"/>
        <v>0</v>
      </c>
      <c r="BB42" s="54">
        <f t="shared" si="7"/>
        <v>0</v>
      </c>
      <c r="BC42" s="54">
        <f t="shared" si="7"/>
        <v>0</v>
      </c>
      <c r="BD42" s="54">
        <f t="shared" si="11"/>
        <v>0</v>
      </c>
      <c r="BE42" s="54">
        <f t="shared" si="11"/>
        <v>0</v>
      </c>
      <c r="BF42" s="54">
        <f t="shared" si="11"/>
        <v>0</v>
      </c>
      <c r="BG42" s="54">
        <f t="shared" si="11"/>
        <v>0</v>
      </c>
      <c r="BH42" s="54">
        <f t="shared" si="11"/>
        <v>0</v>
      </c>
      <c r="BI42" s="54">
        <f t="shared" si="11"/>
        <v>0</v>
      </c>
      <c r="BJ42" s="54">
        <f t="shared" si="11"/>
        <v>0</v>
      </c>
      <c r="BK42" s="54">
        <f t="shared" si="11"/>
        <v>0</v>
      </c>
      <c r="BL42" s="54">
        <f t="shared" si="11"/>
        <v>0</v>
      </c>
      <c r="BM42" s="54">
        <f t="shared" si="11"/>
        <v>0</v>
      </c>
      <c r="BN42" s="54">
        <f t="shared" si="11"/>
        <v>0</v>
      </c>
      <c r="BO42" s="54">
        <f t="shared" si="11"/>
        <v>0</v>
      </c>
      <c r="BP42" s="54">
        <f t="shared" si="11"/>
        <v>0</v>
      </c>
      <c r="BQ42" s="54">
        <f t="shared" si="11"/>
        <v>0</v>
      </c>
      <c r="BR42" s="54">
        <f t="shared" si="11"/>
        <v>0</v>
      </c>
      <c r="BS42" s="54">
        <f t="shared" si="11"/>
        <v>0</v>
      </c>
      <c r="BT42" s="54">
        <f t="shared" si="9"/>
        <v>0</v>
      </c>
      <c r="BU42" s="54">
        <f t="shared" si="9"/>
        <v>0</v>
      </c>
      <c r="BV42" s="54">
        <f t="shared" si="9"/>
        <v>0</v>
      </c>
      <c r="BW42" s="54">
        <f t="shared" si="10"/>
        <v>0</v>
      </c>
      <c r="BX42" s="54">
        <f t="shared" si="10"/>
        <v>0</v>
      </c>
      <c r="BY42" s="54">
        <f t="shared" si="10"/>
        <v>0</v>
      </c>
      <c r="BZ42" s="54">
        <f t="shared" si="10"/>
        <v>0</v>
      </c>
      <c r="CA42" s="54">
        <f t="shared" si="10"/>
        <v>0</v>
      </c>
      <c r="CB42" s="54">
        <f t="shared" si="10"/>
        <v>0</v>
      </c>
      <c r="CC42" s="54">
        <f t="shared" si="10"/>
        <v>0</v>
      </c>
      <c r="CD42" s="54">
        <f t="shared" si="10"/>
        <v>0</v>
      </c>
      <c r="CE42" s="54">
        <f t="shared" si="10"/>
        <v>0</v>
      </c>
    </row>
    <row r="43" spans="1:83" x14ac:dyDescent="0.25">
      <c r="A43" s="128" t="str">
        <f>A$19</f>
        <v>lot5</v>
      </c>
      <c r="B43" s="61">
        <f t="shared" si="13"/>
        <v>0</v>
      </c>
      <c r="C43" s="61">
        <f t="shared" si="12"/>
        <v>0</v>
      </c>
      <c r="D43" s="61">
        <f t="shared" si="12"/>
        <v>0</v>
      </c>
      <c r="E43" s="61">
        <f t="shared" si="12"/>
        <v>0</v>
      </c>
      <c r="F43" s="61">
        <f t="shared" si="12"/>
        <v>0</v>
      </c>
      <c r="G43" s="61">
        <f t="shared" si="12"/>
        <v>0</v>
      </c>
      <c r="H43" s="61">
        <f t="shared" si="12"/>
        <v>0</v>
      </c>
      <c r="I43" s="61">
        <f t="shared" si="12"/>
        <v>0</v>
      </c>
      <c r="J43" s="61">
        <f t="shared" si="12"/>
        <v>0</v>
      </c>
      <c r="K43" s="61">
        <f t="shared" si="12"/>
        <v>0</v>
      </c>
      <c r="L43" s="61">
        <f t="shared" si="12"/>
        <v>0</v>
      </c>
      <c r="M43" s="61">
        <f t="shared" si="12"/>
        <v>0</v>
      </c>
      <c r="N43" s="61">
        <f t="shared" si="12"/>
        <v>0</v>
      </c>
      <c r="O43" s="61">
        <f t="shared" si="12"/>
        <v>0</v>
      </c>
      <c r="P43" s="61">
        <f t="shared" si="12"/>
        <v>0</v>
      </c>
      <c r="Q43" s="61">
        <f t="shared" si="12"/>
        <v>0</v>
      </c>
      <c r="R43" s="61">
        <f t="shared" si="12"/>
        <v>0</v>
      </c>
      <c r="S43" s="61">
        <f t="shared" si="12"/>
        <v>0</v>
      </c>
      <c r="T43" s="61">
        <f t="shared" si="12"/>
        <v>0</v>
      </c>
      <c r="U43" s="61">
        <f t="shared" si="12"/>
        <v>0</v>
      </c>
      <c r="V43" s="61">
        <f t="shared" si="12"/>
        <v>0</v>
      </c>
      <c r="W43" s="61">
        <f t="shared" si="12"/>
        <v>0</v>
      </c>
      <c r="X43" s="61">
        <f t="shared" si="12"/>
        <v>0</v>
      </c>
      <c r="Y43" s="61">
        <f t="shared" si="12"/>
        <v>0</v>
      </c>
      <c r="Z43" s="52"/>
      <c r="AB43" s="5"/>
      <c r="AC43" t="s">
        <v>401</v>
      </c>
      <c r="AE43" s="17">
        <v>27</v>
      </c>
      <c r="AG43" s="126">
        <f>HLOOKUP(AF$4,[1]Anx!$C$86:$CO$121,AE43)</f>
        <v>0</v>
      </c>
      <c r="AH43" s="61">
        <f t="shared" si="2"/>
        <v>0</v>
      </c>
      <c r="AI43" s="129">
        <f>Troupeau!D97</f>
        <v>0</v>
      </c>
      <c r="AK43" s="54">
        <f t="shared" si="3"/>
        <v>0</v>
      </c>
      <c r="AL43" s="54">
        <f t="shared" si="8"/>
        <v>0</v>
      </c>
      <c r="AM43" s="54">
        <f t="shared" si="8"/>
        <v>0</v>
      </c>
      <c r="AN43" s="54">
        <f t="shared" si="7"/>
        <v>0</v>
      </c>
      <c r="AO43" s="54">
        <f t="shared" si="7"/>
        <v>0</v>
      </c>
      <c r="AP43" s="54">
        <f t="shared" si="7"/>
        <v>0</v>
      </c>
      <c r="AQ43" s="54">
        <f t="shared" si="7"/>
        <v>0</v>
      </c>
      <c r="AR43" s="54">
        <f t="shared" si="7"/>
        <v>0</v>
      </c>
      <c r="AS43" s="54">
        <f t="shared" si="7"/>
        <v>0</v>
      </c>
      <c r="AT43" s="54">
        <f t="shared" si="7"/>
        <v>0</v>
      </c>
      <c r="AU43" s="54">
        <f t="shared" si="7"/>
        <v>0</v>
      </c>
      <c r="AV43" s="54">
        <f t="shared" si="7"/>
        <v>0</v>
      </c>
      <c r="AW43" s="54">
        <f t="shared" si="7"/>
        <v>0</v>
      </c>
      <c r="AX43" s="54">
        <f t="shared" si="7"/>
        <v>0</v>
      </c>
      <c r="AY43" s="54">
        <f t="shared" si="7"/>
        <v>0</v>
      </c>
      <c r="AZ43" s="54">
        <f t="shared" si="7"/>
        <v>0</v>
      </c>
      <c r="BA43" s="54">
        <f t="shared" si="7"/>
        <v>0</v>
      </c>
      <c r="BB43" s="54">
        <f t="shared" si="7"/>
        <v>0</v>
      </c>
      <c r="BC43" s="54">
        <f t="shared" si="7"/>
        <v>0</v>
      </c>
      <c r="BD43" s="54">
        <f t="shared" si="11"/>
        <v>0</v>
      </c>
      <c r="BE43" s="54">
        <f t="shared" si="11"/>
        <v>0</v>
      </c>
      <c r="BF43" s="54">
        <f t="shared" si="11"/>
        <v>0</v>
      </c>
      <c r="BG43" s="54">
        <f t="shared" si="11"/>
        <v>0</v>
      </c>
      <c r="BH43" s="54">
        <f t="shared" si="11"/>
        <v>0</v>
      </c>
      <c r="BI43" s="54">
        <f t="shared" si="11"/>
        <v>0</v>
      </c>
      <c r="BJ43" s="54">
        <f t="shared" si="11"/>
        <v>0</v>
      </c>
      <c r="BK43" s="54">
        <f t="shared" si="11"/>
        <v>0</v>
      </c>
      <c r="BL43" s="54">
        <f t="shared" si="11"/>
        <v>0</v>
      </c>
      <c r="BM43" s="54">
        <f t="shared" si="11"/>
        <v>0</v>
      </c>
      <c r="BN43" s="54">
        <f t="shared" si="11"/>
        <v>0</v>
      </c>
      <c r="BO43" s="54">
        <f t="shared" si="11"/>
        <v>0</v>
      </c>
      <c r="BP43" s="54">
        <f t="shared" si="11"/>
        <v>0</v>
      </c>
      <c r="BQ43" s="54">
        <f t="shared" si="11"/>
        <v>0</v>
      </c>
      <c r="BR43" s="54">
        <f t="shared" si="11"/>
        <v>0</v>
      </c>
      <c r="BS43" s="54">
        <f t="shared" si="11"/>
        <v>0</v>
      </c>
      <c r="BT43" s="54">
        <f t="shared" si="9"/>
        <v>0</v>
      </c>
      <c r="BU43" s="54">
        <f t="shared" si="9"/>
        <v>0</v>
      </c>
      <c r="BV43" s="54">
        <f t="shared" si="9"/>
        <v>0</v>
      </c>
      <c r="BW43" s="54">
        <f t="shared" si="10"/>
        <v>0</v>
      </c>
      <c r="BX43" s="54">
        <f t="shared" si="10"/>
        <v>0</v>
      </c>
      <c r="BY43" s="54">
        <f t="shared" si="10"/>
        <v>0</v>
      </c>
      <c r="BZ43" s="54">
        <f t="shared" si="10"/>
        <v>0</v>
      </c>
      <c r="CA43" s="54">
        <f t="shared" si="10"/>
        <v>0</v>
      </c>
      <c r="CB43" s="54">
        <f t="shared" si="10"/>
        <v>0</v>
      </c>
      <c r="CC43" s="54">
        <f t="shared" si="10"/>
        <v>0</v>
      </c>
      <c r="CD43" s="54">
        <f t="shared" si="10"/>
        <v>0</v>
      </c>
      <c r="CE43" s="54">
        <f t="shared" si="10"/>
        <v>0</v>
      </c>
    </row>
    <row r="44" spans="1:83" x14ac:dyDescent="0.25">
      <c r="A44" s="127" t="str">
        <f>A$20</f>
        <v>lot6</v>
      </c>
      <c r="B44" s="61">
        <f t="shared" si="13"/>
        <v>0</v>
      </c>
      <c r="C44" s="61">
        <f t="shared" si="12"/>
        <v>0</v>
      </c>
      <c r="D44" s="61">
        <f t="shared" si="12"/>
        <v>0</v>
      </c>
      <c r="E44" s="61">
        <f t="shared" si="12"/>
        <v>0</v>
      </c>
      <c r="F44" s="61">
        <f t="shared" si="12"/>
        <v>0</v>
      </c>
      <c r="G44" s="61">
        <f t="shared" si="12"/>
        <v>0</v>
      </c>
      <c r="H44" s="61">
        <f t="shared" si="12"/>
        <v>0</v>
      </c>
      <c r="I44" s="61">
        <f t="shared" si="12"/>
        <v>0</v>
      </c>
      <c r="J44" s="61">
        <f t="shared" si="12"/>
        <v>0</v>
      </c>
      <c r="K44" s="61">
        <f t="shared" si="12"/>
        <v>0</v>
      </c>
      <c r="L44" s="61">
        <f t="shared" si="12"/>
        <v>0</v>
      </c>
      <c r="M44" s="61">
        <f t="shared" si="12"/>
        <v>0</v>
      </c>
      <c r="N44" s="61">
        <f t="shared" si="12"/>
        <v>0</v>
      </c>
      <c r="O44" s="61">
        <f t="shared" si="12"/>
        <v>0</v>
      </c>
      <c r="P44" s="61">
        <f t="shared" si="12"/>
        <v>0</v>
      </c>
      <c r="Q44" s="61">
        <f t="shared" si="12"/>
        <v>0</v>
      </c>
      <c r="R44" s="61">
        <f t="shared" si="12"/>
        <v>0</v>
      </c>
      <c r="S44" s="61">
        <f t="shared" si="12"/>
        <v>0</v>
      </c>
      <c r="T44" s="61">
        <f t="shared" si="12"/>
        <v>0</v>
      </c>
      <c r="U44" s="61">
        <f t="shared" si="12"/>
        <v>0</v>
      </c>
      <c r="V44" s="61">
        <f t="shared" si="12"/>
        <v>0</v>
      </c>
      <c r="W44" s="61">
        <f t="shared" si="12"/>
        <v>0</v>
      </c>
      <c r="X44" s="61">
        <f t="shared" si="12"/>
        <v>0</v>
      </c>
      <c r="Y44" s="61">
        <f t="shared" si="12"/>
        <v>0</v>
      </c>
      <c r="Z44" s="52"/>
      <c r="AB44" s="5"/>
      <c r="AC44" t="s">
        <v>402</v>
      </c>
      <c r="AE44" s="17">
        <v>28</v>
      </c>
      <c r="AG44" s="126">
        <f>HLOOKUP(AF$4,[1]Anx!$C$86:$CO$121,AE44)</f>
        <v>0</v>
      </c>
      <c r="AH44" s="61">
        <f t="shared" si="2"/>
        <v>0</v>
      </c>
      <c r="AI44" s="129">
        <f>Troupeau!D98</f>
        <v>0</v>
      </c>
      <c r="AK44" s="54">
        <f t="shared" si="3"/>
        <v>0</v>
      </c>
      <c r="AL44" s="54">
        <f t="shared" si="8"/>
        <v>0</v>
      </c>
      <c r="AM44" s="54">
        <f t="shared" si="8"/>
        <v>0</v>
      </c>
      <c r="AN44" s="54">
        <f t="shared" si="7"/>
        <v>0</v>
      </c>
      <c r="AO44" s="54">
        <f t="shared" si="7"/>
        <v>0</v>
      </c>
      <c r="AP44" s="54">
        <f t="shared" si="7"/>
        <v>0</v>
      </c>
      <c r="AQ44" s="54">
        <f t="shared" si="7"/>
        <v>0</v>
      </c>
      <c r="AR44" s="54">
        <f t="shared" si="7"/>
        <v>0</v>
      </c>
      <c r="AS44" s="54">
        <f t="shared" si="7"/>
        <v>0</v>
      </c>
      <c r="AT44" s="54">
        <f t="shared" si="7"/>
        <v>0</v>
      </c>
      <c r="AU44" s="54">
        <f t="shared" si="7"/>
        <v>0</v>
      </c>
      <c r="AV44" s="54">
        <f t="shared" si="7"/>
        <v>0</v>
      </c>
      <c r="AW44" s="54">
        <f t="shared" si="7"/>
        <v>0</v>
      </c>
      <c r="AX44" s="54">
        <f t="shared" si="7"/>
        <v>0</v>
      </c>
      <c r="AY44" s="54">
        <f t="shared" si="7"/>
        <v>0</v>
      </c>
      <c r="AZ44" s="54">
        <f t="shared" si="7"/>
        <v>0</v>
      </c>
      <c r="BA44" s="54">
        <f t="shared" si="7"/>
        <v>0</v>
      </c>
      <c r="BB44" s="54">
        <f t="shared" si="7"/>
        <v>0</v>
      </c>
      <c r="BC44" s="54">
        <f t="shared" si="7"/>
        <v>0</v>
      </c>
      <c r="BD44" s="54">
        <f t="shared" si="11"/>
        <v>0</v>
      </c>
      <c r="BE44" s="54">
        <f t="shared" si="11"/>
        <v>0</v>
      </c>
      <c r="BF44" s="54">
        <f t="shared" si="11"/>
        <v>0</v>
      </c>
      <c r="BG44" s="54">
        <f t="shared" si="11"/>
        <v>0</v>
      </c>
      <c r="BH44" s="54">
        <f t="shared" si="11"/>
        <v>0</v>
      </c>
      <c r="BI44" s="54">
        <f t="shared" si="11"/>
        <v>0</v>
      </c>
      <c r="BJ44" s="54">
        <f t="shared" si="11"/>
        <v>0</v>
      </c>
      <c r="BK44" s="54">
        <f t="shared" si="11"/>
        <v>0</v>
      </c>
      <c r="BL44" s="54">
        <f t="shared" si="11"/>
        <v>0</v>
      </c>
      <c r="BM44" s="54">
        <f t="shared" si="11"/>
        <v>0</v>
      </c>
      <c r="BN44" s="54">
        <f t="shared" si="11"/>
        <v>0</v>
      </c>
      <c r="BO44" s="54">
        <f t="shared" si="11"/>
        <v>0</v>
      </c>
      <c r="BP44" s="54">
        <f t="shared" si="11"/>
        <v>0</v>
      </c>
      <c r="BQ44" s="54">
        <f t="shared" si="11"/>
        <v>0</v>
      </c>
      <c r="BR44" s="54">
        <f t="shared" si="11"/>
        <v>0</v>
      </c>
      <c r="BS44" s="54">
        <f t="shared" si="11"/>
        <v>0</v>
      </c>
      <c r="BT44" s="54">
        <f t="shared" si="9"/>
        <v>0</v>
      </c>
      <c r="BU44" s="54">
        <f t="shared" si="9"/>
        <v>0</v>
      </c>
      <c r="BV44" s="54">
        <f t="shared" si="9"/>
        <v>0</v>
      </c>
      <c r="BW44" s="54">
        <f t="shared" si="10"/>
        <v>0</v>
      </c>
      <c r="BX44" s="54">
        <f t="shared" si="10"/>
        <v>0</v>
      </c>
      <c r="BY44" s="54">
        <f t="shared" si="10"/>
        <v>0</v>
      </c>
      <c r="BZ44" s="54">
        <f t="shared" si="10"/>
        <v>0</v>
      </c>
      <c r="CA44" s="54">
        <f t="shared" si="10"/>
        <v>0</v>
      </c>
      <c r="CB44" s="54">
        <f t="shared" si="10"/>
        <v>0</v>
      </c>
      <c r="CC44" s="54">
        <f t="shared" si="10"/>
        <v>0</v>
      </c>
      <c r="CD44" s="54">
        <f t="shared" si="10"/>
        <v>0</v>
      </c>
      <c r="CE44" s="54">
        <f t="shared" si="10"/>
        <v>0</v>
      </c>
    </row>
    <row r="45" spans="1:83" x14ac:dyDescent="0.25">
      <c r="A45" s="128" t="str">
        <f>A$21</f>
        <v>lot7</v>
      </c>
      <c r="B45" s="61">
        <f t="shared" si="13"/>
        <v>0</v>
      </c>
      <c r="C45" s="61">
        <f t="shared" si="12"/>
        <v>0</v>
      </c>
      <c r="D45" s="61">
        <f t="shared" si="12"/>
        <v>0</v>
      </c>
      <c r="E45" s="61">
        <f t="shared" si="12"/>
        <v>0</v>
      </c>
      <c r="F45" s="61">
        <f t="shared" si="12"/>
        <v>0</v>
      </c>
      <c r="G45" s="61">
        <f t="shared" si="12"/>
        <v>0</v>
      </c>
      <c r="H45" s="61">
        <f t="shared" si="12"/>
        <v>0</v>
      </c>
      <c r="I45" s="61">
        <f t="shared" si="12"/>
        <v>0</v>
      </c>
      <c r="J45" s="61">
        <f t="shared" si="12"/>
        <v>0</v>
      </c>
      <c r="K45" s="61">
        <f t="shared" si="12"/>
        <v>0</v>
      </c>
      <c r="L45" s="61">
        <f t="shared" si="12"/>
        <v>0</v>
      </c>
      <c r="M45" s="61">
        <f t="shared" si="12"/>
        <v>0</v>
      </c>
      <c r="N45" s="61">
        <f t="shared" si="12"/>
        <v>0</v>
      </c>
      <c r="O45" s="61">
        <f t="shared" si="12"/>
        <v>0</v>
      </c>
      <c r="P45" s="61">
        <f t="shared" si="12"/>
        <v>0</v>
      </c>
      <c r="Q45" s="61">
        <f t="shared" si="12"/>
        <v>0</v>
      </c>
      <c r="R45" s="61">
        <f t="shared" si="12"/>
        <v>0</v>
      </c>
      <c r="S45" s="61">
        <f t="shared" si="12"/>
        <v>0</v>
      </c>
      <c r="T45" s="61">
        <f t="shared" si="12"/>
        <v>0</v>
      </c>
      <c r="U45" s="61">
        <f t="shared" si="12"/>
        <v>0</v>
      </c>
      <c r="V45" s="61">
        <f t="shared" si="12"/>
        <v>0</v>
      </c>
      <c r="W45" s="61">
        <f t="shared" si="12"/>
        <v>0</v>
      </c>
      <c r="X45" s="61">
        <f t="shared" si="12"/>
        <v>0</v>
      </c>
      <c r="Y45" s="61">
        <f t="shared" si="12"/>
        <v>0</v>
      </c>
      <c r="Z45" s="52"/>
      <c r="AB45" s="5"/>
      <c r="AC45" t="s">
        <v>403</v>
      </c>
      <c r="AE45" s="17">
        <v>29</v>
      </c>
      <c r="AG45" s="126">
        <f>HLOOKUP(AF$4,[1]Anx!$C$86:$CO$121,AE45)</f>
        <v>0</v>
      </c>
      <c r="AH45" s="61">
        <f t="shared" si="2"/>
        <v>0</v>
      </c>
      <c r="AI45" s="129">
        <f>Troupeau!D99</f>
        <v>0</v>
      </c>
      <c r="AK45" s="54">
        <f t="shared" si="3"/>
        <v>0</v>
      </c>
      <c r="AL45" s="54">
        <f t="shared" si="8"/>
        <v>0</v>
      </c>
      <c r="AM45" s="54">
        <f t="shared" si="8"/>
        <v>0</v>
      </c>
      <c r="AN45" s="54">
        <f t="shared" si="7"/>
        <v>0</v>
      </c>
      <c r="AO45" s="54">
        <f t="shared" si="7"/>
        <v>0</v>
      </c>
      <c r="AP45" s="54">
        <f t="shared" si="7"/>
        <v>0</v>
      </c>
      <c r="AQ45" s="54">
        <f t="shared" si="7"/>
        <v>0</v>
      </c>
      <c r="AR45" s="54">
        <f t="shared" si="7"/>
        <v>0</v>
      </c>
      <c r="AS45" s="54">
        <f t="shared" si="7"/>
        <v>0</v>
      </c>
      <c r="AT45" s="54">
        <f t="shared" si="7"/>
        <v>0</v>
      </c>
      <c r="AU45" s="54">
        <f t="shared" si="7"/>
        <v>0</v>
      </c>
      <c r="AV45" s="54">
        <f t="shared" si="7"/>
        <v>0</v>
      </c>
      <c r="AW45" s="54">
        <f t="shared" si="7"/>
        <v>0</v>
      </c>
      <c r="AX45" s="54">
        <f t="shared" si="7"/>
        <v>0</v>
      </c>
      <c r="AY45" s="54">
        <f t="shared" si="7"/>
        <v>0</v>
      </c>
      <c r="AZ45" s="54">
        <f t="shared" si="7"/>
        <v>0</v>
      </c>
      <c r="BA45" s="54">
        <f t="shared" si="7"/>
        <v>0</v>
      </c>
      <c r="BB45" s="54">
        <f t="shared" si="7"/>
        <v>0</v>
      </c>
      <c r="BC45" s="54">
        <f t="shared" si="7"/>
        <v>0</v>
      </c>
      <c r="BD45" s="54">
        <f t="shared" si="11"/>
        <v>0</v>
      </c>
      <c r="BE45" s="54">
        <f t="shared" si="11"/>
        <v>0</v>
      </c>
      <c r="BF45" s="54">
        <f t="shared" si="11"/>
        <v>0</v>
      </c>
      <c r="BG45" s="54">
        <f t="shared" si="11"/>
        <v>0</v>
      </c>
      <c r="BH45" s="54">
        <f t="shared" si="11"/>
        <v>0</v>
      </c>
      <c r="BI45" s="54">
        <f t="shared" si="11"/>
        <v>0</v>
      </c>
      <c r="BJ45" s="54">
        <f t="shared" si="11"/>
        <v>0</v>
      </c>
      <c r="BK45" s="54">
        <f t="shared" si="11"/>
        <v>0</v>
      </c>
      <c r="BL45" s="54">
        <f t="shared" si="11"/>
        <v>0</v>
      </c>
      <c r="BM45" s="54">
        <f t="shared" si="11"/>
        <v>0</v>
      </c>
      <c r="BN45" s="54">
        <f t="shared" si="11"/>
        <v>0</v>
      </c>
      <c r="BO45" s="54">
        <f t="shared" si="11"/>
        <v>0</v>
      </c>
      <c r="BP45" s="54">
        <f t="shared" si="11"/>
        <v>0</v>
      </c>
      <c r="BQ45" s="54">
        <f t="shared" si="11"/>
        <v>0</v>
      </c>
      <c r="BR45" s="54">
        <f t="shared" si="11"/>
        <v>0</v>
      </c>
      <c r="BS45" s="54">
        <f t="shared" si="11"/>
        <v>0</v>
      </c>
      <c r="BT45" s="54">
        <f t="shared" si="9"/>
        <v>0</v>
      </c>
      <c r="BU45" s="54">
        <f t="shared" si="9"/>
        <v>0</v>
      </c>
      <c r="BV45" s="54">
        <f t="shared" si="9"/>
        <v>0</v>
      </c>
      <c r="BW45" s="54">
        <f t="shared" si="10"/>
        <v>0</v>
      </c>
      <c r="BX45" s="54">
        <f t="shared" si="10"/>
        <v>0</v>
      </c>
      <c r="BY45" s="54">
        <f t="shared" si="10"/>
        <v>0</v>
      </c>
      <c r="BZ45" s="54">
        <f t="shared" si="10"/>
        <v>0</v>
      </c>
      <c r="CA45" s="54">
        <f t="shared" si="10"/>
        <v>0</v>
      </c>
      <c r="CB45" s="54">
        <f t="shared" si="10"/>
        <v>0</v>
      </c>
      <c r="CC45" s="54">
        <f t="shared" si="10"/>
        <v>0</v>
      </c>
      <c r="CD45" s="54">
        <f t="shared" si="10"/>
        <v>0</v>
      </c>
      <c r="CE45" s="54">
        <f t="shared" si="10"/>
        <v>0</v>
      </c>
    </row>
    <row r="46" spans="1:83" x14ac:dyDescent="0.25">
      <c r="A46" s="128" t="str">
        <f>A$22</f>
        <v>lot8</v>
      </c>
      <c r="B46" s="61">
        <f t="shared" si="13"/>
        <v>0</v>
      </c>
      <c r="C46" s="61">
        <f t="shared" si="12"/>
        <v>0</v>
      </c>
      <c r="D46" s="61">
        <f t="shared" si="12"/>
        <v>0</v>
      </c>
      <c r="E46" s="61">
        <f t="shared" si="12"/>
        <v>0</v>
      </c>
      <c r="F46" s="61">
        <f t="shared" si="12"/>
        <v>0</v>
      </c>
      <c r="G46" s="61">
        <f t="shared" si="12"/>
        <v>0</v>
      </c>
      <c r="H46" s="61">
        <f t="shared" si="12"/>
        <v>0</v>
      </c>
      <c r="I46" s="61">
        <f t="shared" si="12"/>
        <v>0</v>
      </c>
      <c r="J46" s="61">
        <f t="shared" si="12"/>
        <v>0</v>
      </c>
      <c r="K46" s="61">
        <f t="shared" si="12"/>
        <v>0</v>
      </c>
      <c r="L46" s="61">
        <f t="shared" si="12"/>
        <v>0</v>
      </c>
      <c r="M46" s="61">
        <f t="shared" si="12"/>
        <v>0</v>
      </c>
      <c r="N46" s="61">
        <f t="shared" si="12"/>
        <v>0</v>
      </c>
      <c r="O46" s="61">
        <f t="shared" si="12"/>
        <v>0</v>
      </c>
      <c r="P46" s="61">
        <f t="shared" si="12"/>
        <v>0</v>
      </c>
      <c r="Q46" s="61">
        <f t="shared" si="12"/>
        <v>0</v>
      </c>
      <c r="R46" s="61">
        <f t="shared" si="12"/>
        <v>0</v>
      </c>
      <c r="S46" s="61">
        <f t="shared" si="12"/>
        <v>0</v>
      </c>
      <c r="T46" s="61">
        <f t="shared" si="12"/>
        <v>0</v>
      </c>
      <c r="U46" s="61">
        <f t="shared" si="12"/>
        <v>0</v>
      </c>
      <c r="V46" s="61">
        <f t="shared" si="12"/>
        <v>0</v>
      </c>
      <c r="W46" s="61">
        <f t="shared" si="12"/>
        <v>0</v>
      </c>
      <c r="X46" s="61">
        <f t="shared" si="12"/>
        <v>0</v>
      </c>
      <c r="Y46" s="61">
        <f t="shared" si="12"/>
        <v>0</v>
      </c>
      <c r="Z46" s="52"/>
      <c r="AB46" s="5"/>
      <c r="AC46" t="s">
        <v>404</v>
      </c>
      <c r="AE46" s="17">
        <v>30</v>
      </c>
      <c r="AG46" s="126">
        <f>HLOOKUP(AF$4,[1]Anx!$C$86:$CO$121,AE46)</f>
        <v>0</v>
      </c>
      <c r="AH46" s="61">
        <f t="shared" si="2"/>
        <v>0</v>
      </c>
      <c r="AI46" s="129">
        <f>Troupeau!D100</f>
        <v>0</v>
      </c>
      <c r="AK46" s="54">
        <f t="shared" si="3"/>
        <v>0</v>
      </c>
      <c r="AL46" s="54">
        <f t="shared" si="8"/>
        <v>0</v>
      </c>
      <c r="AM46" s="54">
        <f t="shared" si="8"/>
        <v>0</v>
      </c>
      <c r="AN46" s="54">
        <f t="shared" si="7"/>
        <v>0</v>
      </c>
      <c r="AO46" s="54">
        <f t="shared" si="7"/>
        <v>0</v>
      </c>
      <c r="AP46" s="54">
        <f t="shared" si="7"/>
        <v>0</v>
      </c>
      <c r="AQ46" s="54">
        <f t="shared" si="7"/>
        <v>0</v>
      </c>
      <c r="AR46" s="54">
        <f t="shared" si="7"/>
        <v>0</v>
      </c>
      <c r="AS46" s="54">
        <f t="shared" si="7"/>
        <v>0</v>
      </c>
      <c r="AT46" s="54">
        <f t="shared" si="7"/>
        <v>0</v>
      </c>
      <c r="AU46" s="54">
        <f t="shared" si="7"/>
        <v>0</v>
      </c>
      <c r="AV46" s="54">
        <f t="shared" si="7"/>
        <v>0</v>
      </c>
      <c r="AW46" s="54">
        <f t="shared" si="7"/>
        <v>0</v>
      </c>
      <c r="AX46" s="54">
        <f t="shared" si="7"/>
        <v>0</v>
      </c>
      <c r="AY46" s="54">
        <f t="shared" si="7"/>
        <v>0</v>
      </c>
      <c r="AZ46" s="54">
        <f t="shared" si="7"/>
        <v>0</v>
      </c>
      <c r="BA46" s="54">
        <f t="shared" si="7"/>
        <v>0</v>
      </c>
      <c r="BB46" s="54">
        <f t="shared" si="7"/>
        <v>0</v>
      </c>
      <c r="BC46" s="54">
        <f t="shared" si="7"/>
        <v>0</v>
      </c>
      <c r="BD46" s="54">
        <f t="shared" si="11"/>
        <v>0</v>
      </c>
      <c r="BE46" s="54">
        <f t="shared" si="11"/>
        <v>0</v>
      </c>
      <c r="BF46" s="54">
        <f t="shared" si="11"/>
        <v>0</v>
      </c>
      <c r="BG46" s="54">
        <f t="shared" si="11"/>
        <v>0</v>
      </c>
      <c r="BH46" s="54">
        <f t="shared" si="11"/>
        <v>0</v>
      </c>
      <c r="BI46" s="54">
        <f t="shared" si="11"/>
        <v>0</v>
      </c>
      <c r="BJ46" s="54">
        <f t="shared" si="11"/>
        <v>0</v>
      </c>
      <c r="BK46" s="54">
        <f t="shared" si="11"/>
        <v>0</v>
      </c>
      <c r="BL46" s="54">
        <f t="shared" si="11"/>
        <v>0</v>
      </c>
      <c r="BM46" s="54">
        <f t="shared" si="11"/>
        <v>0</v>
      </c>
      <c r="BN46" s="54">
        <f t="shared" si="11"/>
        <v>0</v>
      </c>
      <c r="BO46" s="54">
        <f t="shared" si="11"/>
        <v>0</v>
      </c>
      <c r="BP46" s="54">
        <f t="shared" si="11"/>
        <v>0</v>
      </c>
      <c r="BQ46" s="54">
        <f t="shared" si="11"/>
        <v>0</v>
      </c>
      <c r="BR46" s="54">
        <f t="shared" si="11"/>
        <v>0</v>
      </c>
      <c r="BS46" s="54">
        <f t="shared" si="11"/>
        <v>0</v>
      </c>
      <c r="BT46" s="54">
        <f t="shared" si="9"/>
        <v>0</v>
      </c>
      <c r="BU46" s="54">
        <f t="shared" si="9"/>
        <v>0</v>
      </c>
      <c r="BV46" s="54">
        <f t="shared" si="9"/>
        <v>0</v>
      </c>
      <c r="BW46" s="54">
        <f t="shared" si="10"/>
        <v>0</v>
      </c>
      <c r="BX46" s="54">
        <f t="shared" si="10"/>
        <v>0</v>
      </c>
      <c r="BY46" s="54">
        <f t="shared" si="10"/>
        <v>0</v>
      </c>
      <c r="BZ46" s="54">
        <f t="shared" si="10"/>
        <v>0</v>
      </c>
      <c r="CA46" s="54">
        <f t="shared" si="10"/>
        <v>0</v>
      </c>
      <c r="CB46" s="54">
        <f t="shared" si="10"/>
        <v>0</v>
      </c>
      <c r="CC46" s="54">
        <f t="shared" si="10"/>
        <v>0</v>
      </c>
      <c r="CD46" s="54">
        <f t="shared" si="10"/>
        <v>0</v>
      </c>
      <c r="CE46" s="54">
        <f t="shared" si="10"/>
        <v>0</v>
      </c>
    </row>
    <row r="47" spans="1:83" x14ac:dyDescent="0.25">
      <c r="A47" s="127" t="str">
        <f>A$23</f>
        <v>lot9</v>
      </c>
      <c r="B47" s="61">
        <f t="shared" si="13"/>
        <v>0</v>
      </c>
      <c r="C47" s="61">
        <f t="shared" si="12"/>
        <v>0</v>
      </c>
      <c r="D47" s="61">
        <f t="shared" si="12"/>
        <v>0</v>
      </c>
      <c r="E47" s="61">
        <f t="shared" si="12"/>
        <v>0</v>
      </c>
      <c r="F47" s="61">
        <f t="shared" si="12"/>
        <v>0</v>
      </c>
      <c r="G47" s="61">
        <f t="shared" si="12"/>
        <v>0</v>
      </c>
      <c r="H47" s="61">
        <f t="shared" si="12"/>
        <v>0</v>
      </c>
      <c r="I47" s="61">
        <f t="shared" si="12"/>
        <v>0</v>
      </c>
      <c r="J47" s="61">
        <f t="shared" si="12"/>
        <v>0</v>
      </c>
      <c r="K47" s="61">
        <f t="shared" si="12"/>
        <v>0</v>
      </c>
      <c r="L47" s="61">
        <f t="shared" si="12"/>
        <v>0</v>
      </c>
      <c r="M47" s="61">
        <f t="shared" si="12"/>
        <v>0</v>
      </c>
      <c r="N47" s="61">
        <f t="shared" si="12"/>
        <v>0</v>
      </c>
      <c r="O47" s="61">
        <f t="shared" si="12"/>
        <v>0</v>
      </c>
      <c r="P47" s="61">
        <f t="shared" si="12"/>
        <v>0</v>
      </c>
      <c r="Q47" s="61">
        <f t="shared" si="12"/>
        <v>0</v>
      </c>
      <c r="R47" s="61">
        <f t="shared" si="12"/>
        <v>0</v>
      </c>
      <c r="S47" s="61">
        <f t="shared" si="12"/>
        <v>0</v>
      </c>
      <c r="T47" s="61">
        <f t="shared" si="12"/>
        <v>0</v>
      </c>
      <c r="U47" s="61">
        <f t="shared" si="12"/>
        <v>0</v>
      </c>
      <c r="V47" s="61">
        <f t="shared" si="12"/>
        <v>0</v>
      </c>
      <c r="W47" s="61">
        <f t="shared" si="12"/>
        <v>0</v>
      </c>
      <c r="X47" s="61">
        <f t="shared" si="12"/>
        <v>0</v>
      </c>
      <c r="Y47" s="61">
        <f t="shared" si="12"/>
        <v>0</v>
      </c>
      <c r="Z47" s="52"/>
      <c r="AB47" s="5"/>
      <c r="AC47" t="s">
        <v>405</v>
      </c>
      <c r="AE47" s="17">
        <v>31</v>
      </c>
      <c r="AG47" s="126">
        <f>HLOOKUP(AF$4,[1]Anx!$C$86:$CO$121,AE47)</f>
        <v>0</v>
      </c>
      <c r="AH47" s="61">
        <f t="shared" si="2"/>
        <v>0</v>
      </c>
      <c r="AI47" s="129">
        <f>Troupeau!D101</f>
        <v>0</v>
      </c>
      <c r="AK47" s="54">
        <f t="shared" si="3"/>
        <v>0</v>
      </c>
      <c r="AL47" s="54">
        <f t="shared" si="8"/>
        <v>0</v>
      </c>
      <c r="AM47" s="54">
        <f t="shared" si="8"/>
        <v>0</v>
      </c>
      <c r="AN47" s="54">
        <f t="shared" si="7"/>
        <v>0</v>
      </c>
      <c r="AO47" s="54">
        <f t="shared" si="7"/>
        <v>0</v>
      </c>
      <c r="AP47" s="54">
        <f t="shared" si="7"/>
        <v>0</v>
      </c>
      <c r="AQ47" s="54">
        <f t="shared" si="7"/>
        <v>0</v>
      </c>
      <c r="AR47" s="54">
        <f t="shared" si="7"/>
        <v>0</v>
      </c>
      <c r="AS47" s="54">
        <f t="shared" si="7"/>
        <v>0</v>
      </c>
      <c r="AT47" s="54">
        <f t="shared" si="7"/>
        <v>0</v>
      </c>
      <c r="AU47" s="54">
        <f t="shared" si="7"/>
        <v>0</v>
      </c>
      <c r="AV47" s="54">
        <f t="shared" si="7"/>
        <v>0</v>
      </c>
      <c r="AW47" s="54">
        <f t="shared" si="7"/>
        <v>0</v>
      </c>
      <c r="AX47" s="54">
        <f t="shared" si="7"/>
        <v>0</v>
      </c>
      <c r="AY47" s="54">
        <f t="shared" si="7"/>
        <v>0</v>
      </c>
      <c r="AZ47" s="54">
        <f t="shared" si="7"/>
        <v>0</v>
      </c>
      <c r="BA47" s="54">
        <f t="shared" si="7"/>
        <v>0</v>
      </c>
      <c r="BB47" s="54">
        <f t="shared" si="7"/>
        <v>0</v>
      </c>
      <c r="BC47" s="54">
        <f t="shared" si="7"/>
        <v>0</v>
      </c>
      <c r="BD47" s="54">
        <f t="shared" si="11"/>
        <v>0</v>
      </c>
      <c r="BE47" s="54">
        <f t="shared" si="11"/>
        <v>0</v>
      </c>
      <c r="BF47" s="54">
        <f t="shared" si="11"/>
        <v>0</v>
      </c>
      <c r="BG47" s="54">
        <f t="shared" si="11"/>
        <v>0</v>
      </c>
      <c r="BH47" s="54">
        <f t="shared" si="11"/>
        <v>0</v>
      </c>
      <c r="BI47" s="54">
        <f t="shared" si="11"/>
        <v>0</v>
      </c>
      <c r="BJ47" s="54">
        <f t="shared" si="11"/>
        <v>0</v>
      </c>
      <c r="BK47" s="54">
        <f t="shared" si="11"/>
        <v>0</v>
      </c>
      <c r="BL47" s="54">
        <f t="shared" si="11"/>
        <v>0</v>
      </c>
      <c r="BM47" s="54">
        <f t="shared" si="11"/>
        <v>0</v>
      </c>
      <c r="BN47" s="54">
        <f t="shared" si="11"/>
        <v>0</v>
      </c>
      <c r="BO47" s="54">
        <f t="shared" si="11"/>
        <v>0</v>
      </c>
      <c r="BP47" s="54">
        <f t="shared" si="11"/>
        <v>0</v>
      </c>
      <c r="BQ47" s="54">
        <f t="shared" si="11"/>
        <v>0</v>
      </c>
      <c r="BR47" s="54">
        <f t="shared" si="11"/>
        <v>0</v>
      </c>
      <c r="BS47" s="54">
        <f t="shared" si="11"/>
        <v>0</v>
      </c>
      <c r="BT47" s="54">
        <f t="shared" si="9"/>
        <v>0</v>
      </c>
      <c r="BU47" s="54">
        <f t="shared" si="9"/>
        <v>0</v>
      </c>
      <c r="BV47" s="54">
        <f t="shared" si="9"/>
        <v>0</v>
      </c>
      <c r="BW47" s="54">
        <f t="shared" si="10"/>
        <v>0</v>
      </c>
      <c r="BX47" s="54">
        <f t="shared" si="10"/>
        <v>0</v>
      </c>
      <c r="BY47" s="54">
        <f t="shared" si="10"/>
        <v>0</v>
      </c>
      <c r="BZ47" s="54">
        <f t="shared" si="10"/>
        <v>0</v>
      </c>
      <c r="CA47" s="54">
        <f t="shared" si="10"/>
        <v>0</v>
      </c>
      <c r="CB47" s="54">
        <f t="shared" si="10"/>
        <v>0</v>
      </c>
      <c r="CC47" s="54">
        <f t="shared" si="10"/>
        <v>0</v>
      </c>
      <c r="CD47" s="54">
        <f t="shared" si="10"/>
        <v>0</v>
      </c>
      <c r="CE47" s="54">
        <f t="shared" si="10"/>
        <v>0</v>
      </c>
    </row>
    <row r="48" spans="1:83" x14ac:dyDescent="0.25">
      <c r="A48" s="128" t="str">
        <f>A$24</f>
        <v>lot10</v>
      </c>
      <c r="B48" s="61">
        <f t="shared" si="13"/>
        <v>0</v>
      </c>
      <c r="C48" s="61">
        <f t="shared" si="12"/>
        <v>0</v>
      </c>
      <c r="D48" s="61">
        <f t="shared" si="12"/>
        <v>0</v>
      </c>
      <c r="E48" s="61">
        <f t="shared" si="12"/>
        <v>0</v>
      </c>
      <c r="F48" s="61">
        <f t="shared" si="12"/>
        <v>0</v>
      </c>
      <c r="G48" s="61">
        <f t="shared" si="12"/>
        <v>0</v>
      </c>
      <c r="H48" s="61">
        <f t="shared" si="12"/>
        <v>0</v>
      </c>
      <c r="I48" s="61">
        <f t="shared" si="12"/>
        <v>0</v>
      </c>
      <c r="J48" s="61">
        <f t="shared" si="12"/>
        <v>0</v>
      </c>
      <c r="K48" s="61">
        <f t="shared" si="12"/>
        <v>0</v>
      </c>
      <c r="L48" s="61">
        <f t="shared" si="12"/>
        <v>0</v>
      </c>
      <c r="M48" s="61">
        <f t="shared" si="12"/>
        <v>0</v>
      </c>
      <c r="N48" s="61">
        <f t="shared" si="12"/>
        <v>0</v>
      </c>
      <c r="O48" s="61">
        <f t="shared" si="12"/>
        <v>0</v>
      </c>
      <c r="P48" s="61">
        <f t="shared" si="12"/>
        <v>0</v>
      </c>
      <c r="Q48" s="61">
        <f t="shared" si="12"/>
        <v>0</v>
      </c>
      <c r="R48" s="61">
        <f t="shared" si="12"/>
        <v>0</v>
      </c>
      <c r="S48" s="61">
        <f t="shared" si="12"/>
        <v>0</v>
      </c>
      <c r="T48" s="61">
        <f t="shared" si="12"/>
        <v>0</v>
      </c>
      <c r="U48" s="61">
        <f t="shared" si="12"/>
        <v>0</v>
      </c>
      <c r="V48" s="61">
        <f t="shared" si="12"/>
        <v>0</v>
      </c>
      <c r="W48" s="61">
        <f t="shared" si="12"/>
        <v>0</v>
      </c>
      <c r="X48" s="61">
        <f t="shared" si="12"/>
        <v>0</v>
      </c>
      <c r="Y48" s="61">
        <f t="shared" si="12"/>
        <v>0</v>
      </c>
      <c r="Z48" s="52"/>
      <c r="AB48" s="5"/>
      <c r="AC48" t="s">
        <v>406</v>
      </c>
      <c r="AE48" s="17">
        <v>32</v>
      </c>
      <c r="AG48" s="126">
        <f>HLOOKUP(AF$4,[1]Anx!$C$86:$CO$121,AE48)</f>
        <v>0</v>
      </c>
      <c r="AH48" s="61">
        <f t="shared" si="2"/>
        <v>0</v>
      </c>
      <c r="AI48" s="129">
        <f>Troupeau!D102</f>
        <v>0</v>
      </c>
      <c r="AK48" s="54">
        <f t="shared" si="3"/>
        <v>0</v>
      </c>
      <c r="AL48" s="54">
        <f t="shared" si="8"/>
        <v>0</v>
      </c>
      <c r="AM48" s="54">
        <f t="shared" si="8"/>
        <v>0</v>
      </c>
      <c r="AN48" s="54">
        <f t="shared" si="7"/>
        <v>0</v>
      </c>
      <c r="AO48" s="54">
        <f t="shared" si="7"/>
        <v>0</v>
      </c>
      <c r="AP48" s="54">
        <f t="shared" si="7"/>
        <v>0</v>
      </c>
      <c r="AQ48" s="54">
        <f t="shared" si="7"/>
        <v>0</v>
      </c>
      <c r="AR48" s="54">
        <f t="shared" si="7"/>
        <v>0</v>
      </c>
      <c r="AS48" s="54">
        <f t="shared" si="7"/>
        <v>0</v>
      </c>
      <c r="AT48" s="54">
        <f t="shared" si="7"/>
        <v>0</v>
      </c>
      <c r="AU48" s="54">
        <f t="shared" si="7"/>
        <v>0</v>
      </c>
      <c r="AV48" s="54">
        <f t="shared" si="7"/>
        <v>0</v>
      </c>
      <c r="AW48" s="54">
        <f t="shared" si="7"/>
        <v>0</v>
      </c>
      <c r="AX48" s="54">
        <f t="shared" si="7"/>
        <v>0</v>
      </c>
      <c r="AY48" s="54">
        <f t="shared" si="7"/>
        <v>0</v>
      </c>
      <c r="AZ48" s="54">
        <f t="shared" si="7"/>
        <v>0</v>
      </c>
      <c r="BA48" s="54">
        <f t="shared" si="7"/>
        <v>0</v>
      </c>
      <c r="BB48" s="54">
        <f t="shared" si="7"/>
        <v>0</v>
      </c>
      <c r="BC48" s="54">
        <f t="shared" si="7"/>
        <v>0</v>
      </c>
      <c r="BD48" s="54">
        <f t="shared" si="11"/>
        <v>0</v>
      </c>
      <c r="BE48" s="54">
        <f t="shared" si="11"/>
        <v>0</v>
      </c>
      <c r="BF48" s="54">
        <f t="shared" si="11"/>
        <v>0</v>
      </c>
      <c r="BG48" s="54">
        <f t="shared" si="11"/>
        <v>0</v>
      </c>
      <c r="BH48" s="54">
        <f t="shared" si="11"/>
        <v>0</v>
      </c>
      <c r="BI48" s="54">
        <f t="shared" si="11"/>
        <v>0</v>
      </c>
      <c r="BJ48" s="54">
        <f t="shared" si="11"/>
        <v>0</v>
      </c>
      <c r="BK48" s="54">
        <f t="shared" si="11"/>
        <v>0</v>
      </c>
      <c r="BL48" s="54">
        <f t="shared" si="11"/>
        <v>0</v>
      </c>
      <c r="BM48" s="54">
        <f t="shared" si="11"/>
        <v>0</v>
      </c>
      <c r="BN48" s="54">
        <f t="shared" si="11"/>
        <v>0</v>
      </c>
      <c r="BO48" s="54">
        <f t="shared" si="11"/>
        <v>0</v>
      </c>
      <c r="BP48" s="54">
        <f t="shared" si="11"/>
        <v>0</v>
      </c>
      <c r="BQ48" s="54">
        <f t="shared" si="11"/>
        <v>0</v>
      </c>
      <c r="BR48" s="54">
        <f t="shared" si="11"/>
        <v>0</v>
      </c>
      <c r="BS48" s="54">
        <f t="shared" si="11"/>
        <v>0</v>
      </c>
      <c r="BT48" s="54">
        <f t="shared" si="9"/>
        <v>0</v>
      </c>
      <c r="BU48" s="54">
        <f t="shared" si="9"/>
        <v>0</v>
      </c>
      <c r="BV48" s="54">
        <f t="shared" si="9"/>
        <v>0</v>
      </c>
      <c r="BW48" s="54">
        <f t="shared" si="10"/>
        <v>0</v>
      </c>
      <c r="BX48" s="54">
        <f t="shared" si="10"/>
        <v>0</v>
      </c>
      <c r="BY48" s="54">
        <f t="shared" si="10"/>
        <v>0</v>
      </c>
      <c r="BZ48" s="54">
        <f t="shared" si="10"/>
        <v>0</v>
      </c>
      <c r="CA48" s="54">
        <f t="shared" si="10"/>
        <v>0</v>
      </c>
      <c r="CB48" s="54">
        <f t="shared" si="10"/>
        <v>0</v>
      </c>
      <c r="CC48" s="54">
        <f t="shared" si="10"/>
        <v>0</v>
      </c>
      <c r="CD48" s="54">
        <f t="shared" si="10"/>
        <v>0</v>
      </c>
      <c r="CE48" s="54">
        <f t="shared" si="10"/>
        <v>0</v>
      </c>
    </row>
    <row r="49" spans="1:83" s="2" customFormat="1" x14ac:dyDescent="0.25">
      <c r="A49" s="55" t="s">
        <v>171</v>
      </c>
      <c r="B49" s="62">
        <f>SUM(B39:B48)</f>
        <v>0</v>
      </c>
      <c r="C49" s="62">
        <f t="shared" ref="C49:Y49" si="14">SUM(C39:C48)</f>
        <v>0</v>
      </c>
      <c r="D49" s="62">
        <f t="shared" si="14"/>
        <v>0</v>
      </c>
      <c r="E49" s="62">
        <f t="shared" si="14"/>
        <v>0</v>
      </c>
      <c r="F49" s="62">
        <f t="shared" si="14"/>
        <v>0</v>
      </c>
      <c r="G49" s="62">
        <f t="shared" si="14"/>
        <v>0</v>
      </c>
      <c r="H49" s="62">
        <f t="shared" si="14"/>
        <v>0</v>
      </c>
      <c r="I49" s="62">
        <f t="shared" si="14"/>
        <v>0</v>
      </c>
      <c r="J49" s="62">
        <f t="shared" si="14"/>
        <v>0</v>
      </c>
      <c r="K49" s="62">
        <f t="shared" si="14"/>
        <v>0</v>
      </c>
      <c r="L49" s="62">
        <f t="shared" si="14"/>
        <v>0</v>
      </c>
      <c r="M49" s="62">
        <f t="shared" si="14"/>
        <v>0</v>
      </c>
      <c r="N49" s="62">
        <f t="shared" si="14"/>
        <v>0</v>
      </c>
      <c r="O49" s="62">
        <f t="shared" si="14"/>
        <v>0</v>
      </c>
      <c r="P49" s="62">
        <f t="shared" si="14"/>
        <v>0</v>
      </c>
      <c r="Q49" s="62">
        <f t="shared" si="14"/>
        <v>0</v>
      </c>
      <c r="R49" s="62">
        <f t="shared" si="14"/>
        <v>0</v>
      </c>
      <c r="S49" s="62">
        <f t="shared" si="14"/>
        <v>0</v>
      </c>
      <c r="T49" s="62">
        <f t="shared" si="14"/>
        <v>0</v>
      </c>
      <c r="U49" s="62">
        <f t="shared" si="14"/>
        <v>0</v>
      </c>
      <c r="V49" s="62">
        <f t="shared" si="14"/>
        <v>0</v>
      </c>
      <c r="W49" s="62">
        <f t="shared" si="14"/>
        <v>0</v>
      </c>
      <c r="X49" s="62">
        <f t="shared" si="14"/>
        <v>0</v>
      </c>
      <c r="Y49" s="62">
        <f t="shared" si="14"/>
        <v>0</v>
      </c>
      <c r="Z49" s="23"/>
      <c r="AA49" s="46">
        <f>AVERAGE(B49:Y49)</f>
        <v>0</v>
      </c>
      <c r="AB49" t="s">
        <v>191</v>
      </c>
      <c r="AC49" t="s">
        <v>407</v>
      </c>
      <c r="AE49" s="17">
        <v>33</v>
      </c>
      <c r="AG49" s="126">
        <f>HLOOKUP(AF$4,[1]Anx!$C$86:$CO$121,AE49)</f>
        <v>0</v>
      </c>
      <c r="AH49" s="61">
        <f t="shared" si="2"/>
        <v>0</v>
      </c>
      <c r="AI49" s="129">
        <f>Troupeau!D103</f>
        <v>0</v>
      </c>
      <c r="AK49" s="54">
        <f t="shared" si="3"/>
        <v>0</v>
      </c>
      <c r="AL49" s="54">
        <f t="shared" si="8"/>
        <v>0</v>
      </c>
      <c r="AM49" s="54">
        <f t="shared" si="8"/>
        <v>0</v>
      </c>
      <c r="AN49" s="54">
        <f t="shared" si="7"/>
        <v>0</v>
      </c>
      <c r="AO49" s="54">
        <f t="shared" si="7"/>
        <v>0</v>
      </c>
      <c r="AP49" s="54">
        <f t="shared" si="7"/>
        <v>0</v>
      </c>
      <c r="AQ49" s="54">
        <f t="shared" si="7"/>
        <v>0</v>
      </c>
      <c r="AR49" s="54">
        <f t="shared" si="7"/>
        <v>0</v>
      </c>
      <c r="AS49" s="54">
        <f t="shared" si="7"/>
        <v>0</v>
      </c>
      <c r="AT49" s="54">
        <f t="shared" si="7"/>
        <v>0</v>
      </c>
      <c r="AU49" s="54">
        <f t="shared" si="7"/>
        <v>0</v>
      </c>
      <c r="AV49" s="54">
        <f t="shared" si="7"/>
        <v>0</v>
      </c>
      <c r="AW49" s="54">
        <f t="shared" si="7"/>
        <v>0</v>
      </c>
      <c r="AX49" s="54">
        <f t="shared" si="7"/>
        <v>0</v>
      </c>
      <c r="AY49" s="54">
        <f t="shared" si="7"/>
        <v>0</v>
      </c>
      <c r="AZ49" s="54">
        <f t="shared" si="7"/>
        <v>0</v>
      </c>
      <c r="BA49" s="54">
        <f t="shared" si="7"/>
        <v>0</v>
      </c>
      <c r="BB49" s="54">
        <f t="shared" ref="AN49:BC52" si="15">IF($AH49=BB$17,ROUND($AI49/1000,1),0)</f>
        <v>0</v>
      </c>
      <c r="BC49" s="54">
        <f t="shared" si="15"/>
        <v>0</v>
      </c>
      <c r="BD49" s="54">
        <f t="shared" si="11"/>
        <v>0</v>
      </c>
      <c r="BE49" s="54">
        <f t="shared" si="11"/>
        <v>0</v>
      </c>
      <c r="BF49" s="54">
        <f t="shared" si="11"/>
        <v>0</v>
      </c>
      <c r="BG49" s="54">
        <f t="shared" si="11"/>
        <v>0</v>
      </c>
      <c r="BH49" s="54">
        <f t="shared" si="11"/>
        <v>0</v>
      </c>
      <c r="BI49" s="54">
        <f t="shared" si="11"/>
        <v>0</v>
      </c>
      <c r="BJ49" s="54">
        <f t="shared" si="11"/>
        <v>0</v>
      </c>
      <c r="BK49" s="54">
        <f t="shared" si="11"/>
        <v>0</v>
      </c>
      <c r="BL49" s="54">
        <f t="shared" si="11"/>
        <v>0</v>
      </c>
      <c r="BM49" s="54">
        <f t="shared" si="11"/>
        <v>0</v>
      </c>
      <c r="BN49" s="54">
        <f t="shared" si="11"/>
        <v>0</v>
      </c>
      <c r="BO49" s="54">
        <f t="shared" si="11"/>
        <v>0</v>
      </c>
      <c r="BP49" s="54">
        <f t="shared" si="11"/>
        <v>0</v>
      </c>
      <c r="BQ49" s="54">
        <f t="shared" si="11"/>
        <v>0</v>
      </c>
      <c r="BR49" s="54">
        <f t="shared" si="11"/>
        <v>0</v>
      </c>
      <c r="BS49" s="54">
        <f t="shared" si="11"/>
        <v>0</v>
      </c>
      <c r="BT49" s="54">
        <f t="shared" si="9"/>
        <v>0</v>
      </c>
      <c r="BU49" s="54">
        <f t="shared" si="9"/>
        <v>0</v>
      </c>
      <c r="BV49" s="54">
        <f t="shared" si="9"/>
        <v>0</v>
      </c>
      <c r="BW49" s="54">
        <f t="shared" si="10"/>
        <v>0</v>
      </c>
      <c r="BX49" s="54">
        <f t="shared" si="10"/>
        <v>0</v>
      </c>
      <c r="BY49" s="54">
        <f t="shared" si="10"/>
        <v>0</v>
      </c>
      <c r="BZ49" s="54">
        <f t="shared" si="10"/>
        <v>0</v>
      </c>
      <c r="CA49" s="54">
        <f t="shared" si="10"/>
        <v>0</v>
      </c>
      <c r="CB49" s="54">
        <f t="shared" si="10"/>
        <v>0</v>
      </c>
      <c r="CC49" s="54">
        <f t="shared" si="10"/>
        <v>0</v>
      </c>
      <c r="CD49" s="54">
        <f t="shared" si="10"/>
        <v>0</v>
      </c>
      <c r="CE49" s="54">
        <f t="shared" si="10"/>
        <v>0</v>
      </c>
    </row>
    <row r="50" spans="1:83" s="5" customFormat="1" x14ac:dyDescent="0.25"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AC50" t="s">
        <v>408</v>
      </c>
      <c r="AE50" s="17">
        <v>34</v>
      </c>
      <c r="AG50" s="126">
        <f>HLOOKUP(AF$4,[1]Anx!$C$86:$CO$121,AE50)</f>
        <v>0</v>
      </c>
      <c r="AH50" s="61">
        <f t="shared" si="2"/>
        <v>0</v>
      </c>
      <c r="AI50" s="129">
        <f>Troupeau!D104</f>
        <v>0</v>
      </c>
      <c r="AK50" s="54">
        <f t="shared" si="3"/>
        <v>0</v>
      </c>
      <c r="AL50" s="54">
        <f t="shared" si="8"/>
        <v>0</v>
      </c>
      <c r="AM50" s="54">
        <f t="shared" si="8"/>
        <v>0</v>
      </c>
      <c r="AN50" s="54">
        <f t="shared" si="15"/>
        <v>0</v>
      </c>
      <c r="AO50" s="54">
        <f t="shared" si="15"/>
        <v>0</v>
      </c>
      <c r="AP50" s="54">
        <f t="shared" si="15"/>
        <v>0</v>
      </c>
      <c r="AQ50" s="54">
        <f t="shared" si="15"/>
        <v>0</v>
      </c>
      <c r="AR50" s="54">
        <f t="shared" si="15"/>
        <v>0</v>
      </c>
      <c r="AS50" s="54">
        <f t="shared" si="15"/>
        <v>0</v>
      </c>
      <c r="AT50" s="54">
        <f t="shared" si="15"/>
        <v>0</v>
      </c>
      <c r="AU50" s="54">
        <f t="shared" si="15"/>
        <v>0</v>
      </c>
      <c r="AV50" s="54">
        <f t="shared" si="15"/>
        <v>0</v>
      </c>
      <c r="AW50" s="54">
        <f t="shared" si="15"/>
        <v>0</v>
      </c>
      <c r="AX50" s="54">
        <f t="shared" si="15"/>
        <v>0</v>
      </c>
      <c r="AY50" s="54">
        <f t="shared" si="15"/>
        <v>0</v>
      </c>
      <c r="AZ50" s="54">
        <f t="shared" si="15"/>
        <v>0</v>
      </c>
      <c r="BA50" s="54">
        <f t="shared" si="15"/>
        <v>0</v>
      </c>
      <c r="BB50" s="54">
        <f t="shared" si="15"/>
        <v>0</v>
      </c>
      <c r="BC50" s="54">
        <f t="shared" si="15"/>
        <v>0</v>
      </c>
      <c r="BD50" s="54">
        <f t="shared" si="11"/>
        <v>0</v>
      </c>
      <c r="BE50" s="54">
        <f t="shared" si="11"/>
        <v>0</v>
      </c>
      <c r="BF50" s="54">
        <f t="shared" si="11"/>
        <v>0</v>
      </c>
      <c r="BG50" s="54">
        <f t="shared" si="11"/>
        <v>0</v>
      </c>
      <c r="BH50" s="54">
        <f t="shared" si="11"/>
        <v>0</v>
      </c>
      <c r="BI50" s="54">
        <f t="shared" si="11"/>
        <v>0</v>
      </c>
      <c r="BJ50" s="54">
        <f t="shared" si="11"/>
        <v>0</v>
      </c>
      <c r="BK50" s="54">
        <f t="shared" si="11"/>
        <v>0</v>
      </c>
      <c r="BL50" s="54">
        <f t="shared" si="11"/>
        <v>0</v>
      </c>
      <c r="BM50" s="54">
        <f t="shared" si="11"/>
        <v>0</v>
      </c>
      <c r="BN50" s="54">
        <f t="shared" si="11"/>
        <v>0</v>
      </c>
      <c r="BO50" s="54">
        <f t="shared" si="11"/>
        <v>0</v>
      </c>
      <c r="BP50" s="54">
        <f t="shared" si="11"/>
        <v>0</v>
      </c>
      <c r="BQ50" s="54">
        <f t="shared" si="11"/>
        <v>0</v>
      </c>
      <c r="BR50" s="54">
        <f t="shared" si="11"/>
        <v>0</v>
      </c>
      <c r="BS50" s="54">
        <f t="shared" si="11"/>
        <v>0</v>
      </c>
      <c r="BT50" s="54">
        <f t="shared" si="9"/>
        <v>0</v>
      </c>
      <c r="BU50" s="54">
        <f t="shared" si="9"/>
        <v>0</v>
      </c>
      <c r="BV50" s="54">
        <f t="shared" si="9"/>
        <v>0</v>
      </c>
      <c r="BW50" s="54">
        <f t="shared" si="10"/>
        <v>0</v>
      </c>
      <c r="BX50" s="54">
        <f t="shared" si="10"/>
        <v>0</v>
      </c>
      <c r="BY50" s="54">
        <f t="shared" si="10"/>
        <v>0</v>
      </c>
      <c r="BZ50" s="54">
        <f t="shared" si="10"/>
        <v>0</v>
      </c>
      <c r="CA50" s="54">
        <f t="shared" si="10"/>
        <v>0</v>
      </c>
      <c r="CB50" s="54">
        <f t="shared" si="10"/>
        <v>0</v>
      </c>
      <c r="CC50" s="54">
        <f t="shared" si="10"/>
        <v>0</v>
      </c>
      <c r="CD50" s="54">
        <f t="shared" si="10"/>
        <v>0</v>
      </c>
      <c r="CE50" s="54">
        <f t="shared" si="10"/>
        <v>0</v>
      </c>
    </row>
    <row r="51" spans="1:83" x14ac:dyDescent="0.25">
      <c r="A51" s="2" t="s">
        <v>175</v>
      </c>
      <c r="AC51" t="s">
        <v>409</v>
      </c>
      <c r="AE51" s="17">
        <v>35</v>
      </c>
      <c r="AG51" s="126">
        <f>HLOOKUP(AF$4,[1]Anx!$C$86:$CO$121,AE51)</f>
        <v>0</v>
      </c>
      <c r="AH51" s="61">
        <f t="shared" si="2"/>
        <v>0</v>
      </c>
      <c r="AI51" s="129">
        <f>Troupeau!D105</f>
        <v>0</v>
      </c>
      <c r="AK51" s="54">
        <f t="shared" si="3"/>
        <v>0</v>
      </c>
      <c r="AL51" s="54">
        <f t="shared" si="8"/>
        <v>0</v>
      </c>
      <c r="AM51" s="54">
        <f t="shared" si="8"/>
        <v>0</v>
      </c>
      <c r="AN51" s="54">
        <f t="shared" si="15"/>
        <v>0</v>
      </c>
      <c r="AO51" s="54">
        <f t="shared" si="15"/>
        <v>0</v>
      </c>
      <c r="AP51" s="54">
        <f t="shared" si="15"/>
        <v>0</v>
      </c>
      <c r="AQ51" s="54">
        <f t="shared" si="15"/>
        <v>0</v>
      </c>
      <c r="AR51" s="54">
        <f t="shared" si="15"/>
        <v>0</v>
      </c>
      <c r="AS51" s="54">
        <f t="shared" si="15"/>
        <v>0</v>
      </c>
      <c r="AT51" s="54">
        <f t="shared" si="15"/>
        <v>0</v>
      </c>
      <c r="AU51" s="54">
        <f t="shared" si="15"/>
        <v>0</v>
      </c>
      <c r="AV51" s="54">
        <f t="shared" si="15"/>
        <v>0</v>
      </c>
      <c r="AW51" s="54">
        <f t="shared" si="15"/>
        <v>0</v>
      </c>
      <c r="AX51" s="54">
        <f t="shared" si="15"/>
        <v>0</v>
      </c>
      <c r="AY51" s="54">
        <f t="shared" si="15"/>
        <v>0</v>
      </c>
      <c r="AZ51" s="54">
        <f t="shared" si="15"/>
        <v>0</v>
      </c>
      <c r="BA51" s="54">
        <f t="shared" si="15"/>
        <v>0</v>
      </c>
      <c r="BB51" s="54">
        <f t="shared" si="15"/>
        <v>0</v>
      </c>
      <c r="BC51" s="54">
        <f t="shared" si="15"/>
        <v>0</v>
      </c>
      <c r="BD51" s="54">
        <f t="shared" si="11"/>
        <v>0</v>
      </c>
      <c r="BE51" s="54">
        <f t="shared" si="11"/>
        <v>0</v>
      </c>
      <c r="BF51" s="54">
        <f t="shared" si="11"/>
        <v>0</v>
      </c>
      <c r="BG51" s="54">
        <f t="shared" si="11"/>
        <v>0</v>
      </c>
      <c r="BH51" s="54">
        <f t="shared" si="11"/>
        <v>0</v>
      </c>
      <c r="BI51" s="54">
        <f t="shared" si="11"/>
        <v>0</v>
      </c>
      <c r="BJ51" s="54">
        <f t="shared" si="11"/>
        <v>0</v>
      </c>
      <c r="BK51" s="54">
        <f t="shared" si="11"/>
        <v>0</v>
      </c>
      <c r="BL51" s="54">
        <f t="shared" si="11"/>
        <v>0</v>
      </c>
      <c r="BM51" s="54">
        <f t="shared" si="11"/>
        <v>0</v>
      </c>
      <c r="BN51" s="54">
        <f t="shared" si="11"/>
        <v>0</v>
      </c>
      <c r="BO51" s="54">
        <f t="shared" si="11"/>
        <v>0</v>
      </c>
      <c r="BP51" s="54">
        <f t="shared" si="11"/>
        <v>0</v>
      </c>
      <c r="BQ51" s="54">
        <f t="shared" si="11"/>
        <v>0</v>
      </c>
      <c r="BR51" s="54">
        <f t="shared" si="11"/>
        <v>0</v>
      </c>
      <c r="BS51" s="54">
        <f t="shared" si="11"/>
        <v>0</v>
      </c>
      <c r="BT51" s="54">
        <f t="shared" si="9"/>
        <v>0</v>
      </c>
      <c r="BU51" s="54">
        <f t="shared" si="9"/>
        <v>0</v>
      </c>
      <c r="BV51" s="54">
        <f t="shared" si="9"/>
        <v>0</v>
      </c>
      <c r="BW51" s="54">
        <f t="shared" si="10"/>
        <v>0</v>
      </c>
      <c r="BX51" s="54">
        <f t="shared" si="10"/>
        <v>0</v>
      </c>
      <c r="BY51" s="54">
        <f t="shared" si="10"/>
        <v>0</v>
      </c>
      <c r="BZ51" s="54">
        <f t="shared" si="10"/>
        <v>0</v>
      </c>
      <c r="CA51" s="54">
        <f t="shared" si="10"/>
        <v>0</v>
      </c>
      <c r="CB51" s="54">
        <f t="shared" si="10"/>
        <v>0</v>
      </c>
      <c r="CC51" s="54">
        <f t="shared" si="10"/>
        <v>0</v>
      </c>
      <c r="CD51" s="54">
        <f t="shared" si="10"/>
        <v>0</v>
      </c>
      <c r="CE51" s="54">
        <f t="shared" si="10"/>
        <v>0</v>
      </c>
    </row>
    <row r="52" spans="1:83" x14ac:dyDescent="0.25">
      <c r="A52" s="127" t="str">
        <f>A$15</f>
        <v>lot1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52"/>
      <c r="AC52" t="s">
        <v>410</v>
      </c>
      <c r="AE52" s="17">
        <v>36</v>
      </c>
      <c r="AG52" s="126">
        <f>HLOOKUP(AF$4,[1]Anx!$C$86:$CO$121,AE52)</f>
        <v>0</v>
      </c>
      <c r="AH52" s="61">
        <f t="shared" si="2"/>
        <v>0</v>
      </c>
      <c r="AI52" s="129">
        <f>Troupeau!D106</f>
        <v>0</v>
      </c>
      <c r="AK52" s="54">
        <f t="shared" si="3"/>
        <v>0</v>
      </c>
      <c r="AL52" s="54">
        <f t="shared" si="8"/>
        <v>0</v>
      </c>
      <c r="AM52" s="54">
        <f t="shared" si="8"/>
        <v>0</v>
      </c>
      <c r="AN52" s="54">
        <f t="shared" si="15"/>
        <v>0</v>
      </c>
      <c r="AO52" s="54">
        <f t="shared" si="15"/>
        <v>0</v>
      </c>
      <c r="AP52" s="54">
        <f t="shared" si="15"/>
        <v>0</v>
      </c>
      <c r="AQ52" s="54">
        <f t="shared" si="15"/>
        <v>0</v>
      </c>
      <c r="AR52" s="54">
        <f t="shared" si="15"/>
        <v>0</v>
      </c>
      <c r="AS52" s="54">
        <f t="shared" si="15"/>
        <v>0</v>
      </c>
      <c r="AT52" s="54">
        <f t="shared" si="15"/>
        <v>0</v>
      </c>
      <c r="AU52" s="54">
        <f t="shared" si="15"/>
        <v>0</v>
      </c>
      <c r="AV52" s="54">
        <f t="shared" si="15"/>
        <v>0</v>
      </c>
      <c r="AW52" s="54">
        <f t="shared" si="15"/>
        <v>0</v>
      </c>
      <c r="AX52" s="54">
        <f t="shared" si="15"/>
        <v>0</v>
      </c>
      <c r="AY52" s="54">
        <f t="shared" si="15"/>
        <v>0</v>
      </c>
      <c r="AZ52" s="54">
        <f t="shared" si="15"/>
        <v>0</v>
      </c>
      <c r="BA52" s="54">
        <f t="shared" si="15"/>
        <v>0</v>
      </c>
      <c r="BB52" s="54">
        <f t="shared" si="15"/>
        <v>0</v>
      </c>
      <c r="BC52" s="54">
        <f t="shared" si="15"/>
        <v>0</v>
      </c>
      <c r="BD52" s="54">
        <f t="shared" si="11"/>
        <v>0</v>
      </c>
      <c r="BE52" s="54">
        <f t="shared" si="11"/>
        <v>0</v>
      </c>
      <c r="BF52" s="54">
        <f t="shared" si="11"/>
        <v>0</v>
      </c>
      <c r="BG52" s="54">
        <f t="shared" si="11"/>
        <v>0</v>
      </c>
      <c r="BH52" s="54">
        <f t="shared" si="11"/>
        <v>0</v>
      </c>
      <c r="BI52" s="54">
        <f t="shared" si="11"/>
        <v>0</v>
      </c>
      <c r="BJ52" s="54">
        <f t="shared" si="11"/>
        <v>0</v>
      </c>
      <c r="BK52" s="54">
        <f t="shared" si="11"/>
        <v>0</v>
      </c>
      <c r="BL52" s="54">
        <f t="shared" si="11"/>
        <v>0</v>
      </c>
      <c r="BM52" s="54">
        <f t="shared" si="11"/>
        <v>0</v>
      </c>
      <c r="BN52" s="54">
        <f t="shared" si="11"/>
        <v>0</v>
      </c>
      <c r="BO52" s="54">
        <f t="shared" si="11"/>
        <v>0</v>
      </c>
      <c r="BP52" s="54">
        <f t="shared" si="11"/>
        <v>0</v>
      </c>
      <c r="BQ52" s="54">
        <f t="shared" si="11"/>
        <v>0</v>
      </c>
      <c r="BR52" s="54">
        <f t="shared" si="11"/>
        <v>0</v>
      </c>
      <c r="BS52" s="54">
        <f t="shared" si="11"/>
        <v>0</v>
      </c>
      <c r="BT52" s="54">
        <f t="shared" si="9"/>
        <v>0</v>
      </c>
      <c r="BU52" s="54">
        <f t="shared" si="9"/>
        <v>0</v>
      </c>
      <c r="BV52" s="54">
        <f t="shared" si="9"/>
        <v>0</v>
      </c>
      <c r="BW52" s="54">
        <f t="shared" si="10"/>
        <v>0</v>
      </c>
      <c r="BX52" s="54">
        <f t="shared" si="10"/>
        <v>0</v>
      </c>
      <c r="BY52" s="54">
        <f t="shared" si="10"/>
        <v>0</v>
      </c>
      <c r="BZ52" s="54">
        <f t="shared" si="10"/>
        <v>0</v>
      </c>
      <c r="CA52" s="54">
        <f t="shared" si="10"/>
        <v>0</v>
      </c>
      <c r="CB52" s="54">
        <f t="shared" si="10"/>
        <v>0</v>
      </c>
      <c r="CC52" s="54">
        <f t="shared" si="10"/>
        <v>0</v>
      </c>
      <c r="CD52" s="54">
        <f t="shared" si="10"/>
        <v>0</v>
      </c>
      <c r="CE52" s="54">
        <f t="shared" si="10"/>
        <v>0</v>
      </c>
    </row>
    <row r="53" spans="1:83" x14ac:dyDescent="0.25">
      <c r="A53" s="128" t="str">
        <f>A$16</f>
        <v>lot2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52"/>
      <c r="AG53" s="5"/>
    </row>
    <row r="54" spans="1:83" x14ac:dyDescent="0.25">
      <c r="A54" s="128" t="str">
        <f>A$17</f>
        <v>lot3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52"/>
      <c r="AG54" s="5"/>
      <c r="AJ54" t="s">
        <v>13</v>
      </c>
      <c r="AK54" s="84">
        <f>SUM(AK18:AK52)</f>
        <v>0</v>
      </c>
      <c r="AL54" s="84">
        <f t="shared" ref="AL54:CE54" si="16">SUM(AL18:AL52)</f>
        <v>0</v>
      </c>
      <c r="AM54" s="84">
        <f t="shared" si="16"/>
        <v>0</v>
      </c>
      <c r="AN54" s="84">
        <f t="shared" si="16"/>
        <v>0</v>
      </c>
      <c r="AO54" s="84">
        <f t="shared" si="16"/>
        <v>0</v>
      </c>
      <c r="AP54" s="84">
        <f t="shared" si="16"/>
        <v>0</v>
      </c>
      <c r="AQ54" s="84">
        <f t="shared" si="16"/>
        <v>0</v>
      </c>
      <c r="AR54" s="84">
        <f t="shared" si="16"/>
        <v>0</v>
      </c>
      <c r="AS54" s="84">
        <f t="shared" si="16"/>
        <v>0</v>
      </c>
      <c r="AT54" s="84">
        <f t="shared" si="16"/>
        <v>0</v>
      </c>
      <c r="AU54" s="84">
        <f t="shared" si="16"/>
        <v>0</v>
      </c>
      <c r="AV54" s="84">
        <f t="shared" si="16"/>
        <v>0</v>
      </c>
      <c r="AW54" s="84">
        <f t="shared" si="16"/>
        <v>0</v>
      </c>
      <c r="AX54" s="84">
        <f t="shared" si="16"/>
        <v>0</v>
      </c>
      <c r="AY54" s="84">
        <f t="shared" si="16"/>
        <v>0</v>
      </c>
      <c r="AZ54" s="84">
        <f t="shared" si="16"/>
        <v>0</v>
      </c>
      <c r="BA54" s="84">
        <f t="shared" si="16"/>
        <v>0</v>
      </c>
      <c r="BB54" s="84">
        <f t="shared" si="16"/>
        <v>0</v>
      </c>
      <c r="BC54" s="84">
        <f t="shared" si="16"/>
        <v>0</v>
      </c>
      <c r="BD54" s="84">
        <f t="shared" si="16"/>
        <v>0</v>
      </c>
      <c r="BE54" s="84">
        <f t="shared" si="16"/>
        <v>0</v>
      </c>
      <c r="BF54" s="84">
        <f t="shared" si="16"/>
        <v>0</v>
      </c>
      <c r="BG54" s="84">
        <f t="shared" si="16"/>
        <v>0</v>
      </c>
      <c r="BH54" s="84">
        <f t="shared" si="16"/>
        <v>0</v>
      </c>
      <c r="BI54" s="84">
        <f t="shared" si="16"/>
        <v>0</v>
      </c>
      <c r="BJ54" s="84">
        <f t="shared" si="16"/>
        <v>0</v>
      </c>
      <c r="BK54" s="84">
        <f t="shared" si="16"/>
        <v>0</v>
      </c>
      <c r="BL54" s="84">
        <f t="shared" si="16"/>
        <v>0</v>
      </c>
      <c r="BM54" s="84">
        <f t="shared" si="16"/>
        <v>0</v>
      </c>
      <c r="BN54" s="84">
        <f t="shared" si="16"/>
        <v>0</v>
      </c>
      <c r="BO54" s="84">
        <f t="shared" si="16"/>
        <v>0</v>
      </c>
      <c r="BP54" s="84">
        <f t="shared" si="16"/>
        <v>0</v>
      </c>
      <c r="BQ54" s="84">
        <f t="shared" si="16"/>
        <v>0</v>
      </c>
      <c r="BR54" s="84">
        <f t="shared" si="16"/>
        <v>0</v>
      </c>
      <c r="BS54" s="84">
        <f t="shared" si="16"/>
        <v>0</v>
      </c>
      <c r="BT54" s="84">
        <f t="shared" si="16"/>
        <v>0</v>
      </c>
      <c r="BU54" s="84">
        <f t="shared" si="16"/>
        <v>0</v>
      </c>
      <c r="BV54" s="84">
        <f t="shared" si="16"/>
        <v>0</v>
      </c>
      <c r="BW54" s="84">
        <f t="shared" si="16"/>
        <v>0</v>
      </c>
      <c r="BX54" s="84">
        <f t="shared" si="16"/>
        <v>0</v>
      </c>
      <c r="BY54" s="84">
        <f t="shared" si="16"/>
        <v>0</v>
      </c>
      <c r="BZ54" s="84">
        <f t="shared" si="16"/>
        <v>0</v>
      </c>
      <c r="CA54" s="84">
        <f t="shared" si="16"/>
        <v>0</v>
      </c>
      <c r="CB54" s="84">
        <f t="shared" si="16"/>
        <v>0</v>
      </c>
      <c r="CC54" s="84">
        <f t="shared" si="16"/>
        <v>0</v>
      </c>
      <c r="CD54" s="84">
        <f t="shared" si="16"/>
        <v>0</v>
      </c>
      <c r="CE54" s="84">
        <f t="shared" si="16"/>
        <v>0</v>
      </c>
    </row>
    <row r="55" spans="1:83" x14ac:dyDescent="0.25">
      <c r="A55" s="127" t="str">
        <f>A$18</f>
        <v>lot4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52"/>
      <c r="AB55" s="2" t="s">
        <v>180</v>
      </c>
      <c r="AC55" s="2"/>
      <c r="AE55" s="86"/>
      <c r="AG55" s="5"/>
    </row>
    <row r="56" spans="1:83" x14ac:dyDescent="0.25">
      <c r="A56" s="128" t="str">
        <f>A$19</f>
        <v>lot5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52"/>
      <c r="AB56" t="s">
        <v>184</v>
      </c>
      <c r="AC56" t="s">
        <v>185</v>
      </c>
      <c r="AD56" s="61">
        <f>AA73*AF5/1000</f>
        <v>0</v>
      </c>
      <c r="AE56" s="87"/>
      <c r="AF56" t="s">
        <v>190</v>
      </c>
      <c r="AG56" s="5"/>
    </row>
    <row r="57" spans="1:83" x14ac:dyDescent="0.25">
      <c r="A57" s="127" t="str">
        <f>A$20</f>
        <v>lot6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52"/>
      <c r="AB57" t="s">
        <v>186</v>
      </c>
      <c r="AC57" t="s">
        <v>187</v>
      </c>
      <c r="AD57" s="61">
        <f>AD59*AD60/1000</f>
        <v>0</v>
      </c>
      <c r="AE57" s="87"/>
      <c r="AF57" t="s">
        <v>190</v>
      </c>
      <c r="AG57" s="5"/>
    </row>
    <row r="58" spans="1:83" x14ac:dyDescent="0.25">
      <c r="A58" s="128" t="str">
        <f>A$21</f>
        <v>lot7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52"/>
      <c r="AD58" s="82"/>
      <c r="AE58" s="88"/>
      <c r="AG58" s="5"/>
    </row>
    <row r="59" spans="1:83" x14ac:dyDescent="0.25">
      <c r="A59" s="128" t="str">
        <f>A$22</f>
        <v>lot8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52"/>
      <c r="AB59" t="s">
        <v>188</v>
      </c>
      <c r="AD59" s="60"/>
      <c r="AE59" s="87"/>
      <c r="AG59" s="5"/>
    </row>
    <row r="60" spans="1:83" x14ac:dyDescent="0.25">
      <c r="A60" s="127" t="str">
        <f>A$23</f>
        <v>lot9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52"/>
      <c r="AB60" t="s">
        <v>189</v>
      </c>
      <c r="AD60" s="60"/>
      <c r="AE60" s="87"/>
      <c r="AG60" s="5"/>
    </row>
    <row r="61" spans="1:83" x14ac:dyDescent="0.25">
      <c r="A61" s="128" t="str">
        <f>A$24</f>
        <v>lot10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52"/>
      <c r="AB61" s="15" t="s">
        <v>226</v>
      </c>
      <c r="AD61" s="80"/>
      <c r="AE61" s="88"/>
      <c r="AG61" s="5"/>
    </row>
    <row r="62" spans="1:83" s="5" customFormat="1" x14ac:dyDescent="0.25">
      <c r="A62" s="55" t="s">
        <v>178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52"/>
      <c r="AE62" s="86"/>
    </row>
    <row r="63" spans="1:83" s="5" customFormat="1" hidden="1" x14ac:dyDescent="0.25">
      <c r="A63" s="38" t="str">
        <f>A$15</f>
        <v>lot1</v>
      </c>
      <c r="B63" s="61">
        <f t="shared" ref="B63:Y72" si="17">B39*B52*B$3</f>
        <v>0</v>
      </c>
      <c r="C63" s="61">
        <f t="shared" si="17"/>
        <v>0</v>
      </c>
      <c r="D63" s="61">
        <f t="shared" si="17"/>
        <v>0</v>
      </c>
      <c r="E63" s="61">
        <f t="shared" si="17"/>
        <v>0</v>
      </c>
      <c r="F63" s="61">
        <f t="shared" si="17"/>
        <v>0</v>
      </c>
      <c r="G63" s="61">
        <f t="shared" si="17"/>
        <v>0</v>
      </c>
      <c r="H63" s="61">
        <f t="shared" si="17"/>
        <v>0</v>
      </c>
      <c r="I63" s="61">
        <f t="shared" si="17"/>
        <v>0</v>
      </c>
      <c r="J63" s="61">
        <f t="shared" si="17"/>
        <v>0</v>
      </c>
      <c r="K63" s="61">
        <f t="shared" si="17"/>
        <v>0</v>
      </c>
      <c r="L63" s="61">
        <f t="shared" si="17"/>
        <v>0</v>
      </c>
      <c r="M63" s="61">
        <f t="shared" si="17"/>
        <v>0</v>
      </c>
      <c r="N63" s="61">
        <f t="shared" si="17"/>
        <v>0</v>
      </c>
      <c r="O63" s="61">
        <f t="shared" si="17"/>
        <v>0</v>
      </c>
      <c r="P63" s="61">
        <f t="shared" si="17"/>
        <v>0</v>
      </c>
      <c r="Q63" s="61">
        <f t="shared" si="17"/>
        <v>0</v>
      </c>
      <c r="R63" s="61">
        <f t="shared" si="17"/>
        <v>0</v>
      </c>
      <c r="S63" s="61">
        <f t="shared" si="17"/>
        <v>0</v>
      </c>
      <c r="T63" s="61">
        <f t="shared" si="17"/>
        <v>0</v>
      </c>
      <c r="U63" s="61">
        <f t="shared" si="17"/>
        <v>0</v>
      </c>
      <c r="V63" s="61">
        <f t="shared" si="17"/>
        <v>0</v>
      </c>
      <c r="W63" s="61">
        <f t="shared" si="17"/>
        <v>0</v>
      </c>
      <c r="X63" s="61">
        <f t="shared" si="17"/>
        <v>0</v>
      </c>
      <c r="Y63" s="61">
        <f t="shared" si="17"/>
        <v>0</v>
      </c>
      <c r="Z63" s="52"/>
      <c r="AE63" s="86"/>
    </row>
    <row r="64" spans="1:83" s="5" customFormat="1" hidden="1" x14ac:dyDescent="0.25">
      <c r="A64" s="38" t="str">
        <f>A$16</f>
        <v>lot2</v>
      </c>
      <c r="B64" s="61">
        <f t="shared" si="17"/>
        <v>0</v>
      </c>
      <c r="C64" s="61">
        <f t="shared" si="17"/>
        <v>0</v>
      </c>
      <c r="D64" s="61">
        <f t="shared" si="17"/>
        <v>0</v>
      </c>
      <c r="E64" s="61">
        <f t="shared" si="17"/>
        <v>0</v>
      </c>
      <c r="F64" s="61">
        <f t="shared" si="17"/>
        <v>0</v>
      </c>
      <c r="G64" s="61">
        <f t="shared" si="17"/>
        <v>0</v>
      </c>
      <c r="H64" s="61">
        <f t="shared" si="17"/>
        <v>0</v>
      </c>
      <c r="I64" s="61">
        <f t="shared" si="17"/>
        <v>0</v>
      </c>
      <c r="J64" s="61">
        <f t="shared" si="17"/>
        <v>0</v>
      </c>
      <c r="K64" s="61">
        <f t="shared" si="17"/>
        <v>0</v>
      </c>
      <c r="L64" s="61">
        <f t="shared" si="17"/>
        <v>0</v>
      </c>
      <c r="M64" s="61">
        <f t="shared" si="17"/>
        <v>0</v>
      </c>
      <c r="N64" s="61">
        <f t="shared" si="17"/>
        <v>0</v>
      </c>
      <c r="O64" s="61">
        <f t="shared" si="17"/>
        <v>0</v>
      </c>
      <c r="P64" s="61">
        <f t="shared" si="17"/>
        <v>0</v>
      </c>
      <c r="Q64" s="61">
        <f t="shared" si="17"/>
        <v>0</v>
      </c>
      <c r="R64" s="61">
        <f t="shared" si="17"/>
        <v>0</v>
      </c>
      <c r="S64" s="61">
        <f t="shared" si="17"/>
        <v>0</v>
      </c>
      <c r="T64" s="61">
        <f t="shared" si="17"/>
        <v>0</v>
      </c>
      <c r="U64" s="61">
        <f t="shared" si="17"/>
        <v>0</v>
      </c>
      <c r="V64" s="61">
        <f t="shared" si="17"/>
        <v>0</v>
      </c>
      <c r="W64" s="61">
        <f t="shared" si="17"/>
        <v>0</v>
      </c>
      <c r="X64" s="61">
        <f t="shared" si="17"/>
        <v>0</v>
      </c>
      <c r="Y64" s="61">
        <f t="shared" si="17"/>
        <v>0</v>
      </c>
      <c r="Z64" s="52"/>
      <c r="AE64" s="86"/>
    </row>
    <row r="65" spans="1:33" s="5" customFormat="1" hidden="1" x14ac:dyDescent="0.25">
      <c r="A65" s="38" t="str">
        <f>A$17</f>
        <v>lot3</v>
      </c>
      <c r="B65" s="61">
        <f t="shared" si="17"/>
        <v>0</v>
      </c>
      <c r="C65" s="61">
        <f t="shared" si="17"/>
        <v>0</v>
      </c>
      <c r="D65" s="61">
        <f t="shared" si="17"/>
        <v>0</v>
      </c>
      <c r="E65" s="61">
        <f t="shared" si="17"/>
        <v>0</v>
      </c>
      <c r="F65" s="61">
        <f t="shared" si="17"/>
        <v>0</v>
      </c>
      <c r="G65" s="61">
        <f t="shared" si="17"/>
        <v>0</v>
      </c>
      <c r="H65" s="61">
        <f t="shared" si="17"/>
        <v>0</v>
      </c>
      <c r="I65" s="61">
        <f t="shared" si="17"/>
        <v>0</v>
      </c>
      <c r="J65" s="61">
        <f t="shared" si="17"/>
        <v>0</v>
      </c>
      <c r="K65" s="61">
        <f t="shared" si="17"/>
        <v>0</v>
      </c>
      <c r="L65" s="61">
        <f t="shared" si="17"/>
        <v>0</v>
      </c>
      <c r="M65" s="61">
        <f t="shared" si="17"/>
        <v>0</v>
      </c>
      <c r="N65" s="61">
        <f t="shared" si="17"/>
        <v>0</v>
      </c>
      <c r="O65" s="61">
        <f t="shared" si="17"/>
        <v>0</v>
      </c>
      <c r="P65" s="61">
        <f t="shared" si="17"/>
        <v>0</v>
      </c>
      <c r="Q65" s="61">
        <f t="shared" si="17"/>
        <v>0</v>
      </c>
      <c r="R65" s="61">
        <f t="shared" si="17"/>
        <v>0</v>
      </c>
      <c r="S65" s="61">
        <f t="shared" si="17"/>
        <v>0</v>
      </c>
      <c r="T65" s="61">
        <f t="shared" si="17"/>
        <v>0</v>
      </c>
      <c r="U65" s="61">
        <f t="shared" si="17"/>
        <v>0</v>
      </c>
      <c r="V65" s="61">
        <f t="shared" si="17"/>
        <v>0</v>
      </c>
      <c r="W65" s="61">
        <f t="shared" si="17"/>
        <v>0</v>
      </c>
      <c r="X65" s="61">
        <f t="shared" si="17"/>
        <v>0</v>
      </c>
      <c r="Y65" s="61">
        <f t="shared" si="17"/>
        <v>0</v>
      </c>
      <c r="Z65" s="52"/>
      <c r="AE65" s="86"/>
    </row>
    <row r="66" spans="1:33" s="5" customFormat="1" hidden="1" x14ac:dyDescent="0.25">
      <c r="A66" s="38" t="str">
        <f>A$18</f>
        <v>lot4</v>
      </c>
      <c r="B66" s="61">
        <f t="shared" si="17"/>
        <v>0</v>
      </c>
      <c r="C66" s="61">
        <f t="shared" si="17"/>
        <v>0</v>
      </c>
      <c r="D66" s="61">
        <f t="shared" si="17"/>
        <v>0</v>
      </c>
      <c r="E66" s="61">
        <f t="shared" si="17"/>
        <v>0</v>
      </c>
      <c r="F66" s="61">
        <f t="shared" si="17"/>
        <v>0</v>
      </c>
      <c r="G66" s="61">
        <f t="shared" si="17"/>
        <v>0</v>
      </c>
      <c r="H66" s="61">
        <f t="shared" si="17"/>
        <v>0</v>
      </c>
      <c r="I66" s="61">
        <f t="shared" si="17"/>
        <v>0</v>
      </c>
      <c r="J66" s="61">
        <f t="shared" si="17"/>
        <v>0</v>
      </c>
      <c r="K66" s="61">
        <f t="shared" si="17"/>
        <v>0</v>
      </c>
      <c r="L66" s="61">
        <f t="shared" si="17"/>
        <v>0</v>
      </c>
      <c r="M66" s="61">
        <f t="shared" si="17"/>
        <v>0</v>
      </c>
      <c r="N66" s="61">
        <f t="shared" si="17"/>
        <v>0</v>
      </c>
      <c r="O66" s="61">
        <f t="shared" si="17"/>
        <v>0</v>
      </c>
      <c r="P66" s="61">
        <f t="shared" si="17"/>
        <v>0</v>
      </c>
      <c r="Q66" s="61">
        <f t="shared" si="17"/>
        <v>0</v>
      </c>
      <c r="R66" s="61">
        <f t="shared" si="17"/>
        <v>0</v>
      </c>
      <c r="S66" s="61">
        <f t="shared" si="17"/>
        <v>0</v>
      </c>
      <c r="T66" s="61">
        <f t="shared" si="17"/>
        <v>0</v>
      </c>
      <c r="U66" s="61">
        <f t="shared" si="17"/>
        <v>0</v>
      </c>
      <c r="V66" s="61">
        <f t="shared" si="17"/>
        <v>0</v>
      </c>
      <c r="W66" s="61">
        <f t="shared" si="17"/>
        <v>0</v>
      </c>
      <c r="X66" s="61">
        <f t="shared" si="17"/>
        <v>0</v>
      </c>
      <c r="Y66" s="61">
        <f t="shared" si="17"/>
        <v>0</v>
      </c>
      <c r="Z66" s="52"/>
      <c r="AE66" s="86"/>
    </row>
    <row r="67" spans="1:33" s="5" customFormat="1" hidden="1" x14ac:dyDescent="0.25">
      <c r="A67" s="38" t="str">
        <f>A$19</f>
        <v>lot5</v>
      </c>
      <c r="B67" s="61">
        <f t="shared" si="17"/>
        <v>0</v>
      </c>
      <c r="C67" s="61">
        <f t="shared" si="17"/>
        <v>0</v>
      </c>
      <c r="D67" s="61">
        <f t="shared" si="17"/>
        <v>0</v>
      </c>
      <c r="E67" s="61">
        <f t="shared" si="17"/>
        <v>0</v>
      </c>
      <c r="F67" s="61">
        <f t="shared" si="17"/>
        <v>0</v>
      </c>
      <c r="G67" s="61">
        <f t="shared" si="17"/>
        <v>0</v>
      </c>
      <c r="H67" s="61">
        <f t="shared" si="17"/>
        <v>0</v>
      </c>
      <c r="I67" s="61">
        <f t="shared" si="17"/>
        <v>0</v>
      </c>
      <c r="J67" s="61">
        <f t="shared" si="17"/>
        <v>0</v>
      </c>
      <c r="K67" s="61">
        <f t="shared" si="17"/>
        <v>0</v>
      </c>
      <c r="L67" s="61">
        <f t="shared" si="17"/>
        <v>0</v>
      </c>
      <c r="M67" s="61">
        <f t="shared" si="17"/>
        <v>0</v>
      </c>
      <c r="N67" s="61">
        <f t="shared" si="17"/>
        <v>0</v>
      </c>
      <c r="O67" s="61">
        <f t="shared" si="17"/>
        <v>0</v>
      </c>
      <c r="P67" s="61">
        <f t="shared" si="17"/>
        <v>0</v>
      </c>
      <c r="Q67" s="61">
        <f t="shared" si="17"/>
        <v>0</v>
      </c>
      <c r="R67" s="61">
        <f t="shared" si="17"/>
        <v>0</v>
      </c>
      <c r="S67" s="61">
        <f t="shared" si="17"/>
        <v>0</v>
      </c>
      <c r="T67" s="61">
        <f t="shared" si="17"/>
        <v>0</v>
      </c>
      <c r="U67" s="61">
        <f t="shared" si="17"/>
        <v>0</v>
      </c>
      <c r="V67" s="61">
        <f t="shared" si="17"/>
        <v>0</v>
      </c>
      <c r="W67" s="61">
        <f t="shared" si="17"/>
        <v>0</v>
      </c>
      <c r="X67" s="61">
        <f t="shared" si="17"/>
        <v>0</v>
      </c>
      <c r="Y67" s="61">
        <f t="shared" si="17"/>
        <v>0</v>
      </c>
      <c r="Z67" s="52"/>
      <c r="AE67" s="86"/>
    </row>
    <row r="68" spans="1:33" s="5" customFormat="1" hidden="1" x14ac:dyDescent="0.25">
      <c r="A68" s="38" t="str">
        <f>A$20</f>
        <v>lot6</v>
      </c>
      <c r="B68" s="61">
        <f t="shared" si="17"/>
        <v>0</v>
      </c>
      <c r="C68" s="61">
        <f t="shared" si="17"/>
        <v>0</v>
      </c>
      <c r="D68" s="61">
        <f t="shared" si="17"/>
        <v>0</v>
      </c>
      <c r="E68" s="61">
        <f t="shared" si="17"/>
        <v>0</v>
      </c>
      <c r="F68" s="61">
        <f t="shared" si="17"/>
        <v>0</v>
      </c>
      <c r="G68" s="61">
        <f t="shared" si="17"/>
        <v>0</v>
      </c>
      <c r="H68" s="61">
        <f t="shared" si="17"/>
        <v>0</v>
      </c>
      <c r="I68" s="61">
        <f t="shared" si="17"/>
        <v>0</v>
      </c>
      <c r="J68" s="61">
        <f t="shared" si="17"/>
        <v>0</v>
      </c>
      <c r="K68" s="61">
        <f t="shared" si="17"/>
        <v>0</v>
      </c>
      <c r="L68" s="61">
        <f t="shared" si="17"/>
        <v>0</v>
      </c>
      <c r="M68" s="61">
        <f t="shared" si="17"/>
        <v>0</v>
      </c>
      <c r="N68" s="61">
        <f t="shared" si="17"/>
        <v>0</v>
      </c>
      <c r="O68" s="61">
        <f t="shared" si="17"/>
        <v>0</v>
      </c>
      <c r="P68" s="61">
        <f t="shared" si="17"/>
        <v>0</v>
      </c>
      <c r="Q68" s="61">
        <f t="shared" si="17"/>
        <v>0</v>
      </c>
      <c r="R68" s="61">
        <f t="shared" si="17"/>
        <v>0</v>
      </c>
      <c r="S68" s="61">
        <f t="shared" si="17"/>
        <v>0</v>
      </c>
      <c r="T68" s="61">
        <f t="shared" si="17"/>
        <v>0</v>
      </c>
      <c r="U68" s="61">
        <f t="shared" si="17"/>
        <v>0</v>
      </c>
      <c r="V68" s="61">
        <f t="shared" si="17"/>
        <v>0</v>
      </c>
      <c r="W68" s="61">
        <f t="shared" si="17"/>
        <v>0</v>
      </c>
      <c r="X68" s="61">
        <f t="shared" si="17"/>
        <v>0</v>
      </c>
      <c r="Y68" s="61">
        <f t="shared" si="17"/>
        <v>0</v>
      </c>
      <c r="Z68" s="52"/>
      <c r="AE68" s="86"/>
    </row>
    <row r="69" spans="1:33" s="5" customFormat="1" hidden="1" x14ac:dyDescent="0.25">
      <c r="A69" s="38" t="str">
        <f>A$21</f>
        <v>lot7</v>
      </c>
      <c r="B69" s="61">
        <f t="shared" si="17"/>
        <v>0</v>
      </c>
      <c r="C69" s="61">
        <f t="shared" si="17"/>
        <v>0</v>
      </c>
      <c r="D69" s="61">
        <f t="shared" si="17"/>
        <v>0</v>
      </c>
      <c r="E69" s="61">
        <f t="shared" si="17"/>
        <v>0</v>
      </c>
      <c r="F69" s="61">
        <f t="shared" si="17"/>
        <v>0</v>
      </c>
      <c r="G69" s="61">
        <f t="shared" si="17"/>
        <v>0</v>
      </c>
      <c r="H69" s="61">
        <f t="shared" si="17"/>
        <v>0</v>
      </c>
      <c r="I69" s="61">
        <f t="shared" si="17"/>
        <v>0</v>
      </c>
      <c r="J69" s="61">
        <f t="shared" si="17"/>
        <v>0</v>
      </c>
      <c r="K69" s="61">
        <f t="shared" si="17"/>
        <v>0</v>
      </c>
      <c r="L69" s="61">
        <f t="shared" si="17"/>
        <v>0</v>
      </c>
      <c r="M69" s="61">
        <f t="shared" si="17"/>
        <v>0</v>
      </c>
      <c r="N69" s="61">
        <f t="shared" si="17"/>
        <v>0</v>
      </c>
      <c r="O69" s="61">
        <f t="shared" si="17"/>
        <v>0</v>
      </c>
      <c r="P69" s="61">
        <f t="shared" si="17"/>
        <v>0</v>
      </c>
      <c r="Q69" s="61">
        <f t="shared" si="17"/>
        <v>0</v>
      </c>
      <c r="R69" s="61">
        <f t="shared" si="17"/>
        <v>0</v>
      </c>
      <c r="S69" s="61">
        <f t="shared" si="17"/>
        <v>0</v>
      </c>
      <c r="T69" s="61">
        <f t="shared" si="17"/>
        <v>0</v>
      </c>
      <c r="U69" s="61">
        <f t="shared" si="17"/>
        <v>0</v>
      </c>
      <c r="V69" s="61">
        <f t="shared" si="17"/>
        <v>0</v>
      </c>
      <c r="W69" s="61">
        <f t="shared" si="17"/>
        <v>0</v>
      </c>
      <c r="X69" s="61">
        <f t="shared" si="17"/>
        <v>0</v>
      </c>
      <c r="Y69" s="61">
        <f t="shared" si="17"/>
        <v>0</v>
      </c>
      <c r="Z69" s="52"/>
      <c r="AE69" s="86"/>
    </row>
    <row r="70" spans="1:33" s="5" customFormat="1" hidden="1" x14ac:dyDescent="0.25">
      <c r="A70" s="38" t="str">
        <f>A$22</f>
        <v>lot8</v>
      </c>
      <c r="B70" s="61">
        <f t="shared" si="17"/>
        <v>0</v>
      </c>
      <c r="C70" s="61">
        <f t="shared" si="17"/>
        <v>0</v>
      </c>
      <c r="D70" s="61">
        <f t="shared" si="17"/>
        <v>0</v>
      </c>
      <c r="E70" s="61">
        <f t="shared" si="17"/>
        <v>0</v>
      </c>
      <c r="F70" s="61">
        <f t="shared" si="17"/>
        <v>0</v>
      </c>
      <c r="G70" s="61">
        <f t="shared" si="17"/>
        <v>0</v>
      </c>
      <c r="H70" s="61">
        <f t="shared" si="17"/>
        <v>0</v>
      </c>
      <c r="I70" s="61">
        <f t="shared" si="17"/>
        <v>0</v>
      </c>
      <c r="J70" s="61">
        <f t="shared" si="17"/>
        <v>0</v>
      </c>
      <c r="K70" s="61">
        <f t="shared" si="17"/>
        <v>0</v>
      </c>
      <c r="L70" s="61">
        <f t="shared" si="17"/>
        <v>0</v>
      </c>
      <c r="M70" s="61">
        <f t="shared" si="17"/>
        <v>0</v>
      </c>
      <c r="N70" s="61">
        <f t="shared" si="17"/>
        <v>0</v>
      </c>
      <c r="O70" s="61">
        <f t="shared" si="17"/>
        <v>0</v>
      </c>
      <c r="P70" s="61">
        <f t="shared" si="17"/>
        <v>0</v>
      </c>
      <c r="Q70" s="61">
        <f t="shared" si="17"/>
        <v>0</v>
      </c>
      <c r="R70" s="61">
        <f t="shared" si="17"/>
        <v>0</v>
      </c>
      <c r="S70" s="61">
        <f t="shared" si="17"/>
        <v>0</v>
      </c>
      <c r="T70" s="61">
        <f t="shared" si="17"/>
        <v>0</v>
      </c>
      <c r="U70" s="61">
        <f t="shared" si="17"/>
        <v>0</v>
      </c>
      <c r="V70" s="61">
        <f t="shared" si="17"/>
        <v>0</v>
      </c>
      <c r="W70" s="61">
        <f t="shared" si="17"/>
        <v>0</v>
      </c>
      <c r="X70" s="61">
        <f t="shared" si="17"/>
        <v>0</v>
      </c>
      <c r="Y70" s="61">
        <f t="shared" si="17"/>
        <v>0</v>
      </c>
      <c r="Z70" s="52"/>
      <c r="AE70" s="86"/>
    </row>
    <row r="71" spans="1:33" s="5" customFormat="1" hidden="1" x14ac:dyDescent="0.25">
      <c r="A71" s="38" t="str">
        <f>A$23</f>
        <v>lot9</v>
      </c>
      <c r="B71" s="61">
        <f t="shared" si="17"/>
        <v>0</v>
      </c>
      <c r="C71" s="61">
        <f t="shared" si="17"/>
        <v>0</v>
      </c>
      <c r="D71" s="61">
        <f t="shared" si="17"/>
        <v>0</v>
      </c>
      <c r="E71" s="61">
        <f t="shared" si="17"/>
        <v>0</v>
      </c>
      <c r="F71" s="61">
        <f t="shared" si="17"/>
        <v>0</v>
      </c>
      <c r="G71" s="61">
        <f t="shared" si="17"/>
        <v>0</v>
      </c>
      <c r="H71" s="61">
        <f t="shared" si="17"/>
        <v>0</v>
      </c>
      <c r="I71" s="61">
        <f t="shared" si="17"/>
        <v>0</v>
      </c>
      <c r="J71" s="61">
        <f t="shared" si="17"/>
        <v>0</v>
      </c>
      <c r="K71" s="61">
        <f t="shared" si="17"/>
        <v>0</v>
      </c>
      <c r="L71" s="61">
        <f t="shared" si="17"/>
        <v>0</v>
      </c>
      <c r="M71" s="61">
        <f t="shared" si="17"/>
        <v>0</v>
      </c>
      <c r="N71" s="61">
        <f t="shared" si="17"/>
        <v>0</v>
      </c>
      <c r="O71" s="61">
        <f t="shared" si="17"/>
        <v>0</v>
      </c>
      <c r="P71" s="61">
        <f t="shared" si="17"/>
        <v>0</v>
      </c>
      <c r="Q71" s="61">
        <f t="shared" si="17"/>
        <v>0</v>
      </c>
      <c r="R71" s="61">
        <f t="shared" si="17"/>
        <v>0</v>
      </c>
      <c r="S71" s="61">
        <f t="shared" si="17"/>
        <v>0</v>
      </c>
      <c r="T71" s="61">
        <f t="shared" si="17"/>
        <v>0</v>
      </c>
      <c r="U71" s="61">
        <f t="shared" si="17"/>
        <v>0</v>
      </c>
      <c r="V71" s="61">
        <f t="shared" si="17"/>
        <v>0</v>
      </c>
      <c r="W71" s="61">
        <f t="shared" si="17"/>
        <v>0</v>
      </c>
      <c r="X71" s="61">
        <f t="shared" si="17"/>
        <v>0</v>
      </c>
      <c r="Y71" s="61">
        <f t="shared" si="17"/>
        <v>0</v>
      </c>
      <c r="Z71" s="52"/>
      <c r="AE71" s="86"/>
    </row>
    <row r="72" spans="1:33" s="5" customFormat="1" hidden="1" x14ac:dyDescent="0.25">
      <c r="A72" s="38" t="str">
        <f>A$24</f>
        <v>lot10</v>
      </c>
      <c r="B72" s="61">
        <f t="shared" si="17"/>
        <v>0</v>
      </c>
      <c r="C72" s="61">
        <f t="shared" si="17"/>
        <v>0</v>
      </c>
      <c r="D72" s="61">
        <f t="shared" si="17"/>
        <v>0</v>
      </c>
      <c r="E72" s="61">
        <f t="shared" si="17"/>
        <v>0</v>
      </c>
      <c r="F72" s="61">
        <f t="shared" si="17"/>
        <v>0</v>
      </c>
      <c r="G72" s="61">
        <f t="shared" si="17"/>
        <v>0</v>
      </c>
      <c r="H72" s="61">
        <f t="shared" si="17"/>
        <v>0</v>
      </c>
      <c r="I72" s="61">
        <f t="shared" si="17"/>
        <v>0</v>
      </c>
      <c r="J72" s="61">
        <f t="shared" si="17"/>
        <v>0</v>
      </c>
      <c r="K72" s="61">
        <f t="shared" si="17"/>
        <v>0</v>
      </c>
      <c r="L72" s="61">
        <f t="shared" si="17"/>
        <v>0</v>
      </c>
      <c r="M72" s="61">
        <f t="shared" si="17"/>
        <v>0</v>
      </c>
      <c r="N72" s="61">
        <f t="shared" si="17"/>
        <v>0</v>
      </c>
      <c r="O72" s="61">
        <f t="shared" si="17"/>
        <v>0</v>
      </c>
      <c r="P72" s="61">
        <f t="shared" si="17"/>
        <v>0</v>
      </c>
      <c r="Q72" s="61">
        <f t="shared" si="17"/>
        <v>0</v>
      </c>
      <c r="R72" s="61">
        <f t="shared" si="17"/>
        <v>0</v>
      </c>
      <c r="S72" s="61">
        <f t="shared" si="17"/>
        <v>0</v>
      </c>
      <c r="T72" s="61">
        <f t="shared" si="17"/>
        <v>0</v>
      </c>
      <c r="U72" s="61">
        <f t="shared" si="17"/>
        <v>0</v>
      </c>
      <c r="V72" s="61">
        <f t="shared" si="17"/>
        <v>0</v>
      </c>
      <c r="W72" s="61">
        <f t="shared" si="17"/>
        <v>0</v>
      </c>
      <c r="X72" s="61">
        <f t="shared" si="17"/>
        <v>0</v>
      </c>
      <c r="Y72" s="61">
        <f t="shared" si="17"/>
        <v>0</v>
      </c>
      <c r="Z72" s="52"/>
      <c r="AE72" s="86"/>
    </row>
    <row r="73" spans="1:33" s="5" customFormat="1" x14ac:dyDescent="0.25">
      <c r="A73" s="52" t="s">
        <v>179</v>
      </c>
      <c r="B73" s="64">
        <f>ROUND(SUM(B63:B72),0)</f>
        <v>0</v>
      </c>
      <c r="C73" s="64">
        <f t="shared" ref="C73:Y73" si="18">ROUND(SUM(C63:C72),0)</f>
        <v>0</v>
      </c>
      <c r="D73" s="64">
        <f t="shared" si="18"/>
        <v>0</v>
      </c>
      <c r="E73" s="64">
        <f t="shared" si="18"/>
        <v>0</v>
      </c>
      <c r="F73" s="64">
        <f t="shared" si="18"/>
        <v>0</v>
      </c>
      <c r="G73" s="64">
        <f t="shared" si="18"/>
        <v>0</v>
      </c>
      <c r="H73" s="64">
        <f t="shared" si="18"/>
        <v>0</v>
      </c>
      <c r="I73" s="64">
        <f t="shared" si="18"/>
        <v>0</v>
      </c>
      <c r="J73" s="64">
        <f t="shared" si="18"/>
        <v>0</v>
      </c>
      <c r="K73" s="64">
        <f t="shared" si="18"/>
        <v>0</v>
      </c>
      <c r="L73" s="64">
        <f t="shared" si="18"/>
        <v>0</v>
      </c>
      <c r="M73" s="64">
        <f t="shared" si="18"/>
        <v>0</v>
      </c>
      <c r="N73" s="64">
        <f t="shared" si="18"/>
        <v>0</v>
      </c>
      <c r="O73" s="64">
        <f t="shared" si="18"/>
        <v>0</v>
      </c>
      <c r="P73" s="64">
        <f t="shared" si="18"/>
        <v>0</v>
      </c>
      <c r="Q73" s="64">
        <f t="shared" si="18"/>
        <v>0</v>
      </c>
      <c r="R73" s="64">
        <f t="shared" si="18"/>
        <v>0</v>
      </c>
      <c r="S73" s="64">
        <f t="shared" si="18"/>
        <v>0</v>
      </c>
      <c r="T73" s="64">
        <f t="shared" si="18"/>
        <v>0</v>
      </c>
      <c r="U73" s="64">
        <f t="shared" si="18"/>
        <v>0</v>
      </c>
      <c r="V73" s="64">
        <f t="shared" si="18"/>
        <v>0</v>
      </c>
      <c r="W73" s="64">
        <f t="shared" si="18"/>
        <v>0</v>
      </c>
      <c r="X73" s="64">
        <f t="shared" si="18"/>
        <v>0</v>
      </c>
      <c r="Y73" s="64">
        <f t="shared" si="18"/>
        <v>0</v>
      </c>
      <c r="Z73" s="52"/>
      <c r="AA73" s="56">
        <f>ROUND(SUM(B73:Y73),0)</f>
        <v>0</v>
      </c>
      <c r="AB73" s="52" t="s">
        <v>178</v>
      </c>
      <c r="AE73" s="86"/>
    </row>
    <row r="74" spans="1:33" s="5" customFormat="1" x14ac:dyDescent="0.25">
      <c r="A74" s="52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52"/>
      <c r="AA74" s="55"/>
      <c r="AB74" s="52"/>
      <c r="AE74" s="86"/>
    </row>
    <row r="75" spans="1:33" x14ac:dyDescent="0.25">
      <c r="A75" s="2" t="s">
        <v>209</v>
      </c>
      <c r="AG75" s="5"/>
    </row>
    <row r="76" spans="1:33" x14ac:dyDescent="0.25">
      <c r="A76" s="127" t="str">
        <f>A$15</f>
        <v>lot1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/>
      <c r="AG76" s="5"/>
    </row>
    <row r="77" spans="1:33" x14ac:dyDescent="0.25">
      <c r="A77" s="128" t="str">
        <f>A$16</f>
        <v>lot2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AG77" s="5"/>
    </row>
    <row r="78" spans="1:33" x14ac:dyDescent="0.25">
      <c r="A78" s="128" t="str">
        <f>A$17</f>
        <v>lot3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AG78" s="5"/>
    </row>
    <row r="79" spans="1:33" x14ac:dyDescent="0.25">
      <c r="A79" s="127" t="str">
        <f>A$18</f>
        <v>lot4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AG79" s="5"/>
    </row>
    <row r="80" spans="1:33" x14ac:dyDescent="0.25">
      <c r="A80" s="128" t="str">
        <f>A$19</f>
        <v>lot5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AG80" s="5"/>
    </row>
    <row r="81" spans="1:33" x14ac:dyDescent="0.25">
      <c r="A81" s="127" t="str">
        <f>A$20</f>
        <v>lot6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AG81" s="5"/>
    </row>
    <row r="82" spans="1:33" x14ac:dyDescent="0.25">
      <c r="A82" s="128" t="str">
        <f>A$21</f>
        <v>lot7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</row>
    <row r="83" spans="1:33" x14ac:dyDescent="0.25">
      <c r="A83" s="128" t="str">
        <f>A$22</f>
        <v>lot8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</row>
    <row r="84" spans="1:33" x14ac:dyDescent="0.25">
      <c r="A84" s="127" t="str">
        <f>A$23</f>
        <v>lot9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1:33" x14ac:dyDescent="0.25">
      <c r="A85" s="128" t="str">
        <f>A$24</f>
        <v>lot10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1:33" s="5" customFormat="1" x14ac:dyDescent="0.25">
      <c r="A86" s="52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52"/>
      <c r="AA86" s="55"/>
      <c r="AB86" s="52"/>
      <c r="AE86" s="86"/>
      <c r="AG86"/>
    </row>
    <row r="87" spans="1:33" x14ac:dyDescent="0.25">
      <c r="A87" s="2" t="s">
        <v>192</v>
      </c>
    </row>
    <row r="88" spans="1:33" x14ac:dyDescent="0.25">
      <c r="A88" s="127" t="str">
        <f>A$15</f>
        <v>lot1</v>
      </c>
      <c r="B88" s="60">
        <v>1</v>
      </c>
      <c r="C88" s="60">
        <v>1</v>
      </c>
      <c r="D88" s="60">
        <v>1</v>
      </c>
      <c r="E88" s="60">
        <v>1</v>
      </c>
      <c r="F88" s="60">
        <v>1</v>
      </c>
      <c r="G88" s="60">
        <v>1</v>
      </c>
      <c r="H88" s="60">
        <v>1</v>
      </c>
      <c r="I88" s="60">
        <v>1</v>
      </c>
      <c r="J88" s="60">
        <v>1</v>
      </c>
      <c r="K88" s="60">
        <v>1</v>
      </c>
      <c r="L88" s="60">
        <v>1</v>
      </c>
      <c r="M88" s="60">
        <v>1</v>
      </c>
      <c r="N88" s="60">
        <v>1</v>
      </c>
      <c r="O88" s="60">
        <v>1</v>
      </c>
      <c r="P88" s="60">
        <v>1</v>
      </c>
      <c r="Q88" s="60">
        <v>1</v>
      </c>
      <c r="R88" s="60">
        <v>1</v>
      </c>
      <c r="S88" s="60">
        <v>1</v>
      </c>
      <c r="T88" s="60">
        <v>1</v>
      </c>
      <c r="U88" s="60">
        <v>1</v>
      </c>
      <c r="V88" s="60">
        <v>1</v>
      </c>
      <c r="W88" s="60">
        <v>1</v>
      </c>
      <c r="X88" s="60">
        <v>1</v>
      </c>
      <c r="Y88" s="60">
        <v>1</v>
      </c>
    </row>
    <row r="89" spans="1:33" x14ac:dyDescent="0.25">
      <c r="A89" s="128" t="str">
        <f>A$16</f>
        <v>lot2</v>
      </c>
      <c r="B89" s="60">
        <v>1</v>
      </c>
      <c r="C89" s="60">
        <v>1</v>
      </c>
      <c r="D89" s="60">
        <v>1</v>
      </c>
      <c r="E89" s="60">
        <v>1</v>
      </c>
      <c r="F89" s="60">
        <v>1</v>
      </c>
      <c r="G89" s="60">
        <v>1</v>
      </c>
      <c r="H89" s="60">
        <v>1</v>
      </c>
      <c r="I89" s="60">
        <v>1</v>
      </c>
      <c r="J89" s="60">
        <v>1</v>
      </c>
      <c r="K89" s="60">
        <v>1</v>
      </c>
      <c r="L89" s="60">
        <v>1</v>
      </c>
      <c r="M89" s="60">
        <v>1</v>
      </c>
      <c r="N89" s="60">
        <v>1</v>
      </c>
      <c r="O89" s="60">
        <v>1</v>
      </c>
      <c r="P89" s="60">
        <v>1</v>
      </c>
      <c r="Q89" s="60">
        <v>1</v>
      </c>
      <c r="R89" s="60">
        <v>1</v>
      </c>
      <c r="S89" s="60">
        <v>1</v>
      </c>
      <c r="T89" s="60">
        <v>1</v>
      </c>
      <c r="U89" s="60">
        <v>1</v>
      </c>
      <c r="V89" s="60">
        <v>1</v>
      </c>
      <c r="W89" s="60">
        <v>1</v>
      </c>
      <c r="X89" s="60">
        <v>1</v>
      </c>
      <c r="Y89" s="60">
        <v>1</v>
      </c>
    </row>
    <row r="90" spans="1:33" x14ac:dyDescent="0.25">
      <c r="A90" s="128" t="str">
        <f>A$17</f>
        <v>lot3</v>
      </c>
      <c r="B90" s="60">
        <v>1</v>
      </c>
      <c r="C90" s="60">
        <v>1</v>
      </c>
      <c r="D90" s="60">
        <v>1</v>
      </c>
      <c r="E90" s="60">
        <v>1</v>
      </c>
      <c r="F90" s="60">
        <v>1</v>
      </c>
      <c r="G90" s="60">
        <v>1</v>
      </c>
      <c r="H90" s="60">
        <v>1</v>
      </c>
      <c r="I90" s="60">
        <v>1</v>
      </c>
      <c r="J90" s="60">
        <v>1</v>
      </c>
      <c r="K90" s="60">
        <v>1</v>
      </c>
      <c r="L90" s="60">
        <v>1</v>
      </c>
      <c r="M90" s="60">
        <v>1</v>
      </c>
      <c r="N90" s="60">
        <v>1</v>
      </c>
      <c r="O90" s="60">
        <v>1</v>
      </c>
      <c r="P90" s="60">
        <v>1</v>
      </c>
      <c r="Q90" s="60">
        <v>1</v>
      </c>
      <c r="R90" s="60">
        <v>1</v>
      </c>
      <c r="S90" s="60">
        <v>1</v>
      </c>
      <c r="T90" s="60">
        <v>1</v>
      </c>
      <c r="U90" s="60">
        <v>1</v>
      </c>
      <c r="V90" s="60">
        <v>1</v>
      </c>
      <c r="W90" s="60">
        <v>1</v>
      </c>
      <c r="X90" s="60">
        <v>1</v>
      </c>
      <c r="Y90" s="60">
        <v>1</v>
      </c>
    </row>
    <row r="91" spans="1:33" x14ac:dyDescent="0.25">
      <c r="A91" s="127" t="str">
        <f>A$18</f>
        <v>lot4</v>
      </c>
      <c r="B91" s="60">
        <v>1</v>
      </c>
      <c r="C91" s="60">
        <v>1</v>
      </c>
      <c r="D91" s="60">
        <v>1</v>
      </c>
      <c r="E91" s="60">
        <v>1</v>
      </c>
      <c r="F91" s="60">
        <v>1</v>
      </c>
      <c r="G91" s="60">
        <v>1</v>
      </c>
      <c r="H91" s="60">
        <v>1</v>
      </c>
      <c r="I91" s="60">
        <v>1</v>
      </c>
      <c r="J91" s="60">
        <v>1</v>
      </c>
      <c r="K91" s="60">
        <v>1</v>
      </c>
      <c r="L91" s="60">
        <v>1</v>
      </c>
      <c r="M91" s="60">
        <v>1</v>
      </c>
      <c r="N91" s="60">
        <v>1</v>
      </c>
      <c r="O91" s="60">
        <v>1</v>
      </c>
      <c r="P91" s="60">
        <v>1</v>
      </c>
      <c r="Q91" s="60">
        <v>1</v>
      </c>
      <c r="R91" s="60">
        <v>1</v>
      </c>
      <c r="S91" s="60">
        <v>1</v>
      </c>
      <c r="T91" s="60">
        <v>1</v>
      </c>
      <c r="U91" s="60">
        <v>1</v>
      </c>
      <c r="V91" s="60">
        <v>1</v>
      </c>
      <c r="W91" s="60">
        <v>1</v>
      </c>
      <c r="X91" s="60">
        <v>1</v>
      </c>
      <c r="Y91" s="60">
        <v>1</v>
      </c>
    </row>
    <row r="92" spans="1:33" x14ac:dyDescent="0.25">
      <c r="A92" s="128" t="str">
        <f>A$19</f>
        <v>lot5</v>
      </c>
      <c r="B92" s="60">
        <v>1</v>
      </c>
      <c r="C92" s="60">
        <v>1</v>
      </c>
      <c r="D92" s="60">
        <v>1</v>
      </c>
      <c r="E92" s="60">
        <v>1</v>
      </c>
      <c r="F92" s="60">
        <v>1</v>
      </c>
      <c r="G92" s="60">
        <v>1</v>
      </c>
      <c r="H92" s="60">
        <v>1</v>
      </c>
      <c r="I92" s="60">
        <v>1</v>
      </c>
      <c r="J92" s="60">
        <v>1</v>
      </c>
      <c r="K92" s="60">
        <v>1</v>
      </c>
      <c r="L92" s="60">
        <v>1</v>
      </c>
      <c r="M92" s="60">
        <v>1</v>
      </c>
      <c r="N92" s="60">
        <v>1</v>
      </c>
      <c r="O92" s="60">
        <v>1</v>
      </c>
      <c r="P92" s="60">
        <v>1</v>
      </c>
      <c r="Q92" s="60">
        <v>1</v>
      </c>
      <c r="R92" s="60">
        <v>1</v>
      </c>
      <c r="S92" s="60">
        <v>1</v>
      </c>
      <c r="T92" s="60">
        <v>1</v>
      </c>
      <c r="U92" s="60">
        <v>1</v>
      </c>
      <c r="V92" s="60">
        <v>1</v>
      </c>
      <c r="W92" s="60">
        <v>1</v>
      </c>
      <c r="X92" s="60">
        <v>1</v>
      </c>
      <c r="Y92" s="60">
        <v>1</v>
      </c>
    </row>
    <row r="93" spans="1:33" x14ac:dyDescent="0.25">
      <c r="A93" s="127" t="str">
        <f>A$20</f>
        <v>lot6</v>
      </c>
      <c r="B93" s="60">
        <v>1</v>
      </c>
      <c r="C93" s="60">
        <v>1</v>
      </c>
      <c r="D93" s="60">
        <v>1</v>
      </c>
      <c r="E93" s="60">
        <v>1</v>
      </c>
      <c r="F93" s="60">
        <v>1</v>
      </c>
      <c r="G93" s="60">
        <v>1</v>
      </c>
      <c r="H93" s="60">
        <v>1</v>
      </c>
      <c r="I93" s="60">
        <v>1</v>
      </c>
      <c r="J93" s="60">
        <v>1</v>
      </c>
      <c r="K93" s="60">
        <v>1</v>
      </c>
      <c r="L93" s="60">
        <v>1</v>
      </c>
      <c r="M93" s="60">
        <v>1</v>
      </c>
      <c r="N93" s="60">
        <v>1</v>
      </c>
      <c r="O93" s="60">
        <v>1</v>
      </c>
      <c r="P93" s="60">
        <v>1</v>
      </c>
      <c r="Q93" s="60">
        <v>1</v>
      </c>
      <c r="R93" s="60">
        <v>1</v>
      </c>
      <c r="S93" s="60">
        <v>1</v>
      </c>
      <c r="T93" s="60">
        <v>1</v>
      </c>
      <c r="U93" s="60">
        <v>1</v>
      </c>
      <c r="V93" s="60">
        <v>1</v>
      </c>
      <c r="W93" s="60">
        <v>1</v>
      </c>
      <c r="X93" s="60">
        <v>1</v>
      </c>
      <c r="Y93" s="60">
        <v>1</v>
      </c>
    </row>
    <row r="94" spans="1:33" x14ac:dyDescent="0.25">
      <c r="A94" s="128" t="str">
        <f>A$21</f>
        <v>lot7</v>
      </c>
      <c r="B94" s="60">
        <v>1</v>
      </c>
      <c r="C94" s="60">
        <v>1</v>
      </c>
      <c r="D94" s="60">
        <v>1</v>
      </c>
      <c r="E94" s="60">
        <v>1</v>
      </c>
      <c r="F94" s="60">
        <v>1</v>
      </c>
      <c r="G94" s="60">
        <v>1</v>
      </c>
      <c r="H94" s="60">
        <v>1</v>
      </c>
      <c r="I94" s="60">
        <v>1</v>
      </c>
      <c r="J94" s="60">
        <v>1</v>
      </c>
      <c r="K94" s="60">
        <v>1</v>
      </c>
      <c r="L94" s="60">
        <v>1</v>
      </c>
      <c r="M94" s="60">
        <v>1</v>
      </c>
      <c r="N94" s="60">
        <v>1</v>
      </c>
      <c r="O94" s="60">
        <v>1</v>
      </c>
      <c r="P94" s="60">
        <v>1</v>
      </c>
      <c r="Q94" s="60">
        <v>1</v>
      </c>
      <c r="R94" s="60">
        <v>1</v>
      </c>
      <c r="S94" s="60">
        <v>1</v>
      </c>
      <c r="T94" s="60">
        <v>1</v>
      </c>
      <c r="U94" s="60">
        <v>1</v>
      </c>
      <c r="V94" s="60">
        <v>1</v>
      </c>
      <c r="W94" s="60">
        <v>1</v>
      </c>
      <c r="X94" s="60">
        <v>1</v>
      </c>
      <c r="Y94" s="60">
        <v>1</v>
      </c>
    </row>
    <row r="95" spans="1:33" x14ac:dyDescent="0.25">
      <c r="A95" s="128" t="str">
        <f>A$22</f>
        <v>lot8</v>
      </c>
      <c r="B95" s="60">
        <v>1</v>
      </c>
      <c r="C95" s="60">
        <v>1</v>
      </c>
      <c r="D95" s="60">
        <v>1</v>
      </c>
      <c r="E95" s="60">
        <v>1</v>
      </c>
      <c r="F95" s="60">
        <v>1</v>
      </c>
      <c r="G95" s="60">
        <v>1</v>
      </c>
      <c r="H95" s="60">
        <v>1</v>
      </c>
      <c r="I95" s="60">
        <v>1</v>
      </c>
      <c r="J95" s="60">
        <v>1</v>
      </c>
      <c r="K95" s="60">
        <v>1</v>
      </c>
      <c r="L95" s="60">
        <v>1</v>
      </c>
      <c r="M95" s="60">
        <v>1</v>
      </c>
      <c r="N95" s="60">
        <v>1</v>
      </c>
      <c r="O95" s="60">
        <v>1</v>
      </c>
      <c r="P95" s="60">
        <v>1</v>
      </c>
      <c r="Q95" s="60">
        <v>1</v>
      </c>
      <c r="R95" s="60">
        <v>1</v>
      </c>
      <c r="S95" s="60">
        <v>1</v>
      </c>
      <c r="T95" s="60">
        <v>1</v>
      </c>
      <c r="U95" s="60">
        <v>1</v>
      </c>
      <c r="V95" s="60">
        <v>1</v>
      </c>
      <c r="W95" s="60">
        <v>1</v>
      </c>
      <c r="X95" s="60">
        <v>1</v>
      </c>
      <c r="Y95" s="60">
        <v>1</v>
      </c>
    </row>
    <row r="96" spans="1:33" x14ac:dyDescent="0.25">
      <c r="A96" s="127" t="str">
        <f>A$23</f>
        <v>lot9</v>
      </c>
      <c r="B96" s="60">
        <v>1</v>
      </c>
      <c r="C96" s="60">
        <v>1</v>
      </c>
      <c r="D96" s="60">
        <v>1</v>
      </c>
      <c r="E96" s="60">
        <v>1</v>
      </c>
      <c r="F96" s="60">
        <v>1</v>
      </c>
      <c r="G96" s="60">
        <v>1</v>
      </c>
      <c r="H96" s="60">
        <v>1</v>
      </c>
      <c r="I96" s="60">
        <v>1</v>
      </c>
      <c r="J96" s="60">
        <v>1</v>
      </c>
      <c r="K96" s="60">
        <v>1</v>
      </c>
      <c r="L96" s="60">
        <v>1</v>
      </c>
      <c r="M96" s="60">
        <v>1</v>
      </c>
      <c r="N96" s="60">
        <v>1</v>
      </c>
      <c r="O96" s="60">
        <v>1</v>
      </c>
      <c r="P96" s="60">
        <v>1</v>
      </c>
      <c r="Q96" s="60">
        <v>1</v>
      </c>
      <c r="R96" s="60">
        <v>1</v>
      </c>
      <c r="S96" s="60">
        <v>1</v>
      </c>
      <c r="T96" s="60">
        <v>1</v>
      </c>
      <c r="U96" s="60">
        <v>1</v>
      </c>
      <c r="V96" s="60">
        <v>1</v>
      </c>
      <c r="W96" s="60">
        <v>1</v>
      </c>
      <c r="X96" s="60">
        <v>1</v>
      </c>
      <c r="Y96" s="60">
        <v>1</v>
      </c>
    </row>
    <row r="97" spans="1:33" x14ac:dyDescent="0.25">
      <c r="A97" s="128" t="str">
        <f>A$24</f>
        <v>lot10</v>
      </c>
      <c r="B97" s="60">
        <v>1</v>
      </c>
      <c r="C97" s="60">
        <v>1</v>
      </c>
      <c r="D97" s="60">
        <v>1</v>
      </c>
      <c r="E97" s="60">
        <v>1</v>
      </c>
      <c r="F97" s="60">
        <v>1</v>
      </c>
      <c r="G97" s="60">
        <v>1</v>
      </c>
      <c r="H97" s="60">
        <v>1</v>
      </c>
      <c r="I97" s="60">
        <v>1</v>
      </c>
      <c r="J97" s="60">
        <v>1</v>
      </c>
      <c r="K97" s="60">
        <v>1</v>
      </c>
      <c r="L97" s="60">
        <v>1</v>
      </c>
      <c r="M97" s="60">
        <v>1</v>
      </c>
      <c r="N97" s="60">
        <v>1</v>
      </c>
      <c r="O97" s="60">
        <v>1</v>
      </c>
      <c r="P97" s="60">
        <v>1</v>
      </c>
      <c r="Q97" s="60">
        <v>1</v>
      </c>
      <c r="R97" s="60">
        <v>1</v>
      </c>
      <c r="S97" s="60">
        <v>1</v>
      </c>
      <c r="T97" s="60">
        <v>1</v>
      </c>
      <c r="U97" s="60">
        <v>1</v>
      </c>
      <c r="V97" s="60">
        <v>1</v>
      </c>
      <c r="W97" s="60">
        <v>1</v>
      </c>
      <c r="X97" s="60">
        <v>1</v>
      </c>
      <c r="Y97" s="60">
        <v>1</v>
      </c>
    </row>
    <row r="98" spans="1:33" s="5" customFormat="1" x14ac:dyDescent="0.25">
      <c r="A98" s="23" t="s">
        <v>204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AE98" s="86"/>
      <c r="AG98"/>
    </row>
    <row r="99" spans="1:33" x14ac:dyDescent="0.25">
      <c r="A99" s="127" t="str">
        <f>A$15</f>
        <v>lot1</v>
      </c>
      <c r="B99" s="61">
        <f>VLOOKUP(B88,$AD$6:$AF$10,3)</f>
        <v>0</v>
      </c>
      <c r="C99" s="61">
        <f t="shared" ref="C99:Y99" si="19">VLOOKUP(C88,$AD$6:$AF$10,3)</f>
        <v>0</v>
      </c>
      <c r="D99" s="61">
        <f t="shared" si="19"/>
        <v>0</v>
      </c>
      <c r="E99" s="61">
        <f t="shared" si="19"/>
        <v>0</v>
      </c>
      <c r="F99" s="61">
        <f t="shared" si="19"/>
        <v>0</v>
      </c>
      <c r="G99" s="61">
        <f t="shared" si="19"/>
        <v>0</v>
      </c>
      <c r="H99" s="61">
        <f t="shared" si="19"/>
        <v>0</v>
      </c>
      <c r="I99" s="61">
        <f t="shared" si="19"/>
        <v>0</v>
      </c>
      <c r="J99" s="61">
        <f t="shared" si="19"/>
        <v>0</v>
      </c>
      <c r="K99" s="61">
        <f t="shared" si="19"/>
        <v>0</v>
      </c>
      <c r="L99" s="61">
        <f t="shared" si="19"/>
        <v>0</v>
      </c>
      <c r="M99" s="61">
        <f t="shared" si="19"/>
        <v>0</v>
      </c>
      <c r="N99" s="61">
        <f t="shared" si="19"/>
        <v>0</v>
      </c>
      <c r="O99" s="61">
        <f t="shared" si="19"/>
        <v>0</v>
      </c>
      <c r="P99" s="61">
        <f t="shared" si="19"/>
        <v>0</v>
      </c>
      <c r="Q99" s="61">
        <f t="shared" si="19"/>
        <v>0</v>
      </c>
      <c r="R99" s="61">
        <f t="shared" si="19"/>
        <v>0</v>
      </c>
      <c r="S99" s="61">
        <f t="shared" si="19"/>
        <v>0</v>
      </c>
      <c r="T99" s="61">
        <f t="shared" si="19"/>
        <v>0</v>
      </c>
      <c r="U99" s="61">
        <f t="shared" si="19"/>
        <v>0</v>
      </c>
      <c r="V99" s="61">
        <f t="shared" si="19"/>
        <v>0</v>
      </c>
      <c r="W99" s="61">
        <f t="shared" si="19"/>
        <v>0</v>
      </c>
      <c r="X99" s="61">
        <f t="shared" si="19"/>
        <v>0</v>
      </c>
      <c r="Y99" s="61">
        <f t="shared" si="19"/>
        <v>0</v>
      </c>
    </row>
    <row r="100" spans="1:33" x14ac:dyDescent="0.25">
      <c r="A100" s="128" t="str">
        <f>A$16</f>
        <v>lot2</v>
      </c>
      <c r="B100" s="61">
        <f t="shared" ref="B100:Y100" si="20">VLOOKUP(B89,$AD$6:$AF$10,3)</f>
        <v>0</v>
      </c>
      <c r="C100" s="61">
        <f t="shared" si="20"/>
        <v>0</v>
      </c>
      <c r="D100" s="61">
        <f t="shared" si="20"/>
        <v>0</v>
      </c>
      <c r="E100" s="61">
        <f t="shared" si="20"/>
        <v>0</v>
      </c>
      <c r="F100" s="61">
        <f t="shared" si="20"/>
        <v>0</v>
      </c>
      <c r="G100" s="61">
        <f t="shared" si="20"/>
        <v>0</v>
      </c>
      <c r="H100" s="61">
        <f t="shared" si="20"/>
        <v>0</v>
      </c>
      <c r="I100" s="61">
        <f t="shared" si="20"/>
        <v>0</v>
      </c>
      <c r="J100" s="61">
        <f t="shared" si="20"/>
        <v>0</v>
      </c>
      <c r="K100" s="61">
        <f t="shared" si="20"/>
        <v>0</v>
      </c>
      <c r="L100" s="61">
        <f t="shared" si="20"/>
        <v>0</v>
      </c>
      <c r="M100" s="61">
        <f t="shared" si="20"/>
        <v>0</v>
      </c>
      <c r="N100" s="61">
        <f t="shared" si="20"/>
        <v>0</v>
      </c>
      <c r="O100" s="61">
        <f t="shared" si="20"/>
        <v>0</v>
      </c>
      <c r="P100" s="61">
        <f t="shared" si="20"/>
        <v>0</v>
      </c>
      <c r="Q100" s="61">
        <f t="shared" si="20"/>
        <v>0</v>
      </c>
      <c r="R100" s="61">
        <f t="shared" si="20"/>
        <v>0</v>
      </c>
      <c r="S100" s="61">
        <f t="shared" si="20"/>
        <v>0</v>
      </c>
      <c r="T100" s="61">
        <f t="shared" si="20"/>
        <v>0</v>
      </c>
      <c r="U100" s="61">
        <f t="shared" si="20"/>
        <v>0</v>
      </c>
      <c r="V100" s="61">
        <f t="shared" si="20"/>
        <v>0</v>
      </c>
      <c r="W100" s="61">
        <f t="shared" si="20"/>
        <v>0</v>
      </c>
      <c r="X100" s="61">
        <f t="shared" si="20"/>
        <v>0</v>
      </c>
      <c r="Y100" s="61">
        <f t="shared" si="20"/>
        <v>0</v>
      </c>
    </row>
    <row r="101" spans="1:33" x14ac:dyDescent="0.25">
      <c r="A101" s="128" t="str">
        <f>A$17</f>
        <v>lot3</v>
      </c>
      <c r="B101" s="61">
        <f t="shared" ref="B101:Y101" si="21">VLOOKUP(B90,$AD$6:$AF$10,3)</f>
        <v>0</v>
      </c>
      <c r="C101" s="61">
        <f t="shared" si="21"/>
        <v>0</v>
      </c>
      <c r="D101" s="61">
        <f t="shared" si="21"/>
        <v>0</v>
      </c>
      <c r="E101" s="61">
        <f t="shared" si="21"/>
        <v>0</v>
      </c>
      <c r="F101" s="61">
        <f t="shared" si="21"/>
        <v>0</v>
      </c>
      <c r="G101" s="61">
        <f t="shared" si="21"/>
        <v>0</v>
      </c>
      <c r="H101" s="61">
        <f t="shared" si="21"/>
        <v>0</v>
      </c>
      <c r="I101" s="61">
        <f t="shared" si="21"/>
        <v>0</v>
      </c>
      <c r="J101" s="61">
        <f t="shared" si="21"/>
        <v>0</v>
      </c>
      <c r="K101" s="61">
        <f t="shared" si="21"/>
        <v>0</v>
      </c>
      <c r="L101" s="61">
        <f t="shared" si="21"/>
        <v>0</v>
      </c>
      <c r="M101" s="61">
        <f t="shared" si="21"/>
        <v>0</v>
      </c>
      <c r="N101" s="61">
        <f t="shared" si="21"/>
        <v>0</v>
      </c>
      <c r="O101" s="61">
        <f t="shared" si="21"/>
        <v>0</v>
      </c>
      <c r="P101" s="61">
        <f t="shared" si="21"/>
        <v>0</v>
      </c>
      <c r="Q101" s="61">
        <f t="shared" si="21"/>
        <v>0</v>
      </c>
      <c r="R101" s="61">
        <f t="shared" si="21"/>
        <v>0</v>
      </c>
      <c r="S101" s="61">
        <f t="shared" si="21"/>
        <v>0</v>
      </c>
      <c r="T101" s="61">
        <f t="shared" si="21"/>
        <v>0</v>
      </c>
      <c r="U101" s="61">
        <f t="shared" si="21"/>
        <v>0</v>
      </c>
      <c r="V101" s="61">
        <f t="shared" si="21"/>
        <v>0</v>
      </c>
      <c r="W101" s="61">
        <f t="shared" si="21"/>
        <v>0</v>
      </c>
      <c r="X101" s="61">
        <f t="shared" si="21"/>
        <v>0</v>
      </c>
      <c r="Y101" s="61">
        <f t="shared" si="21"/>
        <v>0</v>
      </c>
    </row>
    <row r="102" spans="1:33" x14ac:dyDescent="0.25">
      <c r="A102" s="127" t="str">
        <f>A$18</f>
        <v>lot4</v>
      </c>
      <c r="B102" s="61">
        <f t="shared" ref="B102:Y102" si="22">VLOOKUP(B91,$AD$6:$AF$10,3)</f>
        <v>0</v>
      </c>
      <c r="C102" s="61">
        <f t="shared" si="22"/>
        <v>0</v>
      </c>
      <c r="D102" s="61">
        <f t="shared" si="22"/>
        <v>0</v>
      </c>
      <c r="E102" s="61">
        <f t="shared" si="22"/>
        <v>0</v>
      </c>
      <c r="F102" s="61">
        <f t="shared" si="22"/>
        <v>0</v>
      </c>
      <c r="G102" s="61">
        <f t="shared" si="22"/>
        <v>0</v>
      </c>
      <c r="H102" s="61">
        <f t="shared" si="22"/>
        <v>0</v>
      </c>
      <c r="I102" s="61">
        <f t="shared" si="22"/>
        <v>0</v>
      </c>
      <c r="J102" s="61">
        <f t="shared" si="22"/>
        <v>0</v>
      </c>
      <c r="K102" s="61">
        <f t="shared" si="22"/>
        <v>0</v>
      </c>
      <c r="L102" s="61">
        <f t="shared" si="22"/>
        <v>0</v>
      </c>
      <c r="M102" s="61">
        <f t="shared" si="22"/>
        <v>0</v>
      </c>
      <c r="N102" s="61">
        <f t="shared" si="22"/>
        <v>0</v>
      </c>
      <c r="O102" s="61">
        <f t="shared" si="22"/>
        <v>0</v>
      </c>
      <c r="P102" s="61">
        <f t="shared" si="22"/>
        <v>0</v>
      </c>
      <c r="Q102" s="61">
        <f t="shared" si="22"/>
        <v>0</v>
      </c>
      <c r="R102" s="61">
        <f t="shared" si="22"/>
        <v>0</v>
      </c>
      <c r="S102" s="61">
        <f t="shared" si="22"/>
        <v>0</v>
      </c>
      <c r="T102" s="61">
        <f t="shared" si="22"/>
        <v>0</v>
      </c>
      <c r="U102" s="61">
        <f t="shared" si="22"/>
        <v>0</v>
      </c>
      <c r="V102" s="61">
        <f t="shared" si="22"/>
        <v>0</v>
      </c>
      <c r="W102" s="61">
        <f t="shared" si="22"/>
        <v>0</v>
      </c>
      <c r="X102" s="61">
        <f t="shared" si="22"/>
        <v>0</v>
      </c>
      <c r="Y102" s="61">
        <f t="shared" si="22"/>
        <v>0</v>
      </c>
    </row>
    <row r="103" spans="1:33" x14ac:dyDescent="0.25">
      <c r="A103" s="128" t="str">
        <f>A$19</f>
        <v>lot5</v>
      </c>
      <c r="B103" s="61">
        <f t="shared" ref="B103:Y103" si="23">VLOOKUP(B92,$AD$6:$AF$10,3)</f>
        <v>0</v>
      </c>
      <c r="C103" s="61">
        <f t="shared" si="23"/>
        <v>0</v>
      </c>
      <c r="D103" s="61">
        <f t="shared" si="23"/>
        <v>0</v>
      </c>
      <c r="E103" s="61">
        <f t="shared" si="23"/>
        <v>0</v>
      </c>
      <c r="F103" s="61">
        <f t="shared" si="23"/>
        <v>0</v>
      </c>
      <c r="G103" s="61">
        <f t="shared" si="23"/>
        <v>0</v>
      </c>
      <c r="H103" s="61">
        <f t="shared" si="23"/>
        <v>0</v>
      </c>
      <c r="I103" s="61">
        <f t="shared" si="23"/>
        <v>0</v>
      </c>
      <c r="J103" s="61">
        <f t="shared" si="23"/>
        <v>0</v>
      </c>
      <c r="K103" s="61">
        <f t="shared" si="23"/>
        <v>0</v>
      </c>
      <c r="L103" s="61">
        <f t="shared" si="23"/>
        <v>0</v>
      </c>
      <c r="M103" s="61">
        <f t="shared" si="23"/>
        <v>0</v>
      </c>
      <c r="N103" s="61">
        <f t="shared" si="23"/>
        <v>0</v>
      </c>
      <c r="O103" s="61">
        <f t="shared" si="23"/>
        <v>0</v>
      </c>
      <c r="P103" s="61">
        <f t="shared" si="23"/>
        <v>0</v>
      </c>
      <c r="Q103" s="61">
        <f t="shared" si="23"/>
        <v>0</v>
      </c>
      <c r="R103" s="61">
        <f t="shared" si="23"/>
        <v>0</v>
      </c>
      <c r="S103" s="61">
        <f t="shared" si="23"/>
        <v>0</v>
      </c>
      <c r="T103" s="61">
        <f t="shared" si="23"/>
        <v>0</v>
      </c>
      <c r="U103" s="61">
        <f t="shared" si="23"/>
        <v>0</v>
      </c>
      <c r="V103" s="61">
        <f t="shared" si="23"/>
        <v>0</v>
      </c>
      <c r="W103" s="61">
        <f t="shared" si="23"/>
        <v>0</v>
      </c>
      <c r="X103" s="61">
        <f t="shared" si="23"/>
        <v>0</v>
      </c>
      <c r="Y103" s="61">
        <f t="shared" si="23"/>
        <v>0</v>
      </c>
    </row>
    <row r="104" spans="1:33" x14ac:dyDescent="0.25">
      <c r="A104" s="127" t="str">
        <f>A$20</f>
        <v>lot6</v>
      </c>
      <c r="B104" s="61">
        <f t="shared" ref="B104:Y104" si="24">VLOOKUP(B93,$AD$6:$AF$10,3)</f>
        <v>0</v>
      </c>
      <c r="C104" s="61">
        <f t="shared" si="24"/>
        <v>0</v>
      </c>
      <c r="D104" s="61">
        <f t="shared" si="24"/>
        <v>0</v>
      </c>
      <c r="E104" s="61">
        <f t="shared" si="24"/>
        <v>0</v>
      </c>
      <c r="F104" s="61">
        <f t="shared" si="24"/>
        <v>0</v>
      </c>
      <c r="G104" s="61">
        <f t="shared" si="24"/>
        <v>0</v>
      </c>
      <c r="H104" s="61">
        <f t="shared" si="24"/>
        <v>0</v>
      </c>
      <c r="I104" s="61">
        <f t="shared" si="24"/>
        <v>0</v>
      </c>
      <c r="J104" s="61">
        <f t="shared" si="24"/>
        <v>0</v>
      </c>
      <c r="K104" s="61">
        <f t="shared" si="24"/>
        <v>0</v>
      </c>
      <c r="L104" s="61">
        <f t="shared" si="24"/>
        <v>0</v>
      </c>
      <c r="M104" s="61">
        <f t="shared" si="24"/>
        <v>0</v>
      </c>
      <c r="N104" s="61">
        <f t="shared" si="24"/>
        <v>0</v>
      </c>
      <c r="O104" s="61">
        <f t="shared" si="24"/>
        <v>0</v>
      </c>
      <c r="P104" s="61">
        <f t="shared" si="24"/>
        <v>0</v>
      </c>
      <c r="Q104" s="61">
        <f t="shared" si="24"/>
        <v>0</v>
      </c>
      <c r="R104" s="61">
        <f t="shared" si="24"/>
        <v>0</v>
      </c>
      <c r="S104" s="61">
        <f t="shared" si="24"/>
        <v>0</v>
      </c>
      <c r="T104" s="61">
        <f t="shared" si="24"/>
        <v>0</v>
      </c>
      <c r="U104" s="61">
        <f t="shared" si="24"/>
        <v>0</v>
      </c>
      <c r="V104" s="61">
        <f t="shared" si="24"/>
        <v>0</v>
      </c>
      <c r="W104" s="61">
        <f t="shared" si="24"/>
        <v>0</v>
      </c>
      <c r="X104" s="61">
        <f t="shared" si="24"/>
        <v>0</v>
      </c>
      <c r="Y104" s="61">
        <f t="shared" si="24"/>
        <v>0</v>
      </c>
    </row>
    <row r="105" spans="1:33" x14ac:dyDescent="0.25">
      <c r="A105" s="128" t="str">
        <f>A$21</f>
        <v>lot7</v>
      </c>
      <c r="B105" s="61">
        <f t="shared" ref="B105:Y105" si="25">VLOOKUP(B94,$AD$6:$AF$10,3)</f>
        <v>0</v>
      </c>
      <c r="C105" s="61">
        <f t="shared" si="25"/>
        <v>0</v>
      </c>
      <c r="D105" s="61">
        <f t="shared" si="25"/>
        <v>0</v>
      </c>
      <c r="E105" s="61">
        <f t="shared" si="25"/>
        <v>0</v>
      </c>
      <c r="F105" s="61">
        <f t="shared" si="25"/>
        <v>0</v>
      </c>
      <c r="G105" s="61">
        <f t="shared" si="25"/>
        <v>0</v>
      </c>
      <c r="H105" s="61">
        <f t="shared" si="25"/>
        <v>0</v>
      </c>
      <c r="I105" s="61">
        <f t="shared" si="25"/>
        <v>0</v>
      </c>
      <c r="J105" s="61">
        <f t="shared" si="25"/>
        <v>0</v>
      </c>
      <c r="K105" s="61">
        <f t="shared" si="25"/>
        <v>0</v>
      </c>
      <c r="L105" s="61">
        <f t="shared" si="25"/>
        <v>0</v>
      </c>
      <c r="M105" s="61">
        <f t="shared" si="25"/>
        <v>0</v>
      </c>
      <c r="N105" s="61">
        <f t="shared" si="25"/>
        <v>0</v>
      </c>
      <c r="O105" s="61">
        <f t="shared" si="25"/>
        <v>0</v>
      </c>
      <c r="P105" s="61">
        <f t="shared" si="25"/>
        <v>0</v>
      </c>
      <c r="Q105" s="61">
        <f t="shared" si="25"/>
        <v>0</v>
      </c>
      <c r="R105" s="61">
        <f t="shared" si="25"/>
        <v>0</v>
      </c>
      <c r="S105" s="61">
        <f t="shared" si="25"/>
        <v>0</v>
      </c>
      <c r="T105" s="61">
        <f t="shared" si="25"/>
        <v>0</v>
      </c>
      <c r="U105" s="61">
        <f t="shared" si="25"/>
        <v>0</v>
      </c>
      <c r="V105" s="61">
        <f t="shared" si="25"/>
        <v>0</v>
      </c>
      <c r="W105" s="61">
        <f t="shared" si="25"/>
        <v>0</v>
      </c>
      <c r="X105" s="61">
        <f t="shared" si="25"/>
        <v>0</v>
      </c>
      <c r="Y105" s="61">
        <f t="shared" si="25"/>
        <v>0</v>
      </c>
    </row>
    <row r="106" spans="1:33" x14ac:dyDescent="0.25">
      <c r="A106" s="128" t="str">
        <f>A$22</f>
        <v>lot8</v>
      </c>
      <c r="B106" s="61">
        <f t="shared" ref="B106:Y106" si="26">VLOOKUP(B95,$AD$6:$AF$10,3)</f>
        <v>0</v>
      </c>
      <c r="C106" s="61">
        <f t="shared" si="26"/>
        <v>0</v>
      </c>
      <c r="D106" s="61">
        <f t="shared" si="26"/>
        <v>0</v>
      </c>
      <c r="E106" s="61">
        <f t="shared" si="26"/>
        <v>0</v>
      </c>
      <c r="F106" s="61">
        <f t="shared" si="26"/>
        <v>0</v>
      </c>
      <c r="G106" s="61">
        <f t="shared" si="26"/>
        <v>0</v>
      </c>
      <c r="H106" s="61">
        <f t="shared" si="26"/>
        <v>0</v>
      </c>
      <c r="I106" s="61">
        <f t="shared" si="26"/>
        <v>0</v>
      </c>
      <c r="J106" s="61">
        <f t="shared" si="26"/>
        <v>0</v>
      </c>
      <c r="K106" s="61">
        <f t="shared" si="26"/>
        <v>0</v>
      </c>
      <c r="L106" s="61">
        <f t="shared" si="26"/>
        <v>0</v>
      </c>
      <c r="M106" s="61">
        <f t="shared" si="26"/>
        <v>0</v>
      </c>
      <c r="N106" s="61">
        <f t="shared" si="26"/>
        <v>0</v>
      </c>
      <c r="O106" s="61">
        <f t="shared" si="26"/>
        <v>0</v>
      </c>
      <c r="P106" s="61">
        <f t="shared" si="26"/>
        <v>0</v>
      </c>
      <c r="Q106" s="61">
        <f t="shared" si="26"/>
        <v>0</v>
      </c>
      <c r="R106" s="61">
        <f t="shared" si="26"/>
        <v>0</v>
      </c>
      <c r="S106" s="61">
        <f t="shared" si="26"/>
        <v>0</v>
      </c>
      <c r="T106" s="61">
        <f t="shared" si="26"/>
        <v>0</v>
      </c>
      <c r="U106" s="61">
        <f t="shared" si="26"/>
        <v>0</v>
      </c>
      <c r="V106" s="61">
        <f t="shared" si="26"/>
        <v>0</v>
      </c>
      <c r="W106" s="61">
        <f t="shared" si="26"/>
        <v>0</v>
      </c>
      <c r="X106" s="61">
        <f t="shared" si="26"/>
        <v>0</v>
      </c>
      <c r="Y106" s="61">
        <f t="shared" si="26"/>
        <v>0</v>
      </c>
    </row>
    <row r="107" spans="1:33" x14ac:dyDescent="0.25">
      <c r="A107" s="127" t="str">
        <f>A$23</f>
        <v>lot9</v>
      </c>
      <c r="B107" s="61">
        <f t="shared" ref="B107:Y107" si="27">VLOOKUP(B96,$AD$6:$AF$10,3)</f>
        <v>0</v>
      </c>
      <c r="C107" s="61">
        <f t="shared" si="27"/>
        <v>0</v>
      </c>
      <c r="D107" s="61">
        <f t="shared" si="27"/>
        <v>0</v>
      </c>
      <c r="E107" s="61">
        <f t="shared" si="27"/>
        <v>0</v>
      </c>
      <c r="F107" s="61">
        <f t="shared" si="27"/>
        <v>0</v>
      </c>
      <c r="G107" s="61">
        <f t="shared" si="27"/>
        <v>0</v>
      </c>
      <c r="H107" s="61">
        <f t="shared" si="27"/>
        <v>0</v>
      </c>
      <c r="I107" s="61">
        <f t="shared" si="27"/>
        <v>0</v>
      </c>
      <c r="J107" s="61">
        <f t="shared" si="27"/>
        <v>0</v>
      </c>
      <c r="K107" s="61">
        <f t="shared" si="27"/>
        <v>0</v>
      </c>
      <c r="L107" s="61">
        <f t="shared" si="27"/>
        <v>0</v>
      </c>
      <c r="M107" s="61">
        <f t="shared" si="27"/>
        <v>0</v>
      </c>
      <c r="N107" s="61">
        <f t="shared" si="27"/>
        <v>0</v>
      </c>
      <c r="O107" s="61">
        <f t="shared" si="27"/>
        <v>0</v>
      </c>
      <c r="P107" s="61">
        <f t="shared" si="27"/>
        <v>0</v>
      </c>
      <c r="Q107" s="61">
        <f t="shared" si="27"/>
        <v>0</v>
      </c>
      <c r="R107" s="61">
        <f t="shared" si="27"/>
        <v>0</v>
      </c>
      <c r="S107" s="61">
        <f t="shared" si="27"/>
        <v>0</v>
      </c>
      <c r="T107" s="61">
        <f t="shared" si="27"/>
        <v>0</v>
      </c>
      <c r="U107" s="61">
        <f t="shared" si="27"/>
        <v>0</v>
      </c>
      <c r="V107" s="61">
        <f t="shared" si="27"/>
        <v>0</v>
      </c>
      <c r="W107" s="61">
        <f t="shared" si="27"/>
        <v>0</v>
      </c>
      <c r="X107" s="61">
        <f t="shared" si="27"/>
        <v>0</v>
      </c>
      <c r="Y107" s="61">
        <f t="shared" si="27"/>
        <v>0</v>
      </c>
    </row>
    <row r="108" spans="1:33" x14ac:dyDescent="0.25">
      <c r="A108" s="128" t="str">
        <f>A$24</f>
        <v>lot10</v>
      </c>
      <c r="B108" s="61">
        <f t="shared" ref="B108:Y108" si="28">VLOOKUP(B97,$AD$6:$AF$10,3)</f>
        <v>0</v>
      </c>
      <c r="C108" s="61">
        <f t="shared" si="28"/>
        <v>0</v>
      </c>
      <c r="D108" s="61">
        <f t="shared" si="28"/>
        <v>0</v>
      </c>
      <c r="E108" s="61">
        <f t="shared" si="28"/>
        <v>0</v>
      </c>
      <c r="F108" s="61">
        <f t="shared" si="28"/>
        <v>0</v>
      </c>
      <c r="G108" s="61">
        <f t="shared" si="28"/>
        <v>0</v>
      </c>
      <c r="H108" s="61">
        <f t="shared" si="28"/>
        <v>0</v>
      </c>
      <c r="I108" s="61">
        <f t="shared" si="28"/>
        <v>0</v>
      </c>
      <c r="J108" s="61">
        <f t="shared" si="28"/>
        <v>0</v>
      </c>
      <c r="K108" s="61">
        <f t="shared" si="28"/>
        <v>0</v>
      </c>
      <c r="L108" s="61">
        <f t="shared" si="28"/>
        <v>0</v>
      </c>
      <c r="M108" s="61">
        <f t="shared" si="28"/>
        <v>0</v>
      </c>
      <c r="N108" s="61">
        <f t="shared" si="28"/>
        <v>0</v>
      </c>
      <c r="O108" s="61">
        <f t="shared" si="28"/>
        <v>0</v>
      </c>
      <c r="P108" s="61">
        <f t="shared" si="28"/>
        <v>0</v>
      </c>
      <c r="Q108" s="61">
        <f t="shared" si="28"/>
        <v>0</v>
      </c>
      <c r="R108" s="61">
        <f t="shared" si="28"/>
        <v>0</v>
      </c>
      <c r="S108" s="61">
        <f t="shared" si="28"/>
        <v>0</v>
      </c>
      <c r="T108" s="61">
        <f t="shared" si="28"/>
        <v>0</v>
      </c>
      <c r="U108" s="61">
        <f t="shared" si="28"/>
        <v>0</v>
      </c>
      <c r="V108" s="61">
        <f t="shared" si="28"/>
        <v>0</v>
      </c>
      <c r="W108" s="61">
        <f t="shared" si="28"/>
        <v>0</v>
      </c>
      <c r="X108" s="61">
        <f t="shared" si="28"/>
        <v>0</v>
      </c>
      <c r="Y108" s="61">
        <f t="shared" si="28"/>
        <v>0</v>
      </c>
    </row>
    <row r="109" spans="1:33" s="5" customFormat="1" x14ac:dyDescent="0.25">
      <c r="A109" s="55" t="s">
        <v>205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AE109" s="86"/>
      <c r="AG109"/>
    </row>
    <row r="110" spans="1:33" x14ac:dyDescent="0.25">
      <c r="A110" s="127" t="str">
        <f>A$15</f>
        <v>lot1</v>
      </c>
      <c r="B110" s="61">
        <f t="shared" ref="B110:Y119" si="29">(B39*B$3*B99)/1000</f>
        <v>0</v>
      </c>
      <c r="C110" s="61">
        <f t="shared" si="29"/>
        <v>0</v>
      </c>
      <c r="D110" s="61">
        <f t="shared" si="29"/>
        <v>0</v>
      </c>
      <c r="E110" s="61">
        <f t="shared" si="29"/>
        <v>0</v>
      </c>
      <c r="F110" s="61">
        <f t="shared" si="29"/>
        <v>0</v>
      </c>
      <c r="G110" s="61">
        <f t="shared" si="29"/>
        <v>0</v>
      </c>
      <c r="H110" s="61">
        <f t="shared" si="29"/>
        <v>0</v>
      </c>
      <c r="I110" s="61">
        <f t="shared" si="29"/>
        <v>0</v>
      </c>
      <c r="J110" s="61">
        <f t="shared" si="29"/>
        <v>0</v>
      </c>
      <c r="K110" s="61">
        <f t="shared" si="29"/>
        <v>0</v>
      </c>
      <c r="L110" s="61">
        <f t="shared" si="29"/>
        <v>0</v>
      </c>
      <c r="M110" s="61">
        <f t="shared" si="29"/>
        <v>0</v>
      </c>
      <c r="N110" s="61">
        <f t="shared" si="29"/>
        <v>0</v>
      </c>
      <c r="O110" s="61">
        <f t="shared" si="29"/>
        <v>0</v>
      </c>
      <c r="P110" s="61">
        <f t="shared" si="29"/>
        <v>0</v>
      </c>
      <c r="Q110" s="61">
        <f t="shared" si="29"/>
        <v>0</v>
      </c>
      <c r="R110" s="61">
        <f t="shared" si="29"/>
        <v>0</v>
      </c>
      <c r="S110" s="61">
        <f t="shared" si="29"/>
        <v>0</v>
      </c>
      <c r="T110" s="61">
        <f t="shared" si="29"/>
        <v>0</v>
      </c>
      <c r="U110" s="61">
        <f t="shared" si="29"/>
        <v>0</v>
      </c>
      <c r="V110" s="61">
        <f t="shared" si="29"/>
        <v>0</v>
      </c>
      <c r="W110" s="61">
        <f t="shared" si="29"/>
        <v>0</v>
      </c>
      <c r="X110" s="61">
        <f t="shared" si="29"/>
        <v>0</v>
      </c>
      <c r="Y110" s="61">
        <f t="shared" si="29"/>
        <v>0</v>
      </c>
    </row>
    <row r="111" spans="1:33" x14ac:dyDescent="0.25">
      <c r="A111" s="128" t="str">
        <f>A$16</f>
        <v>lot2</v>
      </c>
      <c r="B111" s="61">
        <f t="shared" si="29"/>
        <v>0</v>
      </c>
      <c r="C111" s="61">
        <f t="shared" si="29"/>
        <v>0</v>
      </c>
      <c r="D111" s="61">
        <f t="shared" si="29"/>
        <v>0</v>
      </c>
      <c r="E111" s="61">
        <f t="shared" si="29"/>
        <v>0</v>
      </c>
      <c r="F111" s="61">
        <f t="shared" si="29"/>
        <v>0</v>
      </c>
      <c r="G111" s="61">
        <f t="shared" si="29"/>
        <v>0</v>
      </c>
      <c r="H111" s="61">
        <f t="shared" si="29"/>
        <v>0</v>
      </c>
      <c r="I111" s="61">
        <f t="shared" si="29"/>
        <v>0</v>
      </c>
      <c r="J111" s="61">
        <f t="shared" si="29"/>
        <v>0</v>
      </c>
      <c r="K111" s="61">
        <f t="shared" si="29"/>
        <v>0</v>
      </c>
      <c r="L111" s="61">
        <f t="shared" si="29"/>
        <v>0</v>
      </c>
      <c r="M111" s="61">
        <f t="shared" si="29"/>
        <v>0</v>
      </c>
      <c r="N111" s="61">
        <f t="shared" si="29"/>
        <v>0</v>
      </c>
      <c r="O111" s="61">
        <f t="shared" si="29"/>
        <v>0</v>
      </c>
      <c r="P111" s="61">
        <f t="shared" si="29"/>
        <v>0</v>
      </c>
      <c r="Q111" s="61">
        <f t="shared" si="29"/>
        <v>0</v>
      </c>
      <c r="R111" s="61">
        <f t="shared" si="29"/>
        <v>0</v>
      </c>
      <c r="S111" s="61">
        <f t="shared" si="29"/>
        <v>0</v>
      </c>
      <c r="T111" s="61">
        <f t="shared" si="29"/>
        <v>0</v>
      </c>
      <c r="U111" s="61">
        <f t="shared" si="29"/>
        <v>0</v>
      </c>
      <c r="V111" s="61">
        <f t="shared" si="29"/>
        <v>0</v>
      </c>
      <c r="W111" s="61">
        <f t="shared" si="29"/>
        <v>0</v>
      </c>
      <c r="X111" s="61">
        <f t="shared" si="29"/>
        <v>0</v>
      </c>
      <c r="Y111" s="61">
        <f t="shared" si="29"/>
        <v>0</v>
      </c>
    </row>
    <row r="112" spans="1:33" x14ac:dyDescent="0.25">
      <c r="A112" s="128" t="str">
        <f>A$17</f>
        <v>lot3</v>
      </c>
      <c r="B112" s="61">
        <f t="shared" si="29"/>
        <v>0</v>
      </c>
      <c r="C112" s="61">
        <f t="shared" si="29"/>
        <v>0</v>
      </c>
      <c r="D112" s="61">
        <f t="shared" si="29"/>
        <v>0</v>
      </c>
      <c r="E112" s="61">
        <f t="shared" si="29"/>
        <v>0</v>
      </c>
      <c r="F112" s="61">
        <f t="shared" si="29"/>
        <v>0</v>
      </c>
      <c r="G112" s="61">
        <f t="shared" si="29"/>
        <v>0</v>
      </c>
      <c r="H112" s="61">
        <f t="shared" si="29"/>
        <v>0</v>
      </c>
      <c r="I112" s="61">
        <f t="shared" si="29"/>
        <v>0</v>
      </c>
      <c r="J112" s="61">
        <f t="shared" si="29"/>
        <v>0</v>
      </c>
      <c r="K112" s="61">
        <f t="shared" si="29"/>
        <v>0</v>
      </c>
      <c r="L112" s="61">
        <f t="shared" si="29"/>
        <v>0</v>
      </c>
      <c r="M112" s="61">
        <f t="shared" si="29"/>
        <v>0</v>
      </c>
      <c r="N112" s="61">
        <f t="shared" si="29"/>
        <v>0</v>
      </c>
      <c r="O112" s="61">
        <f t="shared" si="29"/>
        <v>0</v>
      </c>
      <c r="P112" s="61">
        <f t="shared" si="29"/>
        <v>0</v>
      </c>
      <c r="Q112" s="61">
        <f t="shared" si="29"/>
        <v>0</v>
      </c>
      <c r="R112" s="61">
        <f t="shared" si="29"/>
        <v>0</v>
      </c>
      <c r="S112" s="61">
        <f t="shared" si="29"/>
        <v>0</v>
      </c>
      <c r="T112" s="61">
        <f t="shared" si="29"/>
        <v>0</v>
      </c>
      <c r="U112" s="61">
        <f t="shared" si="29"/>
        <v>0</v>
      </c>
      <c r="V112" s="61">
        <f t="shared" si="29"/>
        <v>0</v>
      </c>
      <c r="W112" s="61">
        <f t="shared" si="29"/>
        <v>0</v>
      </c>
      <c r="X112" s="61">
        <f t="shared" si="29"/>
        <v>0</v>
      </c>
      <c r="Y112" s="61">
        <f t="shared" si="29"/>
        <v>0</v>
      </c>
    </row>
    <row r="113" spans="1:29" x14ac:dyDescent="0.25">
      <c r="A113" s="127" t="str">
        <f>A$18</f>
        <v>lot4</v>
      </c>
      <c r="B113" s="61">
        <f t="shared" si="29"/>
        <v>0</v>
      </c>
      <c r="C113" s="61">
        <f t="shared" si="29"/>
        <v>0</v>
      </c>
      <c r="D113" s="61">
        <f t="shared" si="29"/>
        <v>0</v>
      </c>
      <c r="E113" s="61">
        <f t="shared" si="29"/>
        <v>0</v>
      </c>
      <c r="F113" s="61">
        <f t="shared" si="29"/>
        <v>0</v>
      </c>
      <c r="G113" s="61">
        <f t="shared" si="29"/>
        <v>0</v>
      </c>
      <c r="H113" s="61">
        <f t="shared" si="29"/>
        <v>0</v>
      </c>
      <c r="I113" s="61">
        <f t="shared" si="29"/>
        <v>0</v>
      </c>
      <c r="J113" s="61">
        <f t="shared" si="29"/>
        <v>0</v>
      </c>
      <c r="K113" s="61">
        <f t="shared" si="29"/>
        <v>0</v>
      </c>
      <c r="L113" s="61">
        <f t="shared" si="29"/>
        <v>0</v>
      </c>
      <c r="M113" s="61">
        <f t="shared" si="29"/>
        <v>0</v>
      </c>
      <c r="N113" s="61">
        <f t="shared" si="29"/>
        <v>0</v>
      </c>
      <c r="O113" s="61">
        <f t="shared" si="29"/>
        <v>0</v>
      </c>
      <c r="P113" s="61">
        <f t="shared" si="29"/>
        <v>0</v>
      </c>
      <c r="Q113" s="61">
        <f t="shared" si="29"/>
        <v>0</v>
      </c>
      <c r="R113" s="61">
        <f t="shared" si="29"/>
        <v>0</v>
      </c>
      <c r="S113" s="61">
        <f t="shared" si="29"/>
        <v>0</v>
      </c>
      <c r="T113" s="61">
        <f t="shared" si="29"/>
        <v>0</v>
      </c>
      <c r="U113" s="61">
        <f t="shared" si="29"/>
        <v>0</v>
      </c>
      <c r="V113" s="61">
        <f t="shared" si="29"/>
        <v>0</v>
      </c>
      <c r="W113" s="61">
        <f t="shared" si="29"/>
        <v>0</v>
      </c>
      <c r="X113" s="61">
        <f t="shared" si="29"/>
        <v>0</v>
      </c>
      <c r="Y113" s="61">
        <f t="shared" si="29"/>
        <v>0</v>
      </c>
    </row>
    <row r="114" spans="1:29" x14ac:dyDescent="0.25">
      <c r="A114" s="128" t="str">
        <f>A$19</f>
        <v>lot5</v>
      </c>
      <c r="B114" s="61">
        <f t="shared" si="29"/>
        <v>0</v>
      </c>
      <c r="C114" s="61">
        <f t="shared" si="29"/>
        <v>0</v>
      </c>
      <c r="D114" s="61">
        <f t="shared" si="29"/>
        <v>0</v>
      </c>
      <c r="E114" s="61">
        <f t="shared" si="29"/>
        <v>0</v>
      </c>
      <c r="F114" s="61">
        <f t="shared" si="29"/>
        <v>0</v>
      </c>
      <c r="G114" s="61">
        <f t="shared" si="29"/>
        <v>0</v>
      </c>
      <c r="H114" s="61">
        <f t="shared" si="29"/>
        <v>0</v>
      </c>
      <c r="I114" s="61">
        <f t="shared" si="29"/>
        <v>0</v>
      </c>
      <c r="J114" s="61">
        <f t="shared" si="29"/>
        <v>0</v>
      </c>
      <c r="K114" s="61">
        <f t="shared" si="29"/>
        <v>0</v>
      </c>
      <c r="L114" s="61">
        <f t="shared" si="29"/>
        <v>0</v>
      </c>
      <c r="M114" s="61">
        <f t="shared" si="29"/>
        <v>0</v>
      </c>
      <c r="N114" s="61">
        <f t="shared" si="29"/>
        <v>0</v>
      </c>
      <c r="O114" s="61">
        <f t="shared" si="29"/>
        <v>0</v>
      </c>
      <c r="P114" s="61">
        <f t="shared" si="29"/>
        <v>0</v>
      </c>
      <c r="Q114" s="61">
        <f t="shared" si="29"/>
        <v>0</v>
      </c>
      <c r="R114" s="61">
        <f t="shared" si="29"/>
        <v>0</v>
      </c>
      <c r="S114" s="61">
        <f t="shared" si="29"/>
        <v>0</v>
      </c>
      <c r="T114" s="61">
        <f t="shared" si="29"/>
        <v>0</v>
      </c>
      <c r="U114" s="61">
        <f t="shared" si="29"/>
        <v>0</v>
      </c>
      <c r="V114" s="61">
        <f t="shared" si="29"/>
        <v>0</v>
      </c>
      <c r="W114" s="61">
        <f t="shared" si="29"/>
        <v>0</v>
      </c>
      <c r="X114" s="61">
        <f t="shared" si="29"/>
        <v>0</v>
      </c>
      <c r="Y114" s="61">
        <f t="shared" si="29"/>
        <v>0</v>
      </c>
    </row>
    <row r="115" spans="1:29" x14ac:dyDescent="0.25">
      <c r="A115" s="127" t="str">
        <f>A$20</f>
        <v>lot6</v>
      </c>
      <c r="B115" s="61">
        <f t="shared" si="29"/>
        <v>0</v>
      </c>
      <c r="C115" s="61">
        <f t="shared" si="29"/>
        <v>0</v>
      </c>
      <c r="D115" s="61">
        <f t="shared" si="29"/>
        <v>0</v>
      </c>
      <c r="E115" s="61">
        <f t="shared" si="29"/>
        <v>0</v>
      </c>
      <c r="F115" s="61">
        <f t="shared" si="29"/>
        <v>0</v>
      </c>
      <c r="G115" s="61">
        <f t="shared" si="29"/>
        <v>0</v>
      </c>
      <c r="H115" s="61">
        <f t="shared" si="29"/>
        <v>0</v>
      </c>
      <c r="I115" s="61">
        <f t="shared" si="29"/>
        <v>0</v>
      </c>
      <c r="J115" s="61">
        <f t="shared" si="29"/>
        <v>0</v>
      </c>
      <c r="K115" s="61">
        <f t="shared" si="29"/>
        <v>0</v>
      </c>
      <c r="L115" s="61">
        <f t="shared" si="29"/>
        <v>0</v>
      </c>
      <c r="M115" s="61">
        <f t="shared" si="29"/>
        <v>0</v>
      </c>
      <c r="N115" s="61">
        <f t="shared" si="29"/>
        <v>0</v>
      </c>
      <c r="O115" s="61">
        <f t="shared" si="29"/>
        <v>0</v>
      </c>
      <c r="P115" s="61">
        <f t="shared" si="29"/>
        <v>0</v>
      </c>
      <c r="Q115" s="61">
        <f t="shared" si="29"/>
        <v>0</v>
      </c>
      <c r="R115" s="61">
        <f t="shared" si="29"/>
        <v>0</v>
      </c>
      <c r="S115" s="61">
        <f t="shared" si="29"/>
        <v>0</v>
      </c>
      <c r="T115" s="61">
        <f t="shared" si="29"/>
        <v>0</v>
      </c>
      <c r="U115" s="61">
        <f t="shared" si="29"/>
        <v>0</v>
      </c>
      <c r="V115" s="61">
        <f t="shared" si="29"/>
        <v>0</v>
      </c>
      <c r="W115" s="61">
        <f t="shared" si="29"/>
        <v>0</v>
      </c>
      <c r="X115" s="61">
        <f t="shared" si="29"/>
        <v>0</v>
      </c>
      <c r="Y115" s="61">
        <f t="shared" si="29"/>
        <v>0</v>
      </c>
    </row>
    <row r="116" spans="1:29" x14ac:dyDescent="0.25">
      <c r="A116" s="128" t="str">
        <f>A$21</f>
        <v>lot7</v>
      </c>
      <c r="B116" s="61">
        <f t="shared" si="29"/>
        <v>0</v>
      </c>
      <c r="C116" s="61">
        <f t="shared" si="29"/>
        <v>0</v>
      </c>
      <c r="D116" s="61">
        <f t="shared" si="29"/>
        <v>0</v>
      </c>
      <c r="E116" s="61">
        <f t="shared" si="29"/>
        <v>0</v>
      </c>
      <c r="F116" s="61">
        <f t="shared" si="29"/>
        <v>0</v>
      </c>
      <c r="G116" s="61">
        <f t="shared" si="29"/>
        <v>0</v>
      </c>
      <c r="H116" s="61">
        <f t="shared" si="29"/>
        <v>0</v>
      </c>
      <c r="I116" s="61">
        <f t="shared" si="29"/>
        <v>0</v>
      </c>
      <c r="J116" s="61">
        <f t="shared" si="29"/>
        <v>0</v>
      </c>
      <c r="K116" s="61">
        <f t="shared" si="29"/>
        <v>0</v>
      </c>
      <c r="L116" s="61">
        <f t="shared" si="29"/>
        <v>0</v>
      </c>
      <c r="M116" s="61">
        <f t="shared" si="29"/>
        <v>0</v>
      </c>
      <c r="N116" s="61">
        <f t="shared" si="29"/>
        <v>0</v>
      </c>
      <c r="O116" s="61">
        <f t="shared" si="29"/>
        <v>0</v>
      </c>
      <c r="P116" s="61">
        <f t="shared" si="29"/>
        <v>0</v>
      </c>
      <c r="Q116" s="61">
        <f t="shared" si="29"/>
        <v>0</v>
      </c>
      <c r="R116" s="61">
        <f t="shared" si="29"/>
        <v>0</v>
      </c>
      <c r="S116" s="61">
        <f t="shared" si="29"/>
        <v>0</v>
      </c>
      <c r="T116" s="61">
        <f t="shared" si="29"/>
        <v>0</v>
      </c>
      <c r="U116" s="61">
        <f t="shared" si="29"/>
        <v>0</v>
      </c>
      <c r="V116" s="61">
        <f t="shared" si="29"/>
        <v>0</v>
      </c>
      <c r="W116" s="61">
        <f t="shared" si="29"/>
        <v>0</v>
      </c>
      <c r="X116" s="61">
        <f t="shared" si="29"/>
        <v>0</v>
      </c>
      <c r="Y116" s="61">
        <f t="shared" si="29"/>
        <v>0</v>
      </c>
    </row>
    <row r="117" spans="1:29" x14ac:dyDescent="0.25">
      <c r="A117" s="128" t="str">
        <f>A$22</f>
        <v>lot8</v>
      </c>
      <c r="B117" s="61">
        <f t="shared" si="29"/>
        <v>0</v>
      </c>
      <c r="C117" s="61">
        <f t="shared" si="29"/>
        <v>0</v>
      </c>
      <c r="D117" s="61">
        <f t="shared" si="29"/>
        <v>0</v>
      </c>
      <c r="E117" s="61">
        <f t="shared" si="29"/>
        <v>0</v>
      </c>
      <c r="F117" s="61">
        <f t="shared" si="29"/>
        <v>0</v>
      </c>
      <c r="G117" s="61">
        <f t="shared" si="29"/>
        <v>0</v>
      </c>
      <c r="H117" s="61">
        <f t="shared" si="29"/>
        <v>0</v>
      </c>
      <c r="I117" s="61">
        <f t="shared" si="29"/>
        <v>0</v>
      </c>
      <c r="J117" s="61">
        <f t="shared" si="29"/>
        <v>0</v>
      </c>
      <c r="K117" s="61">
        <f t="shared" si="29"/>
        <v>0</v>
      </c>
      <c r="L117" s="61">
        <f t="shared" si="29"/>
        <v>0</v>
      </c>
      <c r="M117" s="61">
        <f t="shared" si="29"/>
        <v>0</v>
      </c>
      <c r="N117" s="61">
        <f t="shared" si="29"/>
        <v>0</v>
      </c>
      <c r="O117" s="61">
        <f t="shared" si="29"/>
        <v>0</v>
      </c>
      <c r="P117" s="61">
        <f t="shared" si="29"/>
        <v>0</v>
      </c>
      <c r="Q117" s="61">
        <f t="shared" si="29"/>
        <v>0</v>
      </c>
      <c r="R117" s="61">
        <f t="shared" si="29"/>
        <v>0</v>
      </c>
      <c r="S117" s="61">
        <f t="shared" si="29"/>
        <v>0</v>
      </c>
      <c r="T117" s="61">
        <f t="shared" si="29"/>
        <v>0</v>
      </c>
      <c r="U117" s="61">
        <f t="shared" si="29"/>
        <v>0</v>
      </c>
      <c r="V117" s="61">
        <f t="shared" si="29"/>
        <v>0</v>
      </c>
      <c r="W117" s="61">
        <f t="shared" si="29"/>
        <v>0</v>
      </c>
      <c r="X117" s="61">
        <f t="shared" si="29"/>
        <v>0</v>
      </c>
      <c r="Y117" s="61">
        <f t="shared" si="29"/>
        <v>0</v>
      </c>
    </row>
    <row r="118" spans="1:29" x14ac:dyDescent="0.25">
      <c r="A118" s="127" t="str">
        <f>A$23</f>
        <v>lot9</v>
      </c>
      <c r="B118" s="61">
        <f t="shared" si="29"/>
        <v>0</v>
      </c>
      <c r="C118" s="61">
        <f t="shared" si="29"/>
        <v>0</v>
      </c>
      <c r="D118" s="61">
        <f t="shared" si="29"/>
        <v>0</v>
      </c>
      <c r="E118" s="61">
        <f t="shared" si="29"/>
        <v>0</v>
      </c>
      <c r="F118" s="61">
        <f t="shared" si="29"/>
        <v>0</v>
      </c>
      <c r="G118" s="61">
        <f t="shared" si="29"/>
        <v>0</v>
      </c>
      <c r="H118" s="61">
        <f t="shared" si="29"/>
        <v>0</v>
      </c>
      <c r="I118" s="61">
        <f t="shared" si="29"/>
        <v>0</v>
      </c>
      <c r="J118" s="61">
        <f t="shared" si="29"/>
        <v>0</v>
      </c>
      <c r="K118" s="61">
        <f t="shared" si="29"/>
        <v>0</v>
      </c>
      <c r="L118" s="61">
        <f t="shared" si="29"/>
        <v>0</v>
      </c>
      <c r="M118" s="61">
        <f t="shared" si="29"/>
        <v>0</v>
      </c>
      <c r="N118" s="61">
        <f t="shared" si="29"/>
        <v>0</v>
      </c>
      <c r="O118" s="61">
        <f t="shared" si="29"/>
        <v>0</v>
      </c>
      <c r="P118" s="61">
        <f t="shared" si="29"/>
        <v>0</v>
      </c>
      <c r="Q118" s="61">
        <f t="shared" si="29"/>
        <v>0</v>
      </c>
      <c r="R118" s="61">
        <f t="shared" si="29"/>
        <v>0</v>
      </c>
      <c r="S118" s="61">
        <f t="shared" si="29"/>
        <v>0</v>
      </c>
      <c r="T118" s="61">
        <f t="shared" si="29"/>
        <v>0</v>
      </c>
      <c r="U118" s="61">
        <f t="shared" si="29"/>
        <v>0</v>
      </c>
      <c r="V118" s="61">
        <f t="shared" si="29"/>
        <v>0</v>
      </c>
      <c r="W118" s="61">
        <f t="shared" si="29"/>
        <v>0</v>
      </c>
      <c r="X118" s="61">
        <f t="shared" si="29"/>
        <v>0</v>
      </c>
      <c r="Y118" s="61">
        <f t="shared" si="29"/>
        <v>0</v>
      </c>
    </row>
    <row r="119" spans="1:29" x14ac:dyDescent="0.25">
      <c r="A119" s="128" t="str">
        <f>A$24</f>
        <v>lot10</v>
      </c>
      <c r="B119" s="61">
        <f t="shared" si="29"/>
        <v>0</v>
      </c>
      <c r="C119" s="61">
        <f t="shared" si="29"/>
        <v>0</v>
      </c>
      <c r="D119" s="61">
        <f t="shared" si="29"/>
        <v>0</v>
      </c>
      <c r="E119" s="61">
        <f t="shared" si="29"/>
        <v>0</v>
      </c>
      <c r="F119" s="61">
        <f t="shared" si="29"/>
        <v>0</v>
      </c>
      <c r="G119" s="61">
        <f t="shared" si="29"/>
        <v>0</v>
      </c>
      <c r="H119" s="61">
        <f t="shared" si="29"/>
        <v>0</v>
      </c>
      <c r="I119" s="61">
        <f t="shared" si="29"/>
        <v>0</v>
      </c>
      <c r="J119" s="61">
        <f t="shared" si="29"/>
        <v>0</v>
      </c>
      <c r="K119" s="61">
        <f t="shared" si="29"/>
        <v>0</v>
      </c>
      <c r="L119" s="61">
        <f t="shared" si="29"/>
        <v>0</v>
      </c>
      <c r="M119" s="61">
        <f t="shared" si="29"/>
        <v>0</v>
      </c>
      <c r="N119" s="61">
        <f t="shared" si="29"/>
        <v>0</v>
      </c>
      <c r="O119" s="61">
        <f t="shared" si="29"/>
        <v>0</v>
      </c>
      <c r="P119" s="61">
        <f t="shared" si="29"/>
        <v>0</v>
      </c>
      <c r="Q119" s="61">
        <f t="shared" si="29"/>
        <v>0</v>
      </c>
      <c r="R119" s="61">
        <f t="shared" si="29"/>
        <v>0</v>
      </c>
      <c r="S119" s="61">
        <f t="shared" si="29"/>
        <v>0</v>
      </c>
      <c r="T119" s="61">
        <f t="shared" si="29"/>
        <v>0</v>
      </c>
      <c r="U119" s="61">
        <f t="shared" si="29"/>
        <v>0</v>
      </c>
      <c r="V119" s="61">
        <f t="shared" si="29"/>
        <v>0</v>
      </c>
      <c r="W119" s="61">
        <f t="shared" si="29"/>
        <v>0</v>
      </c>
      <c r="X119" s="61">
        <f t="shared" si="29"/>
        <v>0</v>
      </c>
      <c r="Y119" s="61">
        <f t="shared" si="29"/>
        <v>0</v>
      </c>
    </row>
    <row r="120" spans="1:29" x14ac:dyDescent="0.25">
      <c r="A120" s="38" t="s">
        <v>203</v>
      </c>
      <c r="B120" s="61">
        <f>ROUNDUP(SUM(B110:B119),1)</f>
        <v>0</v>
      </c>
      <c r="C120" s="61">
        <f t="shared" ref="C120:Y120" si="30">SUM(C110:C119)</f>
        <v>0</v>
      </c>
      <c r="D120" s="61">
        <f t="shared" si="30"/>
        <v>0</v>
      </c>
      <c r="E120" s="61">
        <f t="shared" si="30"/>
        <v>0</v>
      </c>
      <c r="F120" s="61">
        <f t="shared" si="30"/>
        <v>0</v>
      </c>
      <c r="G120" s="61">
        <f t="shared" si="30"/>
        <v>0</v>
      </c>
      <c r="H120" s="61">
        <f t="shared" si="30"/>
        <v>0</v>
      </c>
      <c r="I120" s="61">
        <f t="shared" si="30"/>
        <v>0</v>
      </c>
      <c r="J120" s="61">
        <f t="shared" si="30"/>
        <v>0</v>
      </c>
      <c r="K120" s="61">
        <f t="shared" si="30"/>
        <v>0</v>
      </c>
      <c r="L120" s="61">
        <f t="shared" si="30"/>
        <v>0</v>
      </c>
      <c r="M120" s="61">
        <f t="shared" si="30"/>
        <v>0</v>
      </c>
      <c r="N120" s="61">
        <f t="shared" si="30"/>
        <v>0</v>
      </c>
      <c r="O120" s="61">
        <f t="shared" si="30"/>
        <v>0</v>
      </c>
      <c r="P120" s="61">
        <f t="shared" si="30"/>
        <v>0</v>
      </c>
      <c r="Q120" s="61">
        <f t="shared" si="30"/>
        <v>0</v>
      </c>
      <c r="R120" s="61">
        <f t="shared" si="30"/>
        <v>0</v>
      </c>
      <c r="S120" s="61">
        <f t="shared" si="30"/>
        <v>0</v>
      </c>
      <c r="T120" s="61">
        <f t="shared" si="30"/>
        <v>0</v>
      </c>
      <c r="U120" s="61">
        <f t="shared" si="30"/>
        <v>0</v>
      </c>
      <c r="V120" s="61">
        <f t="shared" si="30"/>
        <v>0</v>
      </c>
      <c r="W120" s="61">
        <f t="shared" si="30"/>
        <v>0</v>
      </c>
      <c r="X120" s="61">
        <f t="shared" si="30"/>
        <v>0</v>
      </c>
      <c r="Y120" s="61">
        <f t="shared" si="30"/>
        <v>0</v>
      </c>
      <c r="AA120" s="57">
        <f>SUM(B120:Y120)</f>
        <v>0</v>
      </c>
      <c r="AB120" t="s">
        <v>38</v>
      </c>
      <c r="AC120" t="s">
        <v>207</v>
      </c>
    </row>
    <row r="122" spans="1:29" x14ac:dyDescent="0.25">
      <c r="A122" s="2" t="s">
        <v>14</v>
      </c>
      <c r="B122" s="15" t="s">
        <v>206</v>
      </c>
    </row>
    <row r="123" spans="1:29" x14ac:dyDescent="0.25">
      <c r="A123" s="127" t="str">
        <f>A$15</f>
        <v>lot1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9" x14ac:dyDescent="0.25">
      <c r="A124" s="128" t="str">
        <f>A$16</f>
        <v>lot2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9" x14ac:dyDescent="0.25">
      <c r="A125" s="128" t="str">
        <f>A$17</f>
        <v>lot3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</row>
    <row r="126" spans="1:29" x14ac:dyDescent="0.25">
      <c r="A126" s="127" t="str">
        <f>A$18</f>
        <v>lot4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9" x14ac:dyDescent="0.25">
      <c r="A127" s="128" t="str">
        <f>A$19</f>
        <v>lot5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9" x14ac:dyDescent="0.25">
      <c r="A128" s="127" t="str">
        <f>A$20</f>
        <v>lot6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31" x14ac:dyDescent="0.25">
      <c r="A129" s="128" t="str">
        <f>A$21</f>
        <v>lot7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</row>
    <row r="130" spans="1:31" x14ac:dyDescent="0.25">
      <c r="A130" s="128" t="str">
        <f>A$22</f>
        <v>lot8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31" x14ac:dyDescent="0.25">
      <c r="A131" s="127" t="str">
        <f>A$23</f>
        <v>lot9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31" x14ac:dyDescent="0.25">
      <c r="A132" s="128" t="str">
        <f>A$24</f>
        <v>lot10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31" s="5" customFormat="1" x14ac:dyDescent="0.25"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AE133" s="86"/>
    </row>
    <row r="134" spans="1:31" s="5" customFormat="1" x14ac:dyDescent="0.25"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AE134" s="86"/>
    </row>
    <row r="135" spans="1:31" x14ac:dyDescent="0.25">
      <c r="A135" s="2" t="s">
        <v>15</v>
      </c>
    </row>
    <row r="136" spans="1:31" x14ac:dyDescent="0.25">
      <c r="A136" s="127" t="str">
        <f>A$15</f>
        <v>lot1</v>
      </c>
      <c r="B136" s="61">
        <f>B110*(1-B123)</f>
        <v>0</v>
      </c>
      <c r="C136" s="61">
        <f t="shared" ref="C136:Y136" si="31">C110*(1-C123)</f>
        <v>0</v>
      </c>
      <c r="D136" s="61">
        <f t="shared" si="31"/>
        <v>0</v>
      </c>
      <c r="E136" s="61">
        <f t="shared" si="31"/>
        <v>0</v>
      </c>
      <c r="F136" s="61">
        <f t="shared" si="31"/>
        <v>0</v>
      </c>
      <c r="G136" s="61">
        <f t="shared" si="31"/>
        <v>0</v>
      </c>
      <c r="H136" s="61">
        <f t="shared" si="31"/>
        <v>0</v>
      </c>
      <c r="I136" s="61">
        <f t="shared" si="31"/>
        <v>0</v>
      </c>
      <c r="J136" s="61">
        <f t="shared" si="31"/>
        <v>0</v>
      </c>
      <c r="K136" s="61">
        <f t="shared" si="31"/>
        <v>0</v>
      </c>
      <c r="L136" s="61">
        <f t="shared" si="31"/>
        <v>0</v>
      </c>
      <c r="M136" s="61">
        <f t="shared" si="31"/>
        <v>0</v>
      </c>
      <c r="N136" s="61">
        <f t="shared" si="31"/>
        <v>0</v>
      </c>
      <c r="O136" s="61">
        <f t="shared" si="31"/>
        <v>0</v>
      </c>
      <c r="P136" s="61">
        <f t="shared" si="31"/>
        <v>0</v>
      </c>
      <c r="Q136" s="61">
        <f t="shared" si="31"/>
        <v>0</v>
      </c>
      <c r="R136" s="61">
        <f t="shared" si="31"/>
        <v>0</v>
      </c>
      <c r="S136" s="61">
        <f t="shared" si="31"/>
        <v>0</v>
      </c>
      <c r="T136" s="61">
        <f t="shared" si="31"/>
        <v>0</v>
      </c>
      <c r="U136" s="61">
        <f t="shared" si="31"/>
        <v>0</v>
      </c>
      <c r="V136" s="61">
        <f t="shared" si="31"/>
        <v>0</v>
      </c>
      <c r="W136" s="61">
        <f t="shared" si="31"/>
        <v>0</v>
      </c>
      <c r="X136" s="61">
        <f t="shared" si="31"/>
        <v>0</v>
      </c>
      <c r="Y136" s="61">
        <f t="shared" si="31"/>
        <v>0</v>
      </c>
      <c r="AA136" s="61">
        <f>SUM(B136:Y136)</f>
        <v>0</v>
      </c>
    </row>
    <row r="137" spans="1:31" x14ac:dyDescent="0.25">
      <c r="A137" s="128" t="str">
        <f>A$16</f>
        <v>lot2</v>
      </c>
      <c r="B137" s="61">
        <f t="shared" ref="B137:Y144" si="32">B111*(1-B124)</f>
        <v>0</v>
      </c>
      <c r="C137" s="61">
        <f t="shared" si="32"/>
        <v>0</v>
      </c>
      <c r="D137" s="61">
        <f t="shared" si="32"/>
        <v>0</v>
      </c>
      <c r="E137" s="61">
        <f t="shared" si="32"/>
        <v>0</v>
      </c>
      <c r="F137" s="61">
        <f t="shared" si="32"/>
        <v>0</v>
      </c>
      <c r="G137" s="61">
        <f t="shared" si="32"/>
        <v>0</v>
      </c>
      <c r="H137" s="61">
        <f t="shared" si="32"/>
        <v>0</v>
      </c>
      <c r="I137" s="61">
        <f t="shared" si="32"/>
        <v>0</v>
      </c>
      <c r="J137" s="61">
        <f t="shared" si="32"/>
        <v>0</v>
      </c>
      <c r="K137" s="61">
        <f t="shared" si="32"/>
        <v>0</v>
      </c>
      <c r="L137" s="61">
        <f t="shared" si="32"/>
        <v>0</v>
      </c>
      <c r="M137" s="61">
        <f t="shared" si="32"/>
        <v>0</v>
      </c>
      <c r="N137" s="61">
        <f t="shared" si="32"/>
        <v>0</v>
      </c>
      <c r="O137" s="61">
        <f t="shared" si="32"/>
        <v>0</v>
      </c>
      <c r="P137" s="61">
        <f t="shared" si="32"/>
        <v>0</v>
      </c>
      <c r="Q137" s="61">
        <f t="shared" si="32"/>
        <v>0</v>
      </c>
      <c r="R137" s="61">
        <f t="shared" si="32"/>
        <v>0</v>
      </c>
      <c r="S137" s="61">
        <f t="shared" si="32"/>
        <v>0</v>
      </c>
      <c r="T137" s="61">
        <f t="shared" si="32"/>
        <v>0</v>
      </c>
      <c r="U137" s="61">
        <f t="shared" si="32"/>
        <v>0</v>
      </c>
      <c r="V137" s="61">
        <f t="shared" si="32"/>
        <v>0</v>
      </c>
      <c r="W137" s="61">
        <f t="shared" si="32"/>
        <v>0</v>
      </c>
      <c r="X137" s="61">
        <f t="shared" si="32"/>
        <v>0</v>
      </c>
      <c r="Y137" s="61">
        <f t="shared" si="32"/>
        <v>0</v>
      </c>
      <c r="AA137" s="61">
        <f>SUM(B137:Y137)</f>
        <v>0</v>
      </c>
    </row>
    <row r="138" spans="1:31" x14ac:dyDescent="0.25">
      <c r="A138" s="128" t="str">
        <f>A$17</f>
        <v>lot3</v>
      </c>
      <c r="B138" s="61">
        <f t="shared" si="32"/>
        <v>0</v>
      </c>
      <c r="C138" s="61">
        <f t="shared" si="32"/>
        <v>0</v>
      </c>
      <c r="D138" s="61">
        <f t="shared" si="32"/>
        <v>0</v>
      </c>
      <c r="E138" s="61">
        <f t="shared" si="32"/>
        <v>0</v>
      </c>
      <c r="F138" s="61">
        <f t="shared" si="32"/>
        <v>0</v>
      </c>
      <c r="G138" s="61">
        <f t="shared" si="32"/>
        <v>0</v>
      </c>
      <c r="H138" s="61">
        <f t="shared" si="32"/>
        <v>0</v>
      </c>
      <c r="I138" s="61">
        <f t="shared" si="32"/>
        <v>0</v>
      </c>
      <c r="J138" s="61">
        <f t="shared" si="32"/>
        <v>0</v>
      </c>
      <c r="K138" s="61">
        <f t="shared" si="32"/>
        <v>0</v>
      </c>
      <c r="L138" s="61">
        <f t="shared" si="32"/>
        <v>0</v>
      </c>
      <c r="M138" s="61">
        <f t="shared" si="32"/>
        <v>0</v>
      </c>
      <c r="N138" s="61">
        <f t="shared" si="32"/>
        <v>0</v>
      </c>
      <c r="O138" s="61">
        <f t="shared" si="32"/>
        <v>0</v>
      </c>
      <c r="P138" s="61">
        <f t="shared" si="32"/>
        <v>0</v>
      </c>
      <c r="Q138" s="61">
        <f t="shared" si="32"/>
        <v>0</v>
      </c>
      <c r="R138" s="61">
        <f t="shared" si="32"/>
        <v>0</v>
      </c>
      <c r="S138" s="61">
        <f t="shared" si="32"/>
        <v>0</v>
      </c>
      <c r="T138" s="61">
        <f t="shared" si="32"/>
        <v>0</v>
      </c>
      <c r="U138" s="61">
        <f t="shared" si="32"/>
        <v>0</v>
      </c>
      <c r="V138" s="61">
        <f t="shared" si="32"/>
        <v>0</v>
      </c>
      <c r="W138" s="61">
        <f t="shared" si="32"/>
        <v>0</v>
      </c>
      <c r="X138" s="61">
        <f t="shared" si="32"/>
        <v>0</v>
      </c>
      <c r="Y138" s="61">
        <f t="shared" si="32"/>
        <v>0</v>
      </c>
      <c r="AA138" s="61">
        <f t="shared" ref="AA138:AA144" si="33">SUM(B138:Y138)</f>
        <v>0</v>
      </c>
    </row>
    <row r="139" spans="1:31" x14ac:dyDescent="0.25">
      <c r="A139" s="127" t="str">
        <f>A$18</f>
        <v>lot4</v>
      </c>
      <c r="B139" s="61">
        <f t="shared" si="32"/>
        <v>0</v>
      </c>
      <c r="C139" s="61">
        <f t="shared" si="32"/>
        <v>0</v>
      </c>
      <c r="D139" s="61">
        <f t="shared" si="32"/>
        <v>0</v>
      </c>
      <c r="E139" s="61">
        <f t="shared" si="32"/>
        <v>0</v>
      </c>
      <c r="F139" s="61">
        <f t="shared" si="32"/>
        <v>0</v>
      </c>
      <c r="G139" s="61">
        <f t="shared" si="32"/>
        <v>0</v>
      </c>
      <c r="H139" s="61">
        <f t="shared" si="32"/>
        <v>0</v>
      </c>
      <c r="I139" s="61">
        <f t="shared" si="32"/>
        <v>0</v>
      </c>
      <c r="J139" s="61">
        <f t="shared" si="32"/>
        <v>0</v>
      </c>
      <c r="K139" s="61">
        <f t="shared" si="32"/>
        <v>0</v>
      </c>
      <c r="L139" s="61">
        <f t="shared" si="32"/>
        <v>0</v>
      </c>
      <c r="M139" s="61">
        <f t="shared" si="32"/>
        <v>0</v>
      </c>
      <c r="N139" s="61">
        <f t="shared" si="32"/>
        <v>0</v>
      </c>
      <c r="O139" s="61">
        <f t="shared" si="32"/>
        <v>0</v>
      </c>
      <c r="P139" s="61">
        <f t="shared" si="32"/>
        <v>0</v>
      </c>
      <c r="Q139" s="61">
        <f t="shared" si="32"/>
        <v>0</v>
      </c>
      <c r="R139" s="61">
        <f t="shared" si="32"/>
        <v>0</v>
      </c>
      <c r="S139" s="61">
        <f t="shared" si="32"/>
        <v>0</v>
      </c>
      <c r="T139" s="61">
        <f t="shared" si="32"/>
        <v>0</v>
      </c>
      <c r="U139" s="61">
        <f t="shared" si="32"/>
        <v>0</v>
      </c>
      <c r="V139" s="61">
        <f t="shared" si="32"/>
        <v>0</v>
      </c>
      <c r="W139" s="61">
        <f t="shared" si="32"/>
        <v>0</v>
      </c>
      <c r="X139" s="61">
        <f t="shared" si="32"/>
        <v>0</v>
      </c>
      <c r="Y139" s="61">
        <f t="shared" si="32"/>
        <v>0</v>
      </c>
      <c r="AA139" s="61">
        <f t="shared" si="33"/>
        <v>0</v>
      </c>
    </row>
    <row r="140" spans="1:31" x14ac:dyDescent="0.25">
      <c r="A140" s="128" t="str">
        <f>A$19</f>
        <v>lot5</v>
      </c>
      <c r="B140" s="61">
        <f t="shared" si="32"/>
        <v>0</v>
      </c>
      <c r="C140" s="61">
        <f t="shared" si="32"/>
        <v>0</v>
      </c>
      <c r="D140" s="61">
        <f t="shared" si="32"/>
        <v>0</v>
      </c>
      <c r="E140" s="61">
        <f t="shared" si="32"/>
        <v>0</v>
      </c>
      <c r="F140" s="61">
        <f t="shared" si="32"/>
        <v>0</v>
      </c>
      <c r="G140" s="61">
        <f t="shared" si="32"/>
        <v>0</v>
      </c>
      <c r="H140" s="61">
        <f t="shared" si="32"/>
        <v>0</v>
      </c>
      <c r="I140" s="61">
        <f t="shared" si="32"/>
        <v>0</v>
      </c>
      <c r="J140" s="61">
        <f t="shared" si="32"/>
        <v>0</v>
      </c>
      <c r="K140" s="61">
        <f t="shared" si="32"/>
        <v>0</v>
      </c>
      <c r="L140" s="61">
        <f t="shared" si="32"/>
        <v>0</v>
      </c>
      <c r="M140" s="61">
        <f t="shared" si="32"/>
        <v>0</v>
      </c>
      <c r="N140" s="61">
        <f t="shared" si="32"/>
        <v>0</v>
      </c>
      <c r="O140" s="61">
        <f t="shared" si="32"/>
        <v>0</v>
      </c>
      <c r="P140" s="61">
        <f t="shared" si="32"/>
        <v>0</v>
      </c>
      <c r="Q140" s="61">
        <f t="shared" si="32"/>
        <v>0</v>
      </c>
      <c r="R140" s="61">
        <f t="shared" si="32"/>
        <v>0</v>
      </c>
      <c r="S140" s="61">
        <f t="shared" si="32"/>
        <v>0</v>
      </c>
      <c r="T140" s="61">
        <f t="shared" si="32"/>
        <v>0</v>
      </c>
      <c r="U140" s="61">
        <f t="shared" si="32"/>
        <v>0</v>
      </c>
      <c r="V140" s="61">
        <f t="shared" si="32"/>
        <v>0</v>
      </c>
      <c r="W140" s="61">
        <f t="shared" si="32"/>
        <v>0</v>
      </c>
      <c r="X140" s="61">
        <f t="shared" si="32"/>
        <v>0</v>
      </c>
      <c r="Y140" s="61">
        <f t="shared" si="32"/>
        <v>0</v>
      </c>
      <c r="AA140" s="61">
        <f t="shared" si="33"/>
        <v>0</v>
      </c>
    </row>
    <row r="141" spans="1:31" x14ac:dyDescent="0.25">
      <c r="A141" s="127" t="str">
        <f>A$20</f>
        <v>lot6</v>
      </c>
      <c r="B141" s="61">
        <f t="shared" si="32"/>
        <v>0</v>
      </c>
      <c r="C141" s="61">
        <f t="shared" si="32"/>
        <v>0</v>
      </c>
      <c r="D141" s="61">
        <f t="shared" si="32"/>
        <v>0</v>
      </c>
      <c r="E141" s="61">
        <f t="shared" si="32"/>
        <v>0</v>
      </c>
      <c r="F141" s="61">
        <f t="shared" si="32"/>
        <v>0</v>
      </c>
      <c r="G141" s="61">
        <f t="shared" si="32"/>
        <v>0</v>
      </c>
      <c r="H141" s="61">
        <f t="shared" si="32"/>
        <v>0</v>
      </c>
      <c r="I141" s="61">
        <f t="shared" si="32"/>
        <v>0</v>
      </c>
      <c r="J141" s="61">
        <f t="shared" si="32"/>
        <v>0</v>
      </c>
      <c r="K141" s="61">
        <f t="shared" si="32"/>
        <v>0</v>
      </c>
      <c r="L141" s="61">
        <f t="shared" si="32"/>
        <v>0</v>
      </c>
      <c r="M141" s="61">
        <f t="shared" si="32"/>
        <v>0</v>
      </c>
      <c r="N141" s="61">
        <f t="shared" si="32"/>
        <v>0</v>
      </c>
      <c r="O141" s="61">
        <f t="shared" si="32"/>
        <v>0</v>
      </c>
      <c r="P141" s="61">
        <f t="shared" si="32"/>
        <v>0</v>
      </c>
      <c r="Q141" s="61">
        <f t="shared" si="32"/>
        <v>0</v>
      </c>
      <c r="R141" s="61">
        <f t="shared" si="32"/>
        <v>0</v>
      </c>
      <c r="S141" s="61">
        <f t="shared" si="32"/>
        <v>0</v>
      </c>
      <c r="T141" s="61">
        <f t="shared" si="32"/>
        <v>0</v>
      </c>
      <c r="U141" s="61">
        <f t="shared" si="32"/>
        <v>0</v>
      </c>
      <c r="V141" s="61">
        <f t="shared" si="32"/>
        <v>0</v>
      </c>
      <c r="W141" s="61">
        <f t="shared" si="32"/>
        <v>0</v>
      </c>
      <c r="X141" s="61">
        <f t="shared" si="32"/>
        <v>0</v>
      </c>
      <c r="Y141" s="61">
        <f t="shared" si="32"/>
        <v>0</v>
      </c>
      <c r="AA141" s="61">
        <f t="shared" si="33"/>
        <v>0</v>
      </c>
    </row>
    <row r="142" spans="1:31" x14ac:dyDescent="0.25">
      <c r="A142" s="128" t="str">
        <f>A$21</f>
        <v>lot7</v>
      </c>
      <c r="B142" s="61">
        <f t="shared" si="32"/>
        <v>0</v>
      </c>
      <c r="C142" s="61">
        <f t="shared" si="32"/>
        <v>0</v>
      </c>
      <c r="D142" s="61">
        <f t="shared" si="32"/>
        <v>0</v>
      </c>
      <c r="E142" s="61">
        <f t="shared" si="32"/>
        <v>0</v>
      </c>
      <c r="F142" s="61">
        <f t="shared" si="32"/>
        <v>0</v>
      </c>
      <c r="G142" s="61">
        <f t="shared" si="32"/>
        <v>0</v>
      </c>
      <c r="H142" s="61">
        <f t="shared" si="32"/>
        <v>0</v>
      </c>
      <c r="I142" s="61">
        <f t="shared" si="32"/>
        <v>0</v>
      </c>
      <c r="J142" s="61">
        <f t="shared" si="32"/>
        <v>0</v>
      </c>
      <c r="K142" s="61">
        <f t="shared" si="32"/>
        <v>0</v>
      </c>
      <c r="L142" s="61">
        <f t="shared" si="32"/>
        <v>0</v>
      </c>
      <c r="M142" s="61">
        <f t="shared" si="32"/>
        <v>0</v>
      </c>
      <c r="N142" s="61">
        <f t="shared" si="32"/>
        <v>0</v>
      </c>
      <c r="O142" s="61">
        <f t="shared" si="32"/>
        <v>0</v>
      </c>
      <c r="P142" s="61">
        <f t="shared" si="32"/>
        <v>0</v>
      </c>
      <c r="Q142" s="61">
        <f t="shared" si="32"/>
        <v>0</v>
      </c>
      <c r="R142" s="61">
        <f t="shared" si="32"/>
        <v>0</v>
      </c>
      <c r="S142" s="61">
        <f t="shared" si="32"/>
        <v>0</v>
      </c>
      <c r="T142" s="61">
        <f t="shared" si="32"/>
        <v>0</v>
      </c>
      <c r="U142" s="61">
        <f t="shared" si="32"/>
        <v>0</v>
      </c>
      <c r="V142" s="61">
        <f t="shared" si="32"/>
        <v>0</v>
      </c>
      <c r="W142" s="61">
        <f t="shared" si="32"/>
        <v>0</v>
      </c>
      <c r="X142" s="61">
        <f t="shared" si="32"/>
        <v>0</v>
      </c>
      <c r="Y142" s="61">
        <f t="shared" si="32"/>
        <v>0</v>
      </c>
      <c r="AA142" s="61">
        <f t="shared" si="33"/>
        <v>0</v>
      </c>
    </row>
    <row r="143" spans="1:31" x14ac:dyDescent="0.25">
      <c r="A143" s="128" t="str">
        <f>A$22</f>
        <v>lot8</v>
      </c>
      <c r="B143" s="61">
        <f t="shared" si="32"/>
        <v>0</v>
      </c>
      <c r="C143" s="61">
        <f t="shared" si="32"/>
        <v>0</v>
      </c>
      <c r="D143" s="61">
        <f t="shared" si="32"/>
        <v>0</v>
      </c>
      <c r="E143" s="61">
        <f t="shared" si="32"/>
        <v>0</v>
      </c>
      <c r="F143" s="61">
        <f t="shared" si="32"/>
        <v>0</v>
      </c>
      <c r="G143" s="61">
        <f t="shared" si="32"/>
        <v>0</v>
      </c>
      <c r="H143" s="61">
        <f t="shared" si="32"/>
        <v>0</v>
      </c>
      <c r="I143" s="61">
        <f t="shared" si="32"/>
        <v>0</v>
      </c>
      <c r="J143" s="61">
        <f t="shared" si="32"/>
        <v>0</v>
      </c>
      <c r="K143" s="61">
        <f t="shared" si="32"/>
        <v>0</v>
      </c>
      <c r="L143" s="61">
        <f t="shared" si="32"/>
        <v>0</v>
      </c>
      <c r="M143" s="61">
        <f t="shared" si="32"/>
        <v>0</v>
      </c>
      <c r="N143" s="61">
        <f t="shared" si="32"/>
        <v>0</v>
      </c>
      <c r="O143" s="61">
        <f t="shared" si="32"/>
        <v>0</v>
      </c>
      <c r="P143" s="61">
        <f t="shared" si="32"/>
        <v>0</v>
      </c>
      <c r="Q143" s="61">
        <f t="shared" si="32"/>
        <v>0</v>
      </c>
      <c r="R143" s="61">
        <f t="shared" si="32"/>
        <v>0</v>
      </c>
      <c r="S143" s="61">
        <f t="shared" si="32"/>
        <v>0</v>
      </c>
      <c r="T143" s="61">
        <f t="shared" si="32"/>
        <v>0</v>
      </c>
      <c r="U143" s="61">
        <f t="shared" si="32"/>
        <v>0</v>
      </c>
      <c r="V143" s="61">
        <f t="shared" si="32"/>
        <v>0</v>
      </c>
      <c r="W143" s="61">
        <f t="shared" si="32"/>
        <v>0</v>
      </c>
      <c r="X143" s="61">
        <f t="shared" si="32"/>
        <v>0</v>
      </c>
      <c r="Y143" s="61">
        <f t="shared" si="32"/>
        <v>0</v>
      </c>
      <c r="AA143" s="61">
        <f t="shared" si="33"/>
        <v>0</v>
      </c>
    </row>
    <row r="144" spans="1:31" x14ac:dyDescent="0.25">
      <c r="A144" s="127" t="str">
        <f>A$23</f>
        <v>lot9</v>
      </c>
      <c r="B144" s="61">
        <f>B118*(1-B131)</f>
        <v>0</v>
      </c>
      <c r="C144" s="61">
        <f t="shared" si="32"/>
        <v>0</v>
      </c>
      <c r="D144" s="61">
        <f t="shared" si="32"/>
        <v>0</v>
      </c>
      <c r="E144" s="61">
        <f t="shared" si="32"/>
        <v>0</v>
      </c>
      <c r="F144" s="61">
        <f t="shared" si="32"/>
        <v>0</v>
      </c>
      <c r="G144" s="61">
        <f t="shared" si="32"/>
        <v>0</v>
      </c>
      <c r="H144" s="61">
        <f t="shared" si="32"/>
        <v>0</v>
      </c>
      <c r="I144" s="61">
        <f t="shared" si="32"/>
        <v>0</v>
      </c>
      <c r="J144" s="61">
        <f t="shared" si="32"/>
        <v>0</v>
      </c>
      <c r="K144" s="61">
        <f t="shared" si="32"/>
        <v>0</v>
      </c>
      <c r="L144" s="61">
        <f t="shared" si="32"/>
        <v>0</v>
      </c>
      <c r="M144" s="61">
        <f t="shared" si="32"/>
        <v>0</v>
      </c>
      <c r="N144" s="61">
        <f t="shared" si="32"/>
        <v>0</v>
      </c>
      <c r="O144" s="61">
        <f t="shared" si="32"/>
        <v>0</v>
      </c>
      <c r="P144" s="61">
        <f t="shared" si="32"/>
        <v>0</v>
      </c>
      <c r="Q144" s="61">
        <f t="shared" si="32"/>
        <v>0</v>
      </c>
      <c r="R144" s="61">
        <f t="shared" si="32"/>
        <v>0</v>
      </c>
      <c r="S144" s="61">
        <f t="shared" si="32"/>
        <v>0</v>
      </c>
      <c r="T144" s="61">
        <f t="shared" si="32"/>
        <v>0</v>
      </c>
      <c r="U144" s="61">
        <f t="shared" si="32"/>
        <v>0</v>
      </c>
      <c r="V144" s="61">
        <f t="shared" si="32"/>
        <v>0</v>
      </c>
      <c r="W144" s="61">
        <f t="shared" si="32"/>
        <v>0</v>
      </c>
      <c r="X144" s="61">
        <f t="shared" si="32"/>
        <v>0</v>
      </c>
      <c r="Y144" s="61">
        <f>Y118*(1-Y131)</f>
        <v>0</v>
      </c>
      <c r="AA144" s="61">
        <f t="shared" si="33"/>
        <v>0</v>
      </c>
    </row>
    <row r="145" spans="1:28" x14ac:dyDescent="0.25">
      <c r="A145" s="128" t="str">
        <f>A$24</f>
        <v>lot10</v>
      </c>
      <c r="B145" s="61">
        <f t="shared" ref="B145:Y145" si="34">B119*(1-B132)</f>
        <v>0</v>
      </c>
      <c r="C145" s="61">
        <f t="shared" si="34"/>
        <v>0</v>
      </c>
      <c r="D145" s="61">
        <f t="shared" si="34"/>
        <v>0</v>
      </c>
      <c r="E145" s="61">
        <f t="shared" si="34"/>
        <v>0</v>
      </c>
      <c r="F145" s="61">
        <f t="shared" si="34"/>
        <v>0</v>
      </c>
      <c r="G145" s="61">
        <f t="shared" si="34"/>
        <v>0</v>
      </c>
      <c r="H145" s="61">
        <f t="shared" si="34"/>
        <v>0</v>
      </c>
      <c r="I145" s="61">
        <f t="shared" si="34"/>
        <v>0</v>
      </c>
      <c r="J145" s="61">
        <f t="shared" si="34"/>
        <v>0</v>
      </c>
      <c r="K145" s="61">
        <f t="shared" si="34"/>
        <v>0</v>
      </c>
      <c r="L145" s="61">
        <f t="shared" si="34"/>
        <v>0</v>
      </c>
      <c r="M145" s="61">
        <f t="shared" si="34"/>
        <v>0</v>
      </c>
      <c r="N145" s="61">
        <f t="shared" si="34"/>
        <v>0</v>
      </c>
      <c r="O145" s="61">
        <f t="shared" si="34"/>
        <v>0</v>
      </c>
      <c r="P145" s="61">
        <f t="shared" si="34"/>
        <v>0</v>
      </c>
      <c r="Q145" s="61">
        <f t="shared" si="34"/>
        <v>0</v>
      </c>
      <c r="R145" s="61">
        <f t="shared" si="34"/>
        <v>0</v>
      </c>
      <c r="S145" s="61">
        <f t="shared" si="34"/>
        <v>0</v>
      </c>
      <c r="T145" s="61">
        <f t="shared" si="34"/>
        <v>0</v>
      </c>
      <c r="U145" s="61">
        <f t="shared" si="34"/>
        <v>0</v>
      </c>
      <c r="V145" s="61">
        <f t="shared" si="34"/>
        <v>0</v>
      </c>
      <c r="W145" s="61">
        <f t="shared" si="34"/>
        <v>0</v>
      </c>
      <c r="X145" s="61">
        <f t="shared" si="34"/>
        <v>0</v>
      </c>
      <c r="Y145" s="61">
        <f t="shared" si="34"/>
        <v>0</v>
      </c>
      <c r="AA145" s="61">
        <f>SUM(B145:Y145)</f>
        <v>0</v>
      </c>
    </row>
    <row r="146" spans="1:28" x14ac:dyDescent="0.25">
      <c r="A146" s="81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AA146" s="90">
        <f>SUM(AA136:AA145)</f>
        <v>0</v>
      </c>
      <c r="AB146" t="s">
        <v>283</v>
      </c>
    </row>
    <row r="147" spans="1:28" x14ac:dyDescent="0.25">
      <c r="A147" s="81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AA147" s="90">
        <f>AA146*(1+AF11/100)</f>
        <v>0</v>
      </c>
      <c r="AB147" t="s">
        <v>298</v>
      </c>
    </row>
    <row r="148" spans="1:28" x14ac:dyDescent="0.25">
      <c r="A148" s="2" t="s">
        <v>208</v>
      </c>
    </row>
    <row r="149" spans="1:28" x14ac:dyDescent="0.25">
      <c r="A149" s="127" t="str">
        <f>A$15</f>
        <v>lot1</v>
      </c>
      <c r="B149" s="61">
        <f t="shared" ref="B149:Y149" si="35">B110-B136</f>
        <v>0</v>
      </c>
      <c r="C149" s="61">
        <f t="shared" si="35"/>
        <v>0</v>
      </c>
      <c r="D149" s="61">
        <f t="shared" si="35"/>
        <v>0</v>
      </c>
      <c r="E149" s="61">
        <f t="shared" si="35"/>
        <v>0</v>
      </c>
      <c r="F149" s="61">
        <f t="shared" si="35"/>
        <v>0</v>
      </c>
      <c r="G149" s="61">
        <f t="shared" si="35"/>
        <v>0</v>
      </c>
      <c r="H149" s="61">
        <f t="shared" si="35"/>
        <v>0</v>
      </c>
      <c r="I149" s="61">
        <f t="shared" si="35"/>
        <v>0</v>
      </c>
      <c r="J149" s="61">
        <f t="shared" si="35"/>
        <v>0</v>
      </c>
      <c r="K149" s="61">
        <f t="shared" si="35"/>
        <v>0</v>
      </c>
      <c r="L149" s="61">
        <f t="shared" si="35"/>
        <v>0</v>
      </c>
      <c r="M149" s="61">
        <f t="shared" si="35"/>
        <v>0</v>
      </c>
      <c r="N149" s="61">
        <f t="shared" si="35"/>
        <v>0</v>
      </c>
      <c r="O149" s="61">
        <f t="shared" si="35"/>
        <v>0</v>
      </c>
      <c r="P149" s="61">
        <f t="shared" si="35"/>
        <v>0</v>
      </c>
      <c r="Q149" s="61">
        <f t="shared" si="35"/>
        <v>0</v>
      </c>
      <c r="R149" s="61">
        <f t="shared" si="35"/>
        <v>0</v>
      </c>
      <c r="S149" s="61">
        <f t="shared" si="35"/>
        <v>0</v>
      </c>
      <c r="T149" s="61">
        <f t="shared" si="35"/>
        <v>0</v>
      </c>
      <c r="U149" s="61">
        <f t="shared" si="35"/>
        <v>0</v>
      </c>
      <c r="V149" s="61">
        <f t="shared" si="35"/>
        <v>0</v>
      </c>
      <c r="W149" s="61">
        <f t="shared" si="35"/>
        <v>0</v>
      </c>
      <c r="X149" s="61">
        <f t="shared" si="35"/>
        <v>0</v>
      </c>
      <c r="Y149" s="61">
        <f t="shared" si="35"/>
        <v>0</v>
      </c>
    </row>
    <row r="150" spans="1:28" x14ac:dyDescent="0.25">
      <c r="A150" s="128" t="str">
        <f>A$16</f>
        <v>lot2</v>
      </c>
      <c r="B150" s="61">
        <f t="shared" ref="B150:Y150" si="36">B111-B137</f>
        <v>0</v>
      </c>
      <c r="C150" s="61">
        <f t="shared" si="36"/>
        <v>0</v>
      </c>
      <c r="D150" s="61">
        <f t="shared" si="36"/>
        <v>0</v>
      </c>
      <c r="E150" s="61">
        <f t="shared" si="36"/>
        <v>0</v>
      </c>
      <c r="F150" s="61">
        <f t="shared" si="36"/>
        <v>0</v>
      </c>
      <c r="G150" s="61">
        <f t="shared" si="36"/>
        <v>0</v>
      </c>
      <c r="H150" s="61">
        <f t="shared" si="36"/>
        <v>0</v>
      </c>
      <c r="I150" s="61">
        <f t="shared" si="36"/>
        <v>0</v>
      </c>
      <c r="J150" s="61">
        <f t="shared" si="36"/>
        <v>0</v>
      </c>
      <c r="K150" s="61">
        <f t="shared" si="36"/>
        <v>0</v>
      </c>
      <c r="L150" s="61">
        <f t="shared" si="36"/>
        <v>0</v>
      </c>
      <c r="M150" s="61">
        <f t="shared" si="36"/>
        <v>0</v>
      </c>
      <c r="N150" s="61">
        <f t="shared" si="36"/>
        <v>0</v>
      </c>
      <c r="O150" s="61">
        <f t="shared" si="36"/>
        <v>0</v>
      </c>
      <c r="P150" s="61">
        <f t="shared" si="36"/>
        <v>0</v>
      </c>
      <c r="Q150" s="61">
        <f t="shared" si="36"/>
        <v>0</v>
      </c>
      <c r="R150" s="61">
        <f t="shared" si="36"/>
        <v>0</v>
      </c>
      <c r="S150" s="61">
        <f t="shared" si="36"/>
        <v>0</v>
      </c>
      <c r="T150" s="61">
        <f t="shared" si="36"/>
        <v>0</v>
      </c>
      <c r="U150" s="61">
        <f t="shared" si="36"/>
        <v>0</v>
      </c>
      <c r="V150" s="61">
        <f t="shared" si="36"/>
        <v>0</v>
      </c>
      <c r="W150" s="61">
        <f t="shared" si="36"/>
        <v>0</v>
      </c>
      <c r="X150" s="61">
        <f t="shared" si="36"/>
        <v>0</v>
      </c>
      <c r="Y150" s="61">
        <f t="shared" si="36"/>
        <v>0</v>
      </c>
    </row>
    <row r="151" spans="1:28" x14ac:dyDescent="0.25">
      <c r="A151" s="128" t="str">
        <f>A$17</f>
        <v>lot3</v>
      </c>
      <c r="B151" s="61">
        <f t="shared" ref="B151:Y151" si="37">B112-B138</f>
        <v>0</v>
      </c>
      <c r="C151" s="61">
        <f t="shared" si="37"/>
        <v>0</v>
      </c>
      <c r="D151" s="61">
        <f t="shared" si="37"/>
        <v>0</v>
      </c>
      <c r="E151" s="61">
        <f t="shared" si="37"/>
        <v>0</v>
      </c>
      <c r="F151" s="61">
        <f t="shared" si="37"/>
        <v>0</v>
      </c>
      <c r="G151" s="61">
        <f t="shared" si="37"/>
        <v>0</v>
      </c>
      <c r="H151" s="61">
        <f t="shared" si="37"/>
        <v>0</v>
      </c>
      <c r="I151" s="61">
        <f t="shared" si="37"/>
        <v>0</v>
      </c>
      <c r="J151" s="61">
        <f t="shared" si="37"/>
        <v>0</v>
      </c>
      <c r="K151" s="61">
        <f t="shared" si="37"/>
        <v>0</v>
      </c>
      <c r="L151" s="61">
        <f t="shared" si="37"/>
        <v>0</v>
      </c>
      <c r="M151" s="61">
        <f t="shared" si="37"/>
        <v>0</v>
      </c>
      <c r="N151" s="61">
        <f t="shared" si="37"/>
        <v>0</v>
      </c>
      <c r="O151" s="61">
        <f t="shared" si="37"/>
        <v>0</v>
      </c>
      <c r="P151" s="61">
        <f t="shared" si="37"/>
        <v>0</v>
      </c>
      <c r="Q151" s="61">
        <f t="shared" si="37"/>
        <v>0</v>
      </c>
      <c r="R151" s="61">
        <f t="shared" si="37"/>
        <v>0</v>
      </c>
      <c r="S151" s="61">
        <f t="shared" si="37"/>
        <v>0</v>
      </c>
      <c r="T151" s="61">
        <f t="shared" si="37"/>
        <v>0</v>
      </c>
      <c r="U151" s="61">
        <f t="shared" si="37"/>
        <v>0</v>
      </c>
      <c r="V151" s="61">
        <f t="shared" si="37"/>
        <v>0</v>
      </c>
      <c r="W151" s="61">
        <f t="shared" si="37"/>
        <v>0</v>
      </c>
      <c r="X151" s="61">
        <f t="shared" si="37"/>
        <v>0</v>
      </c>
      <c r="Y151" s="61">
        <f t="shared" si="37"/>
        <v>0</v>
      </c>
    </row>
    <row r="152" spans="1:28" x14ac:dyDescent="0.25">
      <c r="A152" s="127" t="str">
        <f>A$18</f>
        <v>lot4</v>
      </c>
      <c r="B152" s="61">
        <f t="shared" ref="B152:Y152" si="38">B113-B139</f>
        <v>0</v>
      </c>
      <c r="C152" s="61">
        <f t="shared" si="38"/>
        <v>0</v>
      </c>
      <c r="D152" s="61">
        <f t="shared" si="38"/>
        <v>0</v>
      </c>
      <c r="E152" s="61">
        <f t="shared" si="38"/>
        <v>0</v>
      </c>
      <c r="F152" s="61">
        <f t="shared" si="38"/>
        <v>0</v>
      </c>
      <c r="G152" s="61">
        <f t="shared" si="38"/>
        <v>0</v>
      </c>
      <c r="H152" s="61">
        <f t="shared" si="38"/>
        <v>0</v>
      </c>
      <c r="I152" s="61">
        <f t="shared" si="38"/>
        <v>0</v>
      </c>
      <c r="J152" s="61">
        <f t="shared" si="38"/>
        <v>0</v>
      </c>
      <c r="K152" s="61">
        <f t="shared" si="38"/>
        <v>0</v>
      </c>
      <c r="L152" s="61">
        <f t="shared" si="38"/>
        <v>0</v>
      </c>
      <c r="M152" s="61">
        <f t="shared" si="38"/>
        <v>0</v>
      </c>
      <c r="N152" s="61">
        <f t="shared" si="38"/>
        <v>0</v>
      </c>
      <c r="O152" s="61">
        <f t="shared" si="38"/>
        <v>0</v>
      </c>
      <c r="P152" s="61">
        <f t="shared" si="38"/>
        <v>0</v>
      </c>
      <c r="Q152" s="61">
        <f t="shared" si="38"/>
        <v>0</v>
      </c>
      <c r="R152" s="61">
        <f t="shared" si="38"/>
        <v>0</v>
      </c>
      <c r="S152" s="61">
        <f t="shared" si="38"/>
        <v>0</v>
      </c>
      <c r="T152" s="61">
        <f t="shared" si="38"/>
        <v>0</v>
      </c>
      <c r="U152" s="61">
        <f t="shared" si="38"/>
        <v>0</v>
      </c>
      <c r="V152" s="61">
        <f t="shared" si="38"/>
        <v>0</v>
      </c>
      <c r="W152" s="61">
        <f t="shared" si="38"/>
        <v>0</v>
      </c>
      <c r="X152" s="61">
        <f t="shared" si="38"/>
        <v>0</v>
      </c>
      <c r="Y152" s="61">
        <f t="shared" si="38"/>
        <v>0</v>
      </c>
    </row>
    <row r="153" spans="1:28" x14ac:dyDescent="0.25">
      <c r="A153" s="128" t="str">
        <f>A$19</f>
        <v>lot5</v>
      </c>
      <c r="B153" s="61">
        <f t="shared" ref="B153:Y153" si="39">B114-B140</f>
        <v>0</v>
      </c>
      <c r="C153" s="61">
        <f t="shared" si="39"/>
        <v>0</v>
      </c>
      <c r="D153" s="61">
        <f t="shared" si="39"/>
        <v>0</v>
      </c>
      <c r="E153" s="61">
        <f t="shared" si="39"/>
        <v>0</v>
      </c>
      <c r="F153" s="61">
        <f t="shared" si="39"/>
        <v>0</v>
      </c>
      <c r="G153" s="61">
        <f t="shared" si="39"/>
        <v>0</v>
      </c>
      <c r="H153" s="61">
        <f t="shared" si="39"/>
        <v>0</v>
      </c>
      <c r="I153" s="61">
        <f t="shared" si="39"/>
        <v>0</v>
      </c>
      <c r="J153" s="61">
        <f t="shared" si="39"/>
        <v>0</v>
      </c>
      <c r="K153" s="61">
        <f t="shared" si="39"/>
        <v>0</v>
      </c>
      <c r="L153" s="61">
        <f t="shared" si="39"/>
        <v>0</v>
      </c>
      <c r="M153" s="61">
        <f t="shared" si="39"/>
        <v>0</v>
      </c>
      <c r="N153" s="61">
        <f t="shared" si="39"/>
        <v>0</v>
      </c>
      <c r="O153" s="61">
        <f t="shared" si="39"/>
        <v>0</v>
      </c>
      <c r="P153" s="61">
        <f t="shared" si="39"/>
        <v>0</v>
      </c>
      <c r="Q153" s="61">
        <f t="shared" si="39"/>
        <v>0</v>
      </c>
      <c r="R153" s="61">
        <f t="shared" si="39"/>
        <v>0</v>
      </c>
      <c r="S153" s="61">
        <f t="shared" si="39"/>
        <v>0</v>
      </c>
      <c r="T153" s="61">
        <f t="shared" si="39"/>
        <v>0</v>
      </c>
      <c r="U153" s="61">
        <f t="shared" si="39"/>
        <v>0</v>
      </c>
      <c r="V153" s="61">
        <f t="shared" si="39"/>
        <v>0</v>
      </c>
      <c r="W153" s="61">
        <f t="shared" si="39"/>
        <v>0</v>
      </c>
      <c r="X153" s="61">
        <f t="shared" si="39"/>
        <v>0</v>
      </c>
      <c r="Y153" s="61">
        <f t="shared" si="39"/>
        <v>0</v>
      </c>
    </row>
    <row r="154" spans="1:28" x14ac:dyDescent="0.25">
      <c r="A154" s="127" t="str">
        <f>A$20</f>
        <v>lot6</v>
      </c>
      <c r="B154" s="61">
        <f t="shared" ref="B154:Y154" si="40">B115-B141</f>
        <v>0</v>
      </c>
      <c r="C154" s="61">
        <f t="shared" si="40"/>
        <v>0</v>
      </c>
      <c r="D154" s="61">
        <f t="shared" si="40"/>
        <v>0</v>
      </c>
      <c r="E154" s="61">
        <f t="shared" si="40"/>
        <v>0</v>
      </c>
      <c r="F154" s="61">
        <f t="shared" si="40"/>
        <v>0</v>
      </c>
      <c r="G154" s="61">
        <f t="shared" si="40"/>
        <v>0</v>
      </c>
      <c r="H154" s="61">
        <f t="shared" si="40"/>
        <v>0</v>
      </c>
      <c r="I154" s="61">
        <f t="shared" si="40"/>
        <v>0</v>
      </c>
      <c r="J154" s="61">
        <f t="shared" si="40"/>
        <v>0</v>
      </c>
      <c r="K154" s="61">
        <f t="shared" si="40"/>
        <v>0</v>
      </c>
      <c r="L154" s="61">
        <f t="shared" si="40"/>
        <v>0</v>
      </c>
      <c r="M154" s="61">
        <f t="shared" si="40"/>
        <v>0</v>
      </c>
      <c r="N154" s="61">
        <f t="shared" si="40"/>
        <v>0</v>
      </c>
      <c r="O154" s="61">
        <f t="shared" si="40"/>
        <v>0</v>
      </c>
      <c r="P154" s="61">
        <f t="shared" si="40"/>
        <v>0</v>
      </c>
      <c r="Q154" s="61">
        <f t="shared" si="40"/>
        <v>0</v>
      </c>
      <c r="R154" s="61">
        <f t="shared" si="40"/>
        <v>0</v>
      </c>
      <c r="S154" s="61">
        <f t="shared" si="40"/>
        <v>0</v>
      </c>
      <c r="T154" s="61">
        <f t="shared" si="40"/>
        <v>0</v>
      </c>
      <c r="U154" s="61">
        <f t="shared" si="40"/>
        <v>0</v>
      </c>
      <c r="V154" s="61">
        <f t="shared" si="40"/>
        <v>0</v>
      </c>
      <c r="W154" s="61">
        <f t="shared" si="40"/>
        <v>0</v>
      </c>
      <c r="X154" s="61">
        <f t="shared" si="40"/>
        <v>0</v>
      </c>
      <c r="Y154" s="61">
        <f t="shared" si="40"/>
        <v>0</v>
      </c>
    </row>
    <row r="155" spans="1:28" x14ac:dyDescent="0.25">
      <c r="A155" s="128" t="str">
        <f>A$21</f>
        <v>lot7</v>
      </c>
      <c r="B155" s="61">
        <f t="shared" ref="B155:Y155" si="41">B116-B142</f>
        <v>0</v>
      </c>
      <c r="C155" s="61">
        <f t="shared" si="41"/>
        <v>0</v>
      </c>
      <c r="D155" s="61">
        <f t="shared" si="41"/>
        <v>0</v>
      </c>
      <c r="E155" s="61">
        <f t="shared" si="41"/>
        <v>0</v>
      </c>
      <c r="F155" s="61">
        <f t="shared" si="41"/>
        <v>0</v>
      </c>
      <c r="G155" s="61">
        <f t="shared" si="41"/>
        <v>0</v>
      </c>
      <c r="H155" s="61">
        <f t="shared" si="41"/>
        <v>0</v>
      </c>
      <c r="I155" s="61">
        <f t="shared" si="41"/>
        <v>0</v>
      </c>
      <c r="J155" s="61">
        <f t="shared" si="41"/>
        <v>0</v>
      </c>
      <c r="K155" s="61">
        <f t="shared" si="41"/>
        <v>0</v>
      </c>
      <c r="L155" s="61">
        <f t="shared" si="41"/>
        <v>0</v>
      </c>
      <c r="M155" s="61">
        <f t="shared" si="41"/>
        <v>0</v>
      </c>
      <c r="N155" s="61">
        <f t="shared" si="41"/>
        <v>0</v>
      </c>
      <c r="O155" s="61">
        <f t="shared" si="41"/>
        <v>0</v>
      </c>
      <c r="P155" s="61">
        <f t="shared" si="41"/>
        <v>0</v>
      </c>
      <c r="Q155" s="61">
        <f t="shared" si="41"/>
        <v>0</v>
      </c>
      <c r="R155" s="61">
        <f t="shared" si="41"/>
        <v>0</v>
      </c>
      <c r="S155" s="61">
        <f t="shared" si="41"/>
        <v>0</v>
      </c>
      <c r="T155" s="61">
        <f t="shared" si="41"/>
        <v>0</v>
      </c>
      <c r="U155" s="61">
        <f t="shared" si="41"/>
        <v>0</v>
      </c>
      <c r="V155" s="61">
        <f t="shared" si="41"/>
        <v>0</v>
      </c>
      <c r="W155" s="61">
        <f t="shared" si="41"/>
        <v>0</v>
      </c>
      <c r="X155" s="61">
        <f t="shared" si="41"/>
        <v>0</v>
      </c>
      <c r="Y155" s="61">
        <f t="shared" si="41"/>
        <v>0</v>
      </c>
    </row>
    <row r="156" spans="1:28" x14ac:dyDescent="0.25">
      <c r="A156" s="128" t="str">
        <f>A$22</f>
        <v>lot8</v>
      </c>
      <c r="B156" s="61">
        <f t="shared" ref="B156:Y156" si="42">B117-B143</f>
        <v>0</v>
      </c>
      <c r="C156" s="61">
        <f t="shared" si="42"/>
        <v>0</v>
      </c>
      <c r="D156" s="61">
        <f t="shared" si="42"/>
        <v>0</v>
      </c>
      <c r="E156" s="61">
        <f t="shared" si="42"/>
        <v>0</v>
      </c>
      <c r="F156" s="61">
        <f t="shared" si="42"/>
        <v>0</v>
      </c>
      <c r="G156" s="61">
        <f t="shared" si="42"/>
        <v>0</v>
      </c>
      <c r="H156" s="61">
        <f t="shared" si="42"/>
        <v>0</v>
      </c>
      <c r="I156" s="61">
        <f t="shared" si="42"/>
        <v>0</v>
      </c>
      <c r="J156" s="61">
        <f t="shared" si="42"/>
        <v>0</v>
      </c>
      <c r="K156" s="61">
        <f t="shared" si="42"/>
        <v>0</v>
      </c>
      <c r="L156" s="61">
        <f t="shared" si="42"/>
        <v>0</v>
      </c>
      <c r="M156" s="61">
        <f t="shared" si="42"/>
        <v>0</v>
      </c>
      <c r="N156" s="61">
        <f t="shared" si="42"/>
        <v>0</v>
      </c>
      <c r="O156" s="61">
        <f t="shared" si="42"/>
        <v>0</v>
      </c>
      <c r="P156" s="61">
        <f t="shared" si="42"/>
        <v>0</v>
      </c>
      <c r="Q156" s="61">
        <f t="shared" si="42"/>
        <v>0</v>
      </c>
      <c r="R156" s="61">
        <f t="shared" si="42"/>
        <v>0</v>
      </c>
      <c r="S156" s="61">
        <f t="shared" si="42"/>
        <v>0</v>
      </c>
      <c r="T156" s="61">
        <f t="shared" si="42"/>
        <v>0</v>
      </c>
      <c r="U156" s="61">
        <f t="shared" si="42"/>
        <v>0</v>
      </c>
      <c r="V156" s="61">
        <f t="shared" si="42"/>
        <v>0</v>
      </c>
      <c r="W156" s="61">
        <f t="shared" si="42"/>
        <v>0</v>
      </c>
      <c r="X156" s="61">
        <f t="shared" si="42"/>
        <v>0</v>
      </c>
      <c r="Y156" s="61">
        <f t="shared" si="42"/>
        <v>0</v>
      </c>
    </row>
    <row r="157" spans="1:28" x14ac:dyDescent="0.25">
      <c r="A157" s="127" t="str">
        <f>A$23</f>
        <v>lot9</v>
      </c>
      <c r="B157" s="61">
        <f t="shared" ref="B157:Y157" si="43">B118-B144</f>
        <v>0</v>
      </c>
      <c r="C157" s="61">
        <f t="shared" si="43"/>
        <v>0</v>
      </c>
      <c r="D157" s="61">
        <f t="shared" si="43"/>
        <v>0</v>
      </c>
      <c r="E157" s="61">
        <f t="shared" si="43"/>
        <v>0</v>
      </c>
      <c r="F157" s="61">
        <f t="shared" si="43"/>
        <v>0</v>
      </c>
      <c r="G157" s="61">
        <f t="shared" si="43"/>
        <v>0</v>
      </c>
      <c r="H157" s="61">
        <f t="shared" si="43"/>
        <v>0</v>
      </c>
      <c r="I157" s="61">
        <f t="shared" si="43"/>
        <v>0</v>
      </c>
      <c r="J157" s="61">
        <f t="shared" si="43"/>
        <v>0</v>
      </c>
      <c r="K157" s="61">
        <f t="shared" si="43"/>
        <v>0</v>
      </c>
      <c r="L157" s="61">
        <f t="shared" si="43"/>
        <v>0</v>
      </c>
      <c r="M157" s="61">
        <f t="shared" si="43"/>
        <v>0</v>
      </c>
      <c r="N157" s="61">
        <f t="shared" si="43"/>
        <v>0</v>
      </c>
      <c r="O157" s="61">
        <f t="shared" si="43"/>
        <v>0</v>
      </c>
      <c r="P157" s="61">
        <f t="shared" si="43"/>
        <v>0</v>
      </c>
      <c r="Q157" s="61">
        <f t="shared" si="43"/>
        <v>0</v>
      </c>
      <c r="R157" s="61">
        <f t="shared" si="43"/>
        <v>0</v>
      </c>
      <c r="S157" s="61">
        <f t="shared" si="43"/>
        <v>0</v>
      </c>
      <c r="T157" s="61">
        <f t="shared" si="43"/>
        <v>0</v>
      </c>
      <c r="U157" s="61">
        <f t="shared" si="43"/>
        <v>0</v>
      </c>
      <c r="V157" s="61">
        <f t="shared" si="43"/>
        <v>0</v>
      </c>
      <c r="W157" s="61">
        <f t="shared" si="43"/>
        <v>0</v>
      </c>
      <c r="X157" s="61">
        <f t="shared" si="43"/>
        <v>0</v>
      </c>
      <c r="Y157" s="61">
        <f t="shared" si="43"/>
        <v>0</v>
      </c>
    </row>
    <row r="158" spans="1:28" x14ac:dyDescent="0.25">
      <c r="A158" s="128" t="str">
        <f>A$24</f>
        <v>lot10</v>
      </c>
      <c r="B158" s="61">
        <f t="shared" ref="B158:Y158" si="44">B119-B145</f>
        <v>0</v>
      </c>
      <c r="C158" s="61">
        <f t="shared" si="44"/>
        <v>0</v>
      </c>
      <c r="D158" s="61">
        <f t="shared" si="44"/>
        <v>0</v>
      </c>
      <c r="E158" s="61">
        <f t="shared" si="44"/>
        <v>0</v>
      </c>
      <c r="F158" s="61">
        <f t="shared" si="44"/>
        <v>0</v>
      </c>
      <c r="G158" s="61">
        <f t="shared" si="44"/>
        <v>0</v>
      </c>
      <c r="H158" s="61">
        <f t="shared" si="44"/>
        <v>0</v>
      </c>
      <c r="I158" s="61">
        <f t="shared" si="44"/>
        <v>0</v>
      </c>
      <c r="J158" s="61">
        <f t="shared" si="44"/>
        <v>0</v>
      </c>
      <c r="K158" s="61">
        <f t="shared" si="44"/>
        <v>0</v>
      </c>
      <c r="L158" s="61">
        <f t="shared" si="44"/>
        <v>0</v>
      </c>
      <c r="M158" s="61">
        <f t="shared" si="44"/>
        <v>0</v>
      </c>
      <c r="N158" s="61">
        <f t="shared" si="44"/>
        <v>0</v>
      </c>
      <c r="O158" s="61">
        <f t="shared" si="44"/>
        <v>0</v>
      </c>
      <c r="P158" s="61">
        <f t="shared" si="44"/>
        <v>0</v>
      </c>
      <c r="Q158" s="61">
        <f t="shared" si="44"/>
        <v>0</v>
      </c>
      <c r="R158" s="61">
        <f t="shared" si="44"/>
        <v>0</v>
      </c>
      <c r="S158" s="61">
        <f t="shared" si="44"/>
        <v>0</v>
      </c>
      <c r="T158" s="61">
        <f t="shared" si="44"/>
        <v>0</v>
      </c>
      <c r="U158" s="61">
        <f t="shared" si="44"/>
        <v>0</v>
      </c>
      <c r="V158" s="61">
        <f t="shared" si="44"/>
        <v>0</v>
      </c>
      <c r="W158" s="61">
        <f t="shared" si="44"/>
        <v>0</v>
      </c>
      <c r="X158" s="61">
        <f t="shared" si="44"/>
        <v>0</v>
      </c>
      <c r="Y158" s="61">
        <f t="shared" si="44"/>
        <v>0</v>
      </c>
    </row>
    <row r="159" spans="1:28" x14ac:dyDescent="0.25">
      <c r="AA159" s="30">
        <f>SUM(B149:Y158)</f>
        <v>0</v>
      </c>
      <c r="AB159" t="s">
        <v>222</v>
      </c>
    </row>
    <row r="161" spans="1:28" x14ac:dyDescent="0.25">
      <c r="A161" s="2" t="s">
        <v>210</v>
      </c>
    </row>
    <row r="162" spans="1:28" x14ac:dyDescent="0.25">
      <c r="A162" s="127" t="str">
        <f>A$15</f>
        <v>lot1</v>
      </c>
      <c r="B162" s="61">
        <f t="shared" ref="B162:Y162" si="45">IF(B76=1,B149,0)</f>
        <v>0</v>
      </c>
      <c r="C162" s="61">
        <f t="shared" si="45"/>
        <v>0</v>
      </c>
      <c r="D162" s="61">
        <f t="shared" si="45"/>
        <v>0</v>
      </c>
      <c r="E162" s="61">
        <f t="shared" si="45"/>
        <v>0</v>
      </c>
      <c r="F162" s="61">
        <f t="shared" si="45"/>
        <v>0</v>
      </c>
      <c r="G162" s="61">
        <f t="shared" si="45"/>
        <v>0</v>
      </c>
      <c r="H162" s="61">
        <f t="shared" si="45"/>
        <v>0</v>
      </c>
      <c r="I162" s="61">
        <f t="shared" si="45"/>
        <v>0</v>
      </c>
      <c r="J162" s="61">
        <f t="shared" si="45"/>
        <v>0</v>
      </c>
      <c r="K162" s="61">
        <f t="shared" si="45"/>
        <v>0</v>
      </c>
      <c r="L162" s="61">
        <f t="shared" si="45"/>
        <v>0</v>
      </c>
      <c r="M162" s="61">
        <f t="shared" si="45"/>
        <v>0</v>
      </c>
      <c r="N162" s="61">
        <f t="shared" si="45"/>
        <v>0</v>
      </c>
      <c r="O162" s="61">
        <f t="shared" si="45"/>
        <v>0</v>
      </c>
      <c r="P162" s="61">
        <f t="shared" si="45"/>
        <v>0</v>
      </c>
      <c r="Q162" s="61">
        <f t="shared" si="45"/>
        <v>0</v>
      </c>
      <c r="R162" s="61">
        <f t="shared" si="45"/>
        <v>0</v>
      </c>
      <c r="S162" s="61">
        <f t="shared" si="45"/>
        <v>0</v>
      </c>
      <c r="T162" s="61">
        <f t="shared" si="45"/>
        <v>0</v>
      </c>
      <c r="U162" s="61">
        <f t="shared" si="45"/>
        <v>0</v>
      </c>
      <c r="V162" s="61">
        <f t="shared" si="45"/>
        <v>0</v>
      </c>
      <c r="W162" s="61">
        <f t="shared" si="45"/>
        <v>0</v>
      </c>
      <c r="X162" s="61">
        <f t="shared" si="45"/>
        <v>0</v>
      </c>
      <c r="Y162" s="61">
        <f t="shared" si="45"/>
        <v>0</v>
      </c>
    </row>
    <row r="163" spans="1:28" x14ac:dyDescent="0.25">
      <c r="A163" s="128" t="str">
        <f>A$16</f>
        <v>lot2</v>
      </c>
      <c r="B163" s="61">
        <f t="shared" ref="B163:Y163" si="46">IF(B77=1,B150,0)</f>
        <v>0</v>
      </c>
      <c r="C163" s="61">
        <f t="shared" si="46"/>
        <v>0</v>
      </c>
      <c r="D163" s="61">
        <f t="shared" si="46"/>
        <v>0</v>
      </c>
      <c r="E163" s="61">
        <f t="shared" si="46"/>
        <v>0</v>
      </c>
      <c r="F163" s="61">
        <f t="shared" si="46"/>
        <v>0</v>
      </c>
      <c r="G163" s="61">
        <f t="shared" si="46"/>
        <v>0</v>
      </c>
      <c r="H163" s="61">
        <f t="shared" si="46"/>
        <v>0</v>
      </c>
      <c r="I163" s="61">
        <f t="shared" si="46"/>
        <v>0</v>
      </c>
      <c r="J163" s="61">
        <f t="shared" si="46"/>
        <v>0</v>
      </c>
      <c r="K163" s="61">
        <f t="shared" si="46"/>
        <v>0</v>
      </c>
      <c r="L163" s="61">
        <f t="shared" si="46"/>
        <v>0</v>
      </c>
      <c r="M163" s="61">
        <f t="shared" si="46"/>
        <v>0</v>
      </c>
      <c r="N163" s="61">
        <f t="shared" si="46"/>
        <v>0</v>
      </c>
      <c r="O163" s="61">
        <f t="shared" si="46"/>
        <v>0</v>
      </c>
      <c r="P163" s="61">
        <f t="shared" si="46"/>
        <v>0</v>
      </c>
      <c r="Q163" s="61">
        <f t="shared" si="46"/>
        <v>0</v>
      </c>
      <c r="R163" s="61">
        <f t="shared" si="46"/>
        <v>0</v>
      </c>
      <c r="S163" s="61">
        <f t="shared" si="46"/>
        <v>0</v>
      </c>
      <c r="T163" s="61">
        <f t="shared" si="46"/>
        <v>0</v>
      </c>
      <c r="U163" s="61">
        <f t="shared" si="46"/>
        <v>0</v>
      </c>
      <c r="V163" s="61">
        <f t="shared" si="46"/>
        <v>0</v>
      </c>
      <c r="W163" s="61">
        <f t="shared" si="46"/>
        <v>0</v>
      </c>
      <c r="X163" s="61">
        <f t="shared" si="46"/>
        <v>0</v>
      </c>
      <c r="Y163" s="61">
        <f t="shared" si="46"/>
        <v>0</v>
      </c>
    </row>
    <row r="164" spans="1:28" x14ac:dyDescent="0.25">
      <c r="A164" s="128" t="str">
        <f>A$17</f>
        <v>lot3</v>
      </c>
      <c r="B164" s="61">
        <f t="shared" ref="B164:Y164" si="47">IF(B78=1,B151,0)</f>
        <v>0</v>
      </c>
      <c r="C164" s="61">
        <f t="shared" si="47"/>
        <v>0</v>
      </c>
      <c r="D164" s="61">
        <f t="shared" si="47"/>
        <v>0</v>
      </c>
      <c r="E164" s="61">
        <f t="shared" si="47"/>
        <v>0</v>
      </c>
      <c r="F164" s="61">
        <f t="shared" si="47"/>
        <v>0</v>
      </c>
      <c r="G164" s="61">
        <f t="shared" si="47"/>
        <v>0</v>
      </c>
      <c r="H164" s="61">
        <f t="shared" si="47"/>
        <v>0</v>
      </c>
      <c r="I164" s="61">
        <f t="shared" si="47"/>
        <v>0</v>
      </c>
      <c r="J164" s="61">
        <f t="shared" si="47"/>
        <v>0</v>
      </c>
      <c r="K164" s="61">
        <f t="shared" si="47"/>
        <v>0</v>
      </c>
      <c r="L164" s="61">
        <f t="shared" si="47"/>
        <v>0</v>
      </c>
      <c r="M164" s="61">
        <f t="shared" si="47"/>
        <v>0</v>
      </c>
      <c r="N164" s="61">
        <f t="shared" si="47"/>
        <v>0</v>
      </c>
      <c r="O164" s="61">
        <f t="shared" si="47"/>
        <v>0</v>
      </c>
      <c r="P164" s="61">
        <f t="shared" si="47"/>
        <v>0</v>
      </c>
      <c r="Q164" s="61">
        <f t="shared" si="47"/>
        <v>0</v>
      </c>
      <c r="R164" s="61">
        <f t="shared" si="47"/>
        <v>0</v>
      </c>
      <c r="S164" s="61">
        <f t="shared" si="47"/>
        <v>0</v>
      </c>
      <c r="T164" s="61">
        <f t="shared" si="47"/>
        <v>0</v>
      </c>
      <c r="U164" s="61">
        <f t="shared" si="47"/>
        <v>0</v>
      </c>
      <c r="V164" s="61">
        <f t="shared" si="47"/>
        <v>0</v>
      </c>
      <c r="W164" s="61">
        <f t="shared" si="47"/>
        <v>0</v>
      </c>
      <c r="X164" s="61">
        <f t="shared" si="47"/>
        <v>0</v>
      </c>
      <c r="Y164" s="61">
        <f t="shared" si="47"/>
        <v>0</v>
      </c>
    </row>
    <row r="165" spans="1:28" x14ac:dyDescent="0.25">
      <c r="A165" s="127" t="str">
        <f>A$18</f>
        <v>lot4</v>
      </c>
      <c r="B165" s="61">
        <f t="shared" ref="B165:Y165" si="48">IF(B79=1,B152,0)</f>
        <v>0</v>
      </c>
      <c r="C165" s="61">
        <f t="shared" si="48"/>
        <v>0</v>
      </c>
      <c r="D165" s="61">
        <f t="shared" si="48"/>
        <v>0</v>
      </c>
      <c r="E165" s="61">
        <f t="shared" si="48"/>
        <v>0</v>
      </c>
      <c r="F165" s="61">
        <f t="shared" si="48"/>
        <v>0</v>
      </c>
      <c r="G165" s="61">
        <f t="shared" si="48"/>
        <v>0</v>
      </c>
      <c r="H165" s="61">
        <f t="shared" si="48"/>
        <v>0</v>
      </c>
      <c r="I165" s="61">
        <f t="shared" si="48"/>
        <v>0</v>
      </c>
      <c r="J165" s="61">
        <f t="shared" si="48"/>
        <v>0</v>
      </c>
      <c r="K165" s="61">
        <f t="shared" si="48"/>
        <v>0</v>
      </c>
      <c r="L165" s="61">
        <f t="shared" si="48"/>
        <v>0</v>
      </c>
      <c r="M165" s="61">
        <f t="shared" si="48"/>
        <v>0</v>
      </c>
      <c r="N165" s="61">
        <f t="shared" si="48"/>
        <v>0</v>
      </c>
      <c r="O165" s="61">
        <f t="shared" si="48"/>
        <v>0</v>
      </c>
      <c r="P165" s="61">
        <f t="shared" si="48"/>
        <v>0</v>
      </c>
      <c r="Q165" s="61">
        <f t="shared" si="48"/>
        <v>0</v>
      </c>
      <c r="R165" s="61">
        <f t="shared" si="48"/>
        <v>0</v>
      </c>
      <c r="S165" s="61">
        <f t="shared" si="48"/>
        <v>0</v>
      </c>
      <c r="T165" s="61">
        <f t="shared" si="48"/>
        <v>0</v>
      </c>
      <c r="U165" s="61">
        <f t="shared" si="48"/>
        <v>0</v>
      </c>
      <c r="V165" s="61">
        <f t="shared" si="48"/>
        <v>0</v>
      </c>
      <c r="W165" s="61">
        <f t="shared" si="48"/>
        <v>0</v>
      </c>
      <c r="X165" s="61">
        <f t="shared" si="48"/>
        <v>0</v>
      </c>
      <c r="Y165" s="61">
        <f t="shared" si="48"/>
        <v>0</v>
      </c>
    </row>
    <row r="166" spans="1:28" x14ac:dyDescent="0.25">
      <c r="A166" s="128" t="str">
        <f>A$19</f>
        <v>lot5</v>
      </c>
      <c r="B166" s="61">
        <f t="shared" ref="B166:Y166" si="49">IF(B80=1,B153,0)</f>
        <v>0</v>
      </c>
      <c r="C166" s="61">
        <f t="shared" si="49"/>
        <v>0</v>
      </c>
      <c r="D166" s="61">
        <f t="shared" si="49"/>
        <v>0</v>
      </c>
      <c r="E166" s="61">
        <f t="shared" si="49"/>
        <v>0</v>
      </c>
      <c r="F166" s="61">
        <f t="shared" si="49"/>
        <v>0</v>
      </c>
      <c r="G166" s="61">
        <f t="shared" si="49"/>
        <v>0</v>
      </c>
      <c r="H166" s="61">
        <f t="shared" si="49"/>
        <v>0</v>
      </c>
      <c r="I166" s="61">
        <f t="shared" si="49"/>
        <v>0</v>
      </c>
      <c r="J166" s="61">
        <f t="shared" si="49"/>
        <v>0</v>
      </c>
      <c r="K166" s="61">
        <f t="shared" si="49"/>
        <v>0</v>
      </c>
      <c r="L166" s="61">
        <f t="shared" si="49"/>
        <v>0</v>
      </c>
      <c r="M166" s="61">
        <f t="shared" si="49"/>
        <v>0</v>
      </c>
      <c r="N166" s="61">
        <f t="shared" si="49"/>
        <v>0</v>
      </c>
      <c r="O166" s="61">
        <f t="shared" si="49"/>
        <v>0</v>
      </c>
      <c r="P166" s="61">
        <f t="shared" si="49"/>
        <v>0</v>
      </c>
      <c r="Q166" s="61">
        <f t="shared" si="49"/>
        <v>0</v>
      </c>
      <c r="R166" s="61">
        <f t="shared" si="49"/>
        <v>0</v>
      </c>
      <c r="S166" s="61">
        <f t="shared" si="49"/>
        <v>0</v>
      </c>
      <c r="T166" s="61">
        <f t="shared" si="49"/>
        <v>0</v>
      </c>
      <c r="U166" s="61">
        <f t="shared" si="49"/>
        <v>0</v>
      </c>
      <c r="V166" s="61">
        <f t="shared" si="49"/>
        <v>0</v>
      </c>
      <c r="W166" s="61">
        <f t="shared" si="49"/>
        <v>0</v>
      </c>
      <c r="X166" s="61">
        <f t="shared" si="49"/>
        <v>0</v>
      </c>
      <c r="Y166" s="61">
        <f t="shared" si="49"/>
        <v>0</v>
      </c>
    </row>
    <row r="167" spans="1:28" x14ac:dyDescent="0.25">
      <c r="A167" s="127" t="str">
        <f>A$20</f>
        <v>lot6</v>
      </c>
      <c r="B167" s="61">
        <f t="shared" ref="B167:Y167" si="50">IF(B81=1,B154,0)</f>
        <v>0</v>
      </c>
      <c r="C167" s="61">
        <f t="shared" si="50"/>
        <v>0</v>
      </c>
      <c r="D167" s="61">
        <f t="shared" si="50"/>
        <v>0</v>
      </c>
      <c r="E167" s="61">
        <f t="shared" si="50"/>
        <v>0</v>
      </c>
      <c r="F167" s="61">
        <f t="shared" si="50"/>
        <v>0</v>
      </c>
      <c r="G167" s="61">
        <f t="shared" si="50"/>
        <v>0</v>
      </c>
      <c r="H167" s="61">
        <f t="shared" si="50"/>
        <v>0</v>
      </c>
      <c r="I167" s="61">
        <f t="shared" si="50"/>
        <v>0</v>
      </c>
      <c r="J167" s="61">
        <f t="shared" si="50"/>
        <v>0</v>
      </c>
      <c r="K167" s="61">
        <f t="shared" si="50"/>
        <v>0</v>
      </c>
      <c r="L167" s="61">
        <f t="shared" si="50"/>
        <v>0</v>
      </c>
      <c r="M167" s="61">
        <f t="shared" si="50"/>
        <v>0</v>
      </c>
      <c r="N167" s="61">
        <f t="shared" si="50"/>
        <v>0</v>
      </c>
      <c r="O167" s="61">
        <f t="shared" si="50"/>
        <v>0</v>
      </c>
      <c r="P167" s="61">
        <f t="shared" si="50"/>
        <v>0</v>
      </c>
      <c r="Q167" s="61">
        <f t="shared" si="50"/>
        <v>0</v>
      </c>
      <c r="R167" s="61">
        <f t="shared" si="50"/>
        <v>0</v>
      </c>
      <c r="S167" s="61">
        <f t="shared" si="50"/>
        <v>0</v>
      </c>
      <c r="T167" s="61">
        <f t="shared" si="50"/>
        <v>0</v>
      </c>
      <c r="U167" s="61">
        <f t="shared" si="50"/>
        <v>0</v>
      </c>
      <c r="V167" s="61">
        <f t="shared" si="50"/>
        <v>0</v>
      </c>
      <c r="W167" s="61">
        <f t="shared" si="50"/>
        <v>0</v>
      </c>
      <c r="X167" s="61">
        <f t="shared" si="50"/>
        <v>0</v>
      </c>
      <c r="Y167" s="61">
        <f t="shared" si="50"/>
        <v>0</v>
      </c>
    </row>
    <row r="168" spans="1:28" x14ac:dyDescent="0.25">
      <c r="A168" s="128" t="str">
        <f>A$21</f>
        <v>lot7</v>
      </c>
      <c r="B168" s="61">
        <f t="shared" ref="B168:Y168" si="51">IF(B82=1,B155,0)</f>
        <v>0</v>
      </c>
      <c r="C168" s="61">
        <f t="shared" si="51"/>
        <v>0</v>
      </c>
      <c r="D168" s="61">
        <f t="shared" si="51"/>
        <v>0</v>
      </c>
      <c r="E168" s="61">
        <f t="shared" si="51"/>
        <v>0</v>
      </c>
      <c r="F168" s="61">
        <f t="shared" si="51"/>
        <v>0</v>
      </c>
      <c r="G168" s="61">
        <f t="shared" si="51"/>
        <v>0</v>
      </c>
      <c r="H168" s="61">
        <f t="shared" si="51"/>
        <v>0</v>
      </c>
      <c r="I168" s="61">
        <f t="shared" si="51"/>
        <v>0</v>
      </c>
      <c r="J168" s="61">
        <f t="shared" si="51"/>
        <v>0</v>
      </c>
      <c r="K168" s="61">
        <f t="shared" si="51"/>
        <v>0</v>
      </c>
      <c r="L168" s="61">
        <f t="shared" si="51"/>
        <v>0</v>
      </c>
      <c r="M168" s="61">
        <f t="shared" si="51"/>
        <v>0</v>
      </c>
      <c r="N168" s="61">
        <f t="shared" si="51"/>
        <v>0</v>
      </c>
      <c r="O168" s="61">
        <f t="shared" si="51"/>
        <v>0</v>
      </c>
      <c r="P168" s="61">
        <f t="shared" si="51"/>
        <v>0</v>
      </c>
      <c r="Q168" s="61">
        <f t="shared" si="51"/>
        <v>0</v>
      </c>
      <c r="R168" s="61">
        <f t="shared" si="51"/>
        <v>0</v>
      </c>
      <c r="S168" s="61">
        <f t="shared" si="51"/>
        <v>0</v>
      </c>
      <c r="T168" s="61">
        <f t="shared" si="51"/>
        <v>0</v>
      </c>
      <c r="U168" s="61">
        <f t="shared" si="51"/>
        <v>0</v>
      </c>
      <c r="V168" s="61">
        <f t="shared" si="51"/>
        <v>0</v>
      </c>
      <c r="W168" s="61">
        <f t="shared" si="51"/>
        <v>0</v>
      </c>
      <c r="X168" s="61">
        <f t="shared" si="51"/>
        <v>0</v>
      </c>
      <c r="Y168" s="61">
        <f t="shared" si="51"/>
        <v>0</v>
      </c>
    </row>
    <row r="169" spans="1:28" x14ac:dyDescent="0.25">
      <c r="A169" s="128" t="str">
        <f>A$22</f>
        <v>lot8</v>
      </c>
      <c r="B169" s="61">
        <f t="shared" ref="B169:Y169" si="52">IF(B83=1,B156,0)</f>
        <v>0</v>
      </c>
      <c r="C169" s="61">
        <f t="shared" si="52"/>
        <v>0</v>
      </c>
      <c r="D169" s="61">
        <f t="shared" si="52"/>
        <v>0</v>
      </c>
      <c r="E169" s="61">
        <f t="shared" si="52"/>
        <v>0</v>
      </c>
      <c r="F169" s="61">
        <f t="shared" si="52"/>
        <v>0</v>
      </c>
      <c r="G169" s="61">
        <f t="shared" si="52"/>
        <v>0</v>
      </c>
      <c r="H169" s="61">
        <f t="shared" si="52"/>
        <v>0</v>
      </c>
      <c r="I169" s="61">
        <f t="shared" si="52"/>
        <v>0</v>
      </c>
      <c r="J169" s="61">
        <f t="shared" si="52"/>
        <v>0</v>
      </c>
      <c r="K169" s="61">
        <f t="shared" si="52"/>
        <v>0</v>
      </c>
      <c r="L169" s="61">
        <f t="shared" si="52"/>
        <v>0</v>
      </c>
      <c r="M169" s="61">
        <f t="shared" si="52"/>
        <v>0</v>
      </c>
      <c r="N169" s="61">
        <f t="shared" si="52"/>
        <v>0</v>
      </c>
      <c r="O169" s="61">
        <f t="shared" si="52"/>
        <v>0</v>
      </c>
      <c r="P169" s="61">
        <f t="shared" si="52"/>
        <v>0</v>
      </c>
      <c r="Q169" s="61">
        <f t="shared" si="52"/>
        <v>0</v>
      </c>
      <c r="R169" s="61">
        <f t="shared" si="52"/>
        <v>0</v>
      </c>
      <c r="S169" s="61">
        <f t="shared" si="52"/>
        <v>0</v>
      </c>
      <c r="T169" s="61">
        <f t="shared" si="52"/>
        <v>0</v>
      </c>
      <c r="U169" s="61">
        <f t="shared" si="52"/>
        <v>0</v>
      </c>
      <c r="V169" s="61">
        <f t="shared" si="52"/>
        <v>0</v>
      </c>
      <c r="W169" s="61">
        <f t="shared" si="52"/>
        <v>0</v>
      </c>
      <c r="X169" s="61">
        <f t="shared" si="52"/>
        <v>0</v>
      </c>
      <c r="Y169" s="61">
        <f t="shared" si="52"/>
        <v>0</v>
      </c>
    </row>
    <row r="170" spans="1:28" x14ac:dyDescent="0.25">
      <c r="A170" s="127" t="str">
        <f>A$23</f>
        <v>lot9</v>
      </c>
      <c r="B170" s="61">
        <f t="shared" ref="B170:Y170" si="53">IF(B84=1,B157,0)</f>
        <v>0</v>
      </c>
      <c r="C170" s="61">
        <f t="shared" si="53"/>
        <v>0</v>
      </c>
      <c r="D170" s="61">
        <f t="shared" si="53"/>
        <v>0</v>
      </c>
      <c r="E170" s="61">
        <f t="shared" si="53"/>
        <v>0</v>
      </c>
      <c r="F170" s="61">
        <f t="shared" si="53"/>
        <v>0</v>
      </c>
      <c r="G170" s="61">
        <f t="shared" si="53"/>
        <v>0</v>
      </c>
      <c r="H170" s="61">
        <f t="shared" si="53"/>
        <v>0</v>
      </c>
      <c r="I170" s="61">
        <f t="shared" si="53"/>
        <v>0</v>
      </c>
      <c r="J170" s="61">
        <f t="shared" si="53"/>
        <v>0</v>
      </c>
      <c r="K170" s="61">
        <f t="shared" si="53"/>
        <v>0</v>
      </c>
      <c r="L170" s="61">
        <f t="shared" si="53"/>
        <v>0</v>
      </c>
      <c r="M170" s="61">
        <f t="shared" si="53"/>
        <v>0</v>
      </c>
      <c r="N170" s="61">
        <f t="shared" si="53"/>
        <v>0</v>
      </c>
      <c r="O170" s="61">
        <f t="shared" si="53"/>
        <v>0</v>
      </c>
      <c r="P170" s="61">
        <f t="shared" si="53"/>
        <v>0</v>
      </c>
      <c r="Q170" s="61">
        <f t="shared" si="53"/>
        <v>0</v>
      </c>
      <c r="R170" s="61">
        <f t="shared" si="53"/>
        <v>0</v>
      </c>
      <c r="S170" s="61">
        <f t="shared" si="53"/>
        <v>0</v>
      </c>
      <c r="T170" s="61">
        <f t="shared" si="53"/>
        <v>0</v>
      </c>
      <c r="U170" s="61">
        <f t="shared" si="53"/>
        <v>0</v>
      </c>
      <c r="V170" s="61">
        <f t="shared" si="53"/>
        <v>0</v>
      </c>
      <c r="W170" s="61">
        <f t="shared" si="53"/>
        <v>0</v>
      </c>
      <c r="X170" s="61">
        <f t="shared" si="53"/>
        <v>0</v>
      </c>
      <c r="Y170" s="61">
        <f t="shared" si="53"/>
        <v>0</v>
      </c>
    </row>
    <row r="171" spans="1:28" x14ac:dyDescent="0.25">
      <c r="A171" s="128" t="str">
        <f>A$24</f>
        <v>lot10</v>
      </c>
      <c r="B171" s="61">
        <f t="shared" ref="B171:Y171" si="54">IF(B85=1,B158,0)</f>
        <v>0</v>
      </c>
      <c r="C171" s="61">
        <f t="shared" si="54"/>
        <v>0</v>
      </c>
      <c r="D171" s="61">
        <f t="shared" si="54"/>
        <v>0</v>
      </c>
      <c r="E171" s="61">
        <f t="shared" si="54"/>
        <v>0</v>
      </c>
      <c r="F171" s="61">
        <f t="shared" si="54"/>
        <v>0</v>
      </c>
      <c r="G171" s="61">
        <f t="shared" si="54"/>
        <v>0</v>
      </c>
      <c r="H171" s="61">
        <f t="shared" si="54"/>
        <v>0</v>
      </c>
      <c r="I171" s="61">
        <f t="shared" si="54"/>
        <v>0</v>
      </c>
      <c r="J171" s="61">
        <f t="shared" si="54"/>
        <v>0</v>
      </c>
      <c r="K171" s="61">
        <f t="shared" si="54"/>
        <v>0</v>
      </c>
      <c r="L171" s="61">
        <f t="shared" si="54"/>
        <v>0</v>
      </c>
      <c r="M171" s="61">
        <f t="shared" si="54"/>
        <v>0</v>
      </c>
      <c r="N171" s="61">
        <f t="shared" si="54"/>
        <v>0</v>
      </c>
      <c r="O171" s="61">
        <f t="shared" si="54"/>
        <v>0</v>
      </c>
      <c r="P171" s="61">
        <f t="shared" si="54"/>
        <v>0</v>
      </c>
      <c r="Q171" s="61">
        <f t="shared" si="54"/>
        <v>0</v>
      </c>
      <c r="R171" s="61">
        <f t="shared" si="54"/>
        <v>0</v>
      </c>
      <c r="S171" s="61">
        <f t="shared" si="54"/>
        <v>0</v>
      </c>
      <c r="T171" s="61">
        <f t="shared" si="54"/>
        <v>0</v>
      </c>
      <c r="U171" s="61">
        <f t="shared" si="54"/>
        <v>0</v>
      </c>
      <c r="V171" s="61">
        <f t="shared" si="54"/>
        <v>0</v>
      </c>
      <c r="W171" s="61">
        <f t="shared" si="54"/>
        <v>0</v>
      </c>
      <c r="X171" s="61">
        <f t="shared" si="54"/>
        <v>0</v>
      </c>
      <c r="Y171" s="61">
        <f t="shared" si="54"/>
        <v>0</v>
      </c>
    </row>
    <row r="172" spans="1:28" x14ac:dyDescent="0.25">
      <c r="A172" s="38" t="s">
        <v>211</v>
      </c>
      <c r="B172" s="61">
        <f>SUM(B162:B171)</f>
        <v>0</v>
      </c>
      <c r="C172" s="61">
        <f t="shared" ref="C172:Y172" si="55">SUM(C162:C171)</f>
        <v>0</v>
      </c>
      <c r="D172" s="61">
        <f t="shared" si="55"/>
        <v>0</v>
      </c>
      <c r="E172" s="61">
        <f t="shared" si="55"/>
        <v>0</v>
      </c>
      <c r="F172" s="61">
        <f t="shared" si="55"/>
        <v>0</v>
      </c>
      <c r="G172" s="61">
        <f t="shared" si="55"/>
        <v>0</v>
      </c>
      <c r="H172" s="61">
        <f t="shared" si="55"/>
        <v>0</v>
      </c>
      <c r="I172" s="61">
        <f t="shared" si="55"/>
        <v>0</v>
      </c>
      <c r="J172" s="61">
        <f t="shared" si="55"/>
        <v>0</v>
      </c>
      <c r="K172" s="61">
        <f t="shared" si="55"/>
        <v>0</v>
      </c>
      <c r="L172" s="61">
        <f t="shared" si="55"/>
        <v>0</v>
      </c>
      <c r="M172" s="61">
        <f t="shared" si="55"/>
        <v>0</v>
      </c>
      <c r="N172" s="61">
        <f t="shared" si="55"/>
        <v>0</v>
      </c>
      <c r="O172" s="61">
        <f t="shared" si="55"/>
        <v>0</v>
      </c>
      <c r="P172" s="61">
        <f t="shared" si="55"/>
        <v>0</v>
      </c>
      <c r="Q172" s="61">
        <f t="shared" si="55"/>
        <v>0</v>
      </c>
      <c r="R172" s="61">
        <f t="shared" si="55"/>
        <v>0</v>
      </c>
      <c r="S172" s="61">
        <f t="shared" si="55"/>
        <v>0</v>
      </c>
      <c r="T172" s="61">
        <f t="shared" si="55"/>
        <v>0</v>
      </c>
      <c r="U172" s="61">
        <f t="shared" si="55"/>
        <v>0</v>
      </c>
      <c r="V172" s="61">
        <f t="shared" si="55"/>
        <v>0</v>
      </c>
      <c r="W172" s="61">
        <f t="shared" si="55"/>
        <v>0</v>
      </c>
      <c r="X172" s="61">
        <f t="shared" si="55"/>
        <v>0</v>
      </c>
      <c r="Y172" s="61">
        <f t="shared" si="55"/>
        <v>0</v>
      </c>
      <c r="AA172" s="64">
        <f>SUM(B172:Y172)</f>
        <v>0</v>
      </c>
      <c r="AB172" t="s">
        <v>212</v>
      </c>
    </row>
    <row r="174" spans="1:28" x14ac:dyDescent="0.25">
      <c r="A174" s="2" t="s">
        <v>213</v>
      </c>
      <c r="F174" s="2"/>
    </row>
    <row r="175" spans="1:28" x14ac:dyDescent="0.25">
      <c r="A175" s="128" t="str">
        <f>A$15</f>
        <v>lot1</v>
      </c>
      <c r="B175" s="61">
        <f t="shared" ref="B175:Y175" si="56">IF(B76=2,B149,0)</f>
        <v>0</v>
      </c>
      <c r="C175" s="61">
        <f t="shared" si="56"/>
        <v>0</v>
      </c>
      <c r="D175" s="61">
        <f t="shared" si="56"/>
        <v>0</v>
      </c>
      <c r="E175" s="61">
        <f t="shared" si="56"/>
        <v>0</v>
      </c>
      <c r="F175" s="61">
        <f t="shared" si="56"/>
        <v>0</v>
      </c>
      <c r="G175" s="61">
        <f t="shared" si="56"/>
        <v>0</v>
      </c>
      <c r="H175" s="61">
        <f t="shared" si="56"/>
        <v>0</v>
      </c>
      <c r="I175" s="61">
        <f t="shared" si="56"/>
        <v>0</v>
      </c>
      <c r="J175" s="61">
        <f t="shared" si="56"/>
        <v>0</v>
      </c>
      <c r="K175" s="61">
        <f t="shared" si="56"/>
        <v>0</v>
      </c>
      <c r="L175" s="61">
        <f t="shared" si="56"/>
        <v>0</v>
      </c>
      <c r="M175" s="61">
        <f t="shared" si="56"/>
        <v>0</v>
      </c>
      <c r="N175" s="61">
        <f t="shared" si="56"/>
        <v>0</v>
      </c>
      <c r="O175" s="61">
        <f t="shared" si="56"/>
        <v>0</v>
      </c>
      <c r="P175" s="61">
        <f t="shared" si="56"/>
        <v>0</v>
      </c>
      <c r="Q175" s="61">
        <f t="shared" si="56"/>
        <v>0</v>
      </c>
      <c r="R175" s="61">
        <f t="shared" si="56"/>
        <v>0</v>
      </c>
      <c r="S175" s="61">
        <f t="shared" si="56"/>
        <v>0</v>
      </c>
      <c r="T175" s="61">
        <f t="shared" si="56"/>
        <v>0</v>
      </c>
      <c r="U175" s="61">
        <f t="shared" si="56"/>
        <v>0</v>
      </c>
      <c r="V175" s="61">
        <f t="shared" si="56"/>
        <v>0</v>
      </c>
      <c r="W175" s="61">
        <f t="shared" si="56"/>
        <v>0</v>
      </c>
      <c r="X175" s="61">
        <f t="shared" si="56"/>
        <v>0</v>
      </c>
      <c r="Y175" s="61">
        <f t="shared" si="56"/>
        <v>0</v>
      </c>
    </row>
    <row r="176" spans="1:28" x14ac:dyDescent="0.25">
      <c r="A176" s="128" t="str">
        <f>A$16</f>
        <v>lot2</v>
      </c>
      <c r="B176" s="61">
        <f t="shared" ref="B176:Y176" si="57">IF(B77=2,B150,0)</f>
        <v>0</v>
      </c>
      <c r="C176" s="61">
        <f t="shared" si="57"/>
        <v>0</v>
      </c>
      <c r="D176" s="61">
        <f t="shared" si="57"/>
        <v>0</v>
      </c>
      <c r="E176" s="61">
        <f t="shared" si="57"/>
        <v>0</v>
      </c>
      <c r="F176" s="61">
        <f t="shared" si="57"/>
        <v>0</v>
      </c>
      <c r="G176" s="61">
        <f t="shared" si="57"/>
        <v>0</v>
      </c>
      <c r="H176" s="61">
        <f t="shared" si="57"/>
        <v>0</v>
      </c>
      <c r="I176" s="61">
        <f t="shared" si="57"/>
        <v>0</v>
      </c>
      <c r="J176" s="61">
        <f t="shared" si="57"/>
        <v>0</v>
      </c>
      <c r="K176" s="61">
        <f t="shared" si="57"/>
        <v>0</v>
      </c>
      <c r="L176" s="61">
        <f t="shared" si="57"/>
        <v>0</v>
      </c>
      <c r="M176" s="61">
        <f t="shared" si="57"/>
        <v>0</v>
      </c>
      <c r="N176" s="61">
        <f t="shared" si="57"/>
        <v>0</v>
      </c>
      <c r="O176" s="61">
        <f t="shared" si="57"/>
        <v>0</v>
      </c>
      <c r="P176" s="61">
        <f t="shared" si="57"/>
        <v>0</v>
      </c>
      <c r="Q176" s="61">
        <f t="shared" si="57"/>
        <v>0</v>
      </c>
      <c r="R176" s="61">
        <f t="shared" si="57"/>
        <v>0</v>
      </c>
      <c r="S176" s="61">
        <f t="shared" si="57"/>
        <v>0</v>
      </c>
      <c r="T176" s="61">
        <f t="shared" si="57"/>
        <v>0</v>
      </c>
      <c r="U176" s="61">
        <f t="shared" si="57"/>
        <v>0</v>
      </c>
      <c r="V176" s="61">
        <f t="shared" si="57"/>
        <v>0</v>
      </c>
      <c r="W176" s="61">
        <f t="shared" si="57"/>
        <v>0</v>
      </c>
      <c r="X176" s="61">
        <f t="shared" si="57"/>
        <v>0</v>
      </c>
      <c r="Y176" s="61">
        <f t="shared" si="57"/>
        <v>0</v>
      </c>
    </row>
    <row r="177" spans="1:28" x14ac:dyDescent="0.25">
      <c r="A177" s="127" t="str">
        <f>A$17</f>
        <v>lot3</v>
      </c>
      <c r="B177" s="61">
        <f t="shared" ref="B177:Y177" si="58">IF(B78=2,B151,0)</f>
        <v>0</v>
      </c>
      <c r="C177" s="61">
        <f t="shared" si="58"/>
        <v>0</v>
      </c>
      <c r="D177" s="61">
        <f t="shared" si="58"/>
        <v>0</v>
      </c>
      <c r="E177" s="61">
        <f t="shared" si="58"/>
        <v>0</v>
      </c>
      <c r="F177" s="61">
        <f t="shared" si="58"/>
        <v>0</v>
      </c>
      <c r="G177" s="61">
        <f t="shared" si="58"/>
        <v>0</v>
      </c>
      <c r="H177" s="61">
        <f t="shared" si="58"/>
        <v>0</v>
      </c>
      <c r="I177" s="61">
        <f t="shared" si="58"/>
        <v>0</v>
      </c>
      <c r="J177" s="61">
        <f t="shared" si="58"/>
        <v>0</v>
      </c>
      <c r="K177" s="61">
        <f t="shared" si="58"/>
        <v>0</v>
      </c>
      <c r="L177" s="61">
        <f t="shared" si="58"/>
        <v>0</v>
      </c>
      <c r="M177" s="61">
        <f t="shared" si="58"/>
        <v>0</v>
      </c>
      <c r="N177" s="61">
        <f t="shared" si="58"/>
        <v>0</v>
      </c>
      <c r="O177" s="61">
        <f t="shared" si="58"/>
        <v>0</v>
      </c>
      <c r="P177" s="61">
        <f t="shared" si="58"/>
        <v>0</v>
      </c>
      <c r="Q177" s="61">
        <f t="shared" si="58"/>
        <v>0</v>
      </c>
      <c r="R177" s="61">
        <f t="shared" si="58"/>
        <v>0</v>
      </c>
      <c r="S177" s="61">
        <f t="shared" si="58"/>
        <v>0</v>
      </c>
      <c r="T177" s="61">
        <f t="shared" si="58"/>
        <v>0</v>
      </c>
      <c r="U177" s="61">
        <f t="shared" si="58"/>
        <v>0</v>
      </c>
      <c r="V177" s="61">
        <f t="shared" si="58"/>
        <v>0</v>
      </c>
      <c r="W177" s="61">
        <f t="shared" si="58"/>
        <v>0</v>
      </c>
      <c r="X177" s="61">
        <f t="shared" si="58"/>
        <v>0</v>
      </c>
      <c r="Y177" s="61">
        <f t="shared" si="58"/>
        <v>0</v>
      </c>
    </row>
    <row r="178" spans="1:28" x14ac:dyDescent="0.25">
      <c r="A178" s="128" t="str">
        <f>A$18</f>
        <v>lot4</v>
      </c>
      <c r="B178" s="61">
        <f t="shared" ref="B178:Y178" si="59">IF(B79=2,B152,0)</f>
        <v>0</v>
      </c>
      <c r="C178" s="61">
        <f t="shared" si="59"/>
        <v>0</v>
      </c>
      <c r="D178" s="61">
        <f t="shared" si="59"/>
        <v>0</v>
      </c>
      <c r="E178" s="61">
        <f t="shared" si="59"/>
        <v>0</v>
      </c>
      <c r="F178" s="61">
        <f t="shared" si="59"/>
        <v>0</v>
      </c>
      <c r="G178" s="61">
        <f t="shared" si="59"/>
        <v>0</v>
      </c>
      <c r="H178" s="61">
        <f t="shared" si="59"/>
        <v>0</v>
      </c>
      <c r="I178" s="61">
        <f t="shared" si="59"/>
        <v>0</v>
      </c>
      <c r="J178" s="61">
        <f t="shared" si="59"/>
        <v>0</v>
      </c>
      <c r="K178" s="61">
        <f t="shared" si="59"/>
        <v>0</v>
      </c>
      <c r="L178" s="61">
        <f t="shared" si="59"/>
        <v>0</v>
      </c>
      <c r="M178" s="61">
        <f t="shared" si="59"/>
        <v>0</v>
      </c>
      <c r="N178" s="61">
        <f t="shared" si="59"/>
        <v>0</v>
      </c>
      <c r="O178" s="61">
        <f t="shared" si="59"/>
        <v>0</v>
      </c>
      <c r="P178" s="61">
        <f t="shared" si="59"/>
        <v>0</v>
      </c>
      <c r="Q178" s="61">
        <f t="shared" si="59"/>
        <v>0</v>
      </c>
      <c r="R178" s="61">
        <f t="shared" si="59"/>
        <v>0</v>
      </c>
      <c r="S178" s="61">
        <f t="shared" si="59"/>
        <v>0</v>
      </c>
      <c r="T178" s="61">
        <f t="shared" si="59"/>
        <v>0</v>
      </c>
      <c r="U178" s="61">
        <f t="shared" si="59"/>
        <v>0</v>
      </c>
      <c r="V178" s="61">
        <f t="shared" si="59"/>
        <v>0</v>
      </c>
      <c r="W178" s="61">
        <f t="shared" si="59"/>
        <v>0</v>
      </c>
      <c r="X178" s="61">
        <f t="shared" si="59"/>
        <v>0</v>
      </c>
      <c r="Y178" s="61">
        <f t="shared" si="59"/>
        <v>0</v>
      </c>
    </row>
    <row r="179" spans="1:28" x14ac:dyDescent="0.25">
      <c r="A179" s="128" t="str">
        <f>A$19</f>
        <v>lot5</v>
      </c>
      <c r="B179" s="61">
        <f t="shared" ref="B179:Y179" si="60">IF(B80=2,B153,0)</f>
        <v>0</v>
      </c>
      <c r="C179" s="61">
        <f t="shared" si="60"/>
        <v>0</v>
      </c>
      <c r="D179" s="61">
        <f t="shared" si="60"/>
        <v>0</v>
      </c>
      <c r="E179" s="61">
        <f t="shared" si="60"/>
        <v>0</v>
      </c>
      <c r="F179" s="61">
        <f t="shared" si="60"/>
        <v>0</v>
      </c>
      <c r="G179" s="61">
        <f t="shared" si="60"/>
        <v>0</v>
      </c>
      <c r="H179" s="61">
        <f t="shared" si="60"/>
        <v>0</v>
      </c>
      <c r="I179" s="61">
        <f t="shared" si="60"/>
        <v>0</v>
      </c>
      <c r="J179" s="61">
        <f t="shared" si="60"/>
        <v>0</v>
      </c>
      <c r="K179" s="61">
        <f t="shared" si="60"/>
        <v>0</v>
      </c>
      <c r="L179" s="61">
        <f t="shared" si="60"/>
        <v>0</v>
      </c>
      <c r="M179" s="61">
        <f t="shared" si="60"/>
        <v>0</v>
      </c>
      <c r="N179" s="61">
        <f t="shared" si="60"/>
        <v>0</v>
      </c>
      <c r="O179" s="61">
        <f t="shared" si="60"/>
        <v>0</v>
      </c>
      <c r="P179" s="61">
        <f t="shared" si="60"/>
        <v>0</v>
      </c>
      <c r="Q179" s="61">
        <f t="shared" si="60"/>
        <v>0</v>
      </c>
      <c r="R179" s="61">
        <f t="shared" si="60"/>
        <v>0</v>
      </c>
      <c r="S179" s="61">
        <f t="shared" si="60"/>
        <v>0</v>
      </c>
      <c r="T179" s="61">
        <f t="shared" si="60"/>
        <v>0</v>
      </c>
      <c r="U179" s="61">
        <f t="shared" si="60"/>
        <v>0</v>
      </c>
      <c r="V179" s="61">
        <f t="shared" si="60"/>
        <v>0</v>
      </c>
      <c r="W179" s="61">
        <f t="shared" si="60"/>
        <v>0</v>
      </c>
      <c r="X179" s="61">
        <f t="shared" si="60"/>
        <v>0</v>
      </c>
      <c r="Y179" s="61">
        <f t="shared" si="60"/>
        <v>0</v>
      </c>
    </row>
    <row r="180" spans="1:28" x14ac:dyDescent="0.25">
      <c r="A180" s="128" t="str">
        <f>A$20</f>
        <v>lot6</v>
      </c>
      <c r="B180" s="61">
        <f t="shared" ref="B180:Y180" si="61">IF(B81=2,B154,0)</f>
        <v>0</v>
      </c>
      <c r="C180" s="61">
        <f t="shared" si="61"/>
        <v>0</v>
      </c>
      <c r="D180" s="61">
        <f t="shared" si="61"/>
        <v>0</v>
      </c>
      <c r="E180" s="61">
        <f t="shared" si="61"/>
        <v>0</v>
      </c>
      <c r="F180" s="61">
        <f t="shared" si="61"/>
        <v>0</v>
      </c>
      <c r="G180" s="61">
        <f t="shared" si="61"/>
        <v>0</v>
      </c>
      <c r="H180" s="61">
        <f t="shared" si="61"/>
        <v>0</v>
      </c>
      <c r="I180" s="61">
        <f t="shared" si="61"/>
        <v>0</v>
      </c>
      <c r="J180" s="61">
        <f t="shared" si="61"/>
        <v>0</v>
      </c>
      <c r="K180" s="61">
        <f t="shared" si="61"/>
        <v>0</v>
      </c>
      <c r="L180" s="61">
        <f t="shared" si="61"/>
        <v>0</v>
      </c>
      <c r="M180" s="61">
        <f t="shared" si="61"/>
        <v>0</v>
      </c>
      <c r="N180" s="61">
        <f t="shared" si="61"/>
        <v>0</v>
      </c>
      <c r="O180" s="61">
        <f t="shared" si="61"/>
        <v>0</v>
      </c>
      <c r="P180" s="61">
        <f t="shared" si="61"/>
        <v>0</v>
      </c>
      <c r="Q180" s="61">
        <f t="shared" si="61"/>
        <v>0</v>
      </c>
      <c r="R180" s="61">
        <f t="shared" si="61"/>
        <v>0</v>
      </c>
      <c r="S180" s="61">
        <f t="shared" si="61"/>
        <v>0</v>
      </c>
      <c r="T180" s="61">
        <f t="shared" si="61"/>
        <v>0</v>
      </c>
      <c r="U180" s="61">
        <f t="shared" si="61"/>
        <v>0</v>
      </c>
      <c r="V180" s="61">
        <f t="shared" si="61"/>
        <v>0</v>
      </c>
      <c r="W180" s="61">
        <f t="shared" si="61"/>
        <v>0</v>
      </c>
      <c r="X180" s="61">
        <f t="shared" si="61"/>
        <v>0</v>
      </c>
      <c r="Y180" s="61">
        <f t="shared" si="61"/>
        <v>0</v>
      </c>
    </row>
    <row r="181" spans="1:28" x14ac:dyDescent="0.25">
      <c r="A181" s="127" t="str">
        <f>A$21</f>
        <v>lot7</v>
      </c>
      <c r="B181" s="61">
        <f t="shared" ref="B181:Y181" si="62">IF(B82=2,B155,0)</f>
        <v>0</v>
      </c>
      <c r="C181" s="61">
        <f t="shared" si="62"/>
        <v>0</v>
      </c>
      <c r="D181" s="61">
        <f t="shared" si="62"/>
        <v>0</v>
      </c>
      <c r="E181" s="61">
        <f t="shared" si="62"/>
        <v>0</v>
      </c>
      <c r="F181" s="61">
        <f t="shared" si="62"/>
        <v>0</v>
      </c>
      <c r="G181" s="61">
        <f t="shared" si="62"/>
        <v>0</v>
      </c>
      <c r="H181" s="61">
        <f t="shared" si="62"/>
        <v>0</v>
      </c>
      <c r="I181" s="61">
        <f t="shared" si="62"/>
        <v>0</v>
      </c>
      <c r="J181" s="61">
        <f t="shared" si="62"/>
        <v>0</v>
      </c>
      <c r="K181" s="61">
        <f t="shared" si="62"/>
        <v>0</v>
      </c>
      <c r="L181" s="61">
        <f t="shared" si="62"/>
        <v>0</v>
      </c>
      <c r="M181" s="61">
        <f t="shared" si="62"/>
        <v>0</v>
      </c>
      <c r="N181" s="61">
        <f t="shared" si="62"/>
        <v>0</v>
      </c>
      <c r="O181" s="61">
        <f t="shared" si="62"/>
        <v>0</v>
      </c>
      <c r="P181" s="61">
        <f t="shared" si="62"/>
        <v>0</v>
      </c>
      <c r="Q181" s="61">
        <f t="shared" si="62"/>
        <v>0</v>
      </c>
      <c r="R181" s="61">
        <f t="shared" si="62"/>
        <v>0</v>
      </c>
      <c r="S181" s="61">
        <f t="shared" si="62"/>
        <v>0</v>
      </c>
      <c r="T181" s="61">
        <f t="shared" si="62"/>
        <v>0</v>
      </c>
      <c r="U181" s="61">
        <f t="shared" si="62"/>
        <v>0</v>
      </c>
      <c r="V181" s="61">
        <f t="shared" si="62"/>
        <v>0</v>
      </c>
      <c r="W181" s="61">
        <f t="shared" si="62"/>
        <v>0</v>
      </c>
      <c r="X181" s="61">
        <f t="shared" si="62"/>
        <v>0</v>
      </c>
      <c r="Y181" s="61">
        <f t="shared" si="62"/>
        <v>0</v>
      </c>
    </row>
    <row r="182" spans="1:28" x14ac:dyDescent="0.25">
      <c r="A182" s="128" t="str">
        <f>A$22</f>
        <v>lot8</v>
      </c>
      <c r="B182" s="61">
        <f t="shared" ref="B182:Y182" si="63">IF(B83=2,B156,0)</f>
        <v>0</v>
      </c>
      <c r="C182" s="61">
        <f t="shared" si="63"/>
        <v>0</v>
      </c>
      <c r="D182" s="61">
        <f t="shared" si="63"/>
        <v>0</v>
      </c>
      <c r="E182" s="61">
        <f t="shared" si="63"/>
        <v>0</v>
      </c>
      <c r="F182" s="61">
        <f t="shared" si="63"/>
        <v>0</v>
      </c>
      <c r="G182" s="61">
        <f t="shared" si="63"/>
        <v>0</v>
      </c>
      <c r="H182" s="61">
        <f t="shared" si="63"/>
        <v>0</v>
      </c>
      <c r="I182" s="61">
        <f t="shared" si="63"/>
        <v>0</v>
      </c>
      <c r="J182" s="61">
        <f t="shared" si="63"/>
        <v>0</v>
      </c>
      <c r="K182" s="61">
        <f t="shared" si="63"/>
        <v>0</v>
      </c>
      <c r="L182" s="61">
        <f t="shared" si="63"/>
        <v>0</v>
      </c>
      <c r="M182" s="61">
        <f t="shared" si="63"/>
        <v>0</v>
      </c>
      <c r="N182" s="61">
        <f t="shared" si="63"/>
        <v>0</v>
      </c>
      <c r="O182" s="61">
        <f t="shared" si="63"/>
        <v>0</v>
      </c>
      <c r="P182" s="61">
        <f t="shared" si="63"/>
        <v>0</v>
      </c>
      <c r="Q182" s="61">
        <f t="shared" si="63"/>
        <v>0</v>
      </c>
      <c r="R182" s="61">
        <f t="shared" si="63"/>
        <v>0</v>
      </c>
      <c r="S182" s="61">
        <f t="shared" si="63"/>
        <v>0</v>
      </c>
      <c r="T182" s="61">
        <f t="shared" si="63"/>
        <v>0</v>
      </c>
      <c r="U182" s="61">
        <f t="shared" si="63"/>
        <v>0</v>
      </c>
      <c r="V182" s="61">
        <f t="shared" si="63"/>
        <v>0</v>
      </c>
      <c r="W182" s="61">
        <f t="shared" si="63"/>
        <v>0</v>
      </c>
      <c r="X182" s="61">
        <f t="shared" si="63"/>
        <v>0</v>
      </c>
      <c r="Y182" s="61">
        <f t="shared" si="63"/>
        <v>0</v>
      </c>
    </row>
    <row r="183" spans="1:28" x14ac:dyDescent="0.25">
      <c r="A183" s="128" t="str">
        <f>A$23</f>
        <v>lot9</v>
      </c>
      <c r="B183" s="61">
        <f t="shared" ref="B183:Y183" si="64">IF(B84=2,B157,0)</f>
        <v>0</v>
      </c>
      <c r="C183" s="61">
        <f t="shared" si="64"/>
        <v>0</v>
      </c>
      <c r="D183" s="61">
        <f t="shared" si="64"/>
        <v>0</v>
      </c>
      <c r="E183" s="61">
        <f t="shared" si="64"/>
        <v>0</v>
      </c>
      <c r="F183" s="61">
        <f t="shared" si="64"/>
        <v>0</v>
      </c>
      <c r="G183" s="61">
        <f t="shared" si="64"/>
        <v>0</v>
      </c>
      <c r="H183" s="61">
        <f t="shared" si="64"/>
        <v>0</v>
      </c>
      <c r="I183" s="61">
        <f t="shared" si="64"/>
        <v>0</v>
      </c>
      <c r="J183" s="61">
        <f t="shared" si="64"/>
        <v>0</v>
      </c>
      <c r="K183" s="61">
        <f t="shared" si="64"/>
        <v>0</v>
      </c>
      <c r="L183" s="61">
        <f t="shared" si="64"/>
        <v>0</v>
      </c>
      <c r="M183" s="61">
        <f t="shared" si="64"/>
        <v>0</v>
      </c>
      <c r="N183" s="61">
        <f t="shared" si="64"/>
        <v>0</v>
      </c>
      <c r="O183" s="61">
        <f t="shared" si="64"/>
        <v>0</v>
      </c>
      <c r="P183" s="61">
        <f t="shared" si="64"/>
        <v>0</v>
      </c>
      <c r="Q183" s="61">
        <f t="shared" si="64"/>
        <v>0</v>
      </c>
      <c r="R183" s="61">
        <f t="shared" si="64"/>
        <v>0</v>
      </c>
      <c r="S183" s="61">
        <f t="shared" si="64"/>
        <v>0</v>
      </c>
      <c r="T183" s="61">
        <f t="shared" si="64"/>
        <v>0</v>
      </c>
      <c r="U183" s="61">
        <f t="shared" si="64"/>
        <v>0</v>
      </c>
      <c r="V183" s="61">
        <f t="shared" si="64"/>
        <v>0</v>
      </c>
      <c r="W183" s="61">
        <f t="shared" si="64"/>
        <v>0</v>
      </c>
      <c r="X183" s="61">
        <f t="shared" si="64"/>
        <v>0</v>
      </c>
      <c r="Y183" s="61">
        <f t="shared" si="64"/>
        <v>0</v>
      </c>
    </row>
    <row r="184" spans="1:28" x14ac:dyDescent="0.25">
      <c r="A184" s="128" t="str">
        <f>A$24</f>
        <v>lot10</v>
      </c>
      <c r="B184" s="61">
        <f t="shared" ref="B184:Y184" si="65">IF(B85=2,B158,0)</f>
        <v>0</v>
      </c>
      <c r="C184" s="61">
        <f t="shared" si="65"/>
        <v>0</v>
      </c>
      <c r="D184" s="61">
        <f t="shared" si="65"/>
        <v>0</v>
      </c>
      <c r="E184" s="61">
        <f t="shared" si="65"/>
        <v>0</v>
      </c>
      <c r="F184" s="61">
        <f t="shared" si="65"/>
        <v>0</v>
      </c>
      <c r="G184" s="61">
        <f t="shared" si="65"/>
        <v>0</v>
      </c>
      <c r="H184" s="61">
        <f t="shared" si="65"/>
        <v>0</v>
      </c>
      <c r="I184" s="61">
        <f t="shared" si="65"/>
        <v>0</v>
      </c>
      <c r="J184" s="61">
        <f t="shared" si="65"/>
        <v>0</v>
      </c>
      <c r="K184" s="61">
        <f t="shared" si="65"/>
        <v>0</v>
      </c>
      <c r="L184" s="61">
        <f t="shared" si="65"/>
        <v>0</v>
      </c>
      <c r="M184" s="61">
        <f t="shared" si="65"/>
        <v>0</v>
      </c>
      <c r="N184" s="61">
        <f t="shared" si="65"/>
        <v>0</v>
      </c>
      <c r="O184" s="61">
        <f t="shared" si="65"/>
        <v>0</v>
      </c>
      <c r="P184" s="61">
        <f t="shared" si="65"/>
        <v>0</v>
      </c>
      <c r="Q184" s="61">
        <f t="shared" si="65"/>
        <v>0</v>
      </c>
      <c r="R184" s="61">
        <f t="shared" si="65"/>
        <v>0</v>
      </c>
      <c r="S184" s="61">
        <f t="shared" si="65"/>
        <v>0</v>
      </c>
      <c r="T184" s="61">
        <f t="shared" si="65"/>
        <v>0</v>
      </c>
      <c r="U184" s="61">
        <f t="shared" si="65"/>
        <v>0</v>
      </c>
      <c r="V184" s="61">
        <f t="shared" si="65"/>
        <v>0</v>
      </c>
      <c r="W184" s="61">
        <f t="shared" si="65"/>
        <v>0</v>
      </c>
      <c r="X184" s="61">
        <f t="shared" si="65"/>
        <v>0</v>
      </c>
      <c r="Y184" s="61">
        <f t="shared" si="65"/>
        <v>0</v>
      </c>
    </row>
    <row r="185" spans="1:28" x14ac:dyDescent="0.25">
      <c r="A185" s="38" t="s">
        <v>317</v>
      </c>
      <c r="B185" s="61">
        <f>SUM(CdTrp3!B175:B184)</f>
        <v>0</v>
      </c>
      <c r="C185" s="61">
        <f>SUM(CdTrp3!C175:C184)</f>
        <v>0</v>
      </c>
      <c r="D185" s="61">
        <f>SUM(CdTrp3!D175:D184)</f>
        <v>0</v>
      </c>
      <c r="E185" s="61">
        <f>SUM(CdTrp3!E175:E184)</f>
        <v>0</v>
      </c>
      <c r="F185" s="61">
        <f>SUM(CdTrp3!F175:F184)</f>
        <v>0</v>
      </c>
      <c r="G185" s="61">
        <f>SUM(CdTrp3!G175:G184)</f>
        <v>0</v>
      </c>
      <c r="H185" s="61">
        <f>SUM(CdTrp3!H175:H184)</f>
        <v>0</v>
      </c>
      <c r="I185" s="61">
        <f>SUM(CdTrp3!I175:I184)</f>
        <v>0</v>
      </c>
      <c r="J185" s="61">
        <f>SUM(CdTrp3!J175:J184)</f>
        <v>0</v>
      </c>
      <c r="K185" s="61">
        <f>SUM(CdTrp3!K175:K184)</f>
        <v>0</v>
      </c>
      <c r="L185" s="61">
        <f>SUM(CdTrp3!L175:L184)</f>
        <v>0</v>
      </c>
      <c r="M185" s="61">
        <f>SUM(CdTrp3!M175:M184)</f>
        <v>0</v>
      </c>
      <c r="N185" s="61">
        <f>SUM(CdTrp3!N175:N184)</f>
        <v>0</v>
      </c>
      <c r="O185" s="61">
        <f>SUM(CdTrp3!O175:O184)</f>
        <v>0</v>
      </c>
      <c r="P185" s="61">
        <f>SUM(CdTrp3!P175:P184)</f>
        <v>0</v>
      </c>
      <c r="Q185" s="61">
        <f>SUM(CdTrp3!Q175:Q184)</f>
        <v>0</v>
      </c>
      <c r="R185" s="61">
        <f>SUM(CdTrp3!R175:R184)</f>
        <v>0</v>
      </c>
      <c r="S185" s="61">
        <f>SUM(CdTrp3!S175:S184)</f>
        <v>0</v>
      </c>
      <c r="T185" s="61">
        <f>SUM(CdTrp3!T175:T184)</f>
        <v>0</v>
      </c>
      <c r="U185" s="61">
        <f>SUM(CdTrp3!U175:U184)</f>
        <v>0</v>
      </c>
      <c r="V185" s="61">
        <f>SUM(CdTrp3!V175:V184)</f>
        <v>0</v>
      </c>
      <c r="W185" s="61">
        <f>SUM(CdTrp3!W175:W184)</f>
        <v>0</v>
      </c>
      <c r="X185" s="61">
        <f>SUM(CdTrp3!X175:X184)</f>
        <v>0</v>
      </c>
      <c r="Y185" s="61">
        <f>SUM(CdTrp3!Y175:Y184)</f>
        <v>0</v>
      </c>
      <c r="AA185" s="64">
        <f>SUM(B185:Y185)</f>
        <v>0</v>
      </c>
      <c r="AB185" t="s">
        <v>214</v>
      </c>
    </row>
    <row r="187" spans="1:28" x14ac:dyDescent="0.25">
      <c r="A187" s="2" t="s">
        <v>215</v>
      </c>
      <c r="F187" s="2"/>
    </row>
    <row r="188" spans="1:28" x14ac:dyDescent="0.25">
      <c r="A188" s="128" t="str">
        <f>A$15</f>
        <v>lot1</v>
      </c>
      <c r="B188" s="61">
        <f t="shared" ref="B188:Y188" si="66">IF(B76=3,B149,0)</f>
        <v>0</v>
      </c>
      <c r="C188" s="61">
        <f t="shared" si="66"/>
        <v>0</v>
      </c>
      <c r="D188" s="61">
        <f t="shared" si="66"/>
        <v>0</v>
      </c>
      <c r="E188" s="61">
        <f t="shared" si="66"/>
        <v>0</v>
      </c>
      <c r="F188" s="61">
        <f t="shared" si="66"/>
        <v>0</v>
      </c>
      <c r="G188" s="61">
        <f t="shared" si="66"/>
        <v>0</v>
      </c>
      <c r="H188" s="61">
        <f t="shared" si="66"/>
        <v>0</v>
      </c>
      <c r="I188" s="61">
        <f t="shared" si="66"/>
        <v>0</v>
      </c>
      <c r="J188" s="61">
        <f t="shared" si="66"/>
        <v>0</v>
      </c>
      <c r="K188" s="61">
        <f t="shared" si="66"/>
        <v>0</v>
      </c>
      <c r="L188" s="61">
        <f t="shared" si="66"/>
        <v>0</v>
      </c>
      <c r="M188" s="61">
        <f t="shared" si="66"/>
        <v>0</v>
      </c>
      <c r="N188" s="61">
        <f t="shared" si="66"/>
        <v>0</v>
      </c>
      <c r="O188" s="61">
        <f t="shared" si="66"/>
        <v>0</v>
      </c>
      <c r="P188" s="61">
        <f t="shared" si="66"/>
        <v>0</v>
      </c>
      <c r="Q188" s="61">
        <f t="shared" si="66"/>
        <v>0</v>
      </c>
      <c r="R188" s="61">
        <f t="shared" si="66"/>
        <v>0</v>
      </c>
      <c r="S188" s="61">
        <f t="shared" si="66"/>
        <v>0</v>
      </c>
      <c r="T188" s="61">
        <f t="shared" si="66"/>
        <v>0</v>
      </c>
      <c r="U188" s="61">
        <f t="shared" si="66"/>
        <v>0</v>
      </c>
      <c r="V188" s="61">
        <f t="shared" si="66"/>
        <v>0</v>
      </c>
      <c r="W188" s="61">
        <f t="shared" si="66"/>
        <v>0</v>
      </c>
      <c r="X188" s="61">
        <f t="shared" si="66"/>
        <v>0</v>
      </c>
      <c r="Y188" s="61">
        <f t="shared" si="66"/>
        <v>0</v>
      </c>
    </row>
    <row r="189" spans="1:28" x14ac:dyDescent="0.25">
      <c r="A189" s="128" t="str">
        <f>A$16</f>
        <v>lot2</v>
      </c>
      <c r="B189" s="61">
        <f t="shared" ref="B189:Y189" si="67">IF(B77=3,B150,0)</f>
        <v>0</v>
      </c>
      <c r="C189" s="61">
        <f t="shared" si="67"/>
        <v>0</v>
      </c>
      <c r="D189" s="61">
        <f t="shared" si="67"/>
        <v>0</v>
      </c>
      <c r="E189" s="61">
        <f t="shared" si="67"/>
        <v>0</v>
      </c>
      <c r="F189" s="61">
        <f t="shared" si="67"/>
        <v>0</v>
      </c>
      <c r="G189" s="61">
        <f t="shared" si="67"/>
        <v>0</v>
      </c>
      <c r="H189" s="61">
        <f t="shared" si="67"/>
        <v>0</v>
      </c>
      <c r="I189" s="61">
        <f t="shared" si="67"/>
        <v>0</v>
      </c>
      <c r="J189" s="61">
        <f t="shared" si="67"/>
        <v>0</v>
      </c>
      <c r="K189" s="61">
        <f t="shared" si="67"/>
        <v>0</v>
      </c>
      <c r="L189" s="61">
        <f t="shared" si="67"/>
        <v>0</v>
      </c>
      <c r="M189" s="61">
        <f t="shared" si="67"/>
        <v>0</v>
      </c>
      <c r="N189" s="61">
        <f t="shared" si="67"/>
        <v>0</v>
      </c>
      <c r="O189" s="61">
        <f t="shared" si="67"/>
        <v>0</v>
      </c>
      <c r="P189" s="61">
        <f t="shared" si="67"/>
        <v>0</v>
      </c>
      <c r="Q189" s="61">
        <f t="shared" si="67"/>
        <v>0</v>
      </c>
      <c r="R189" s="61">
        <f t="shared" si="67"/>
        <v>0</v>
      </c>
      <c r="S189" s="61">
        <f t="shared" si="67"/>
        <v>0</v>
      </c>
      <c r="T189" s="61">
        <f t="shared" si="67"/>
        <v>0</v>
      </c>
      <c r="U189" s="61">
        <f t="shared" si="67"/>
        <v>0</v>
      </c>
      <c r="V189" s="61">
        <f t="shared" si="67"/>
        <v>0</v>
      </c>
      <c r="W189" s="61">
        <f t="shared" si="67"/>
        <v>0</v>
      </c>
      <c r="X189" s="61">
        <f t="shared" si="67"/>
        <v>0</v>
      </c>
      <c r="Y189" s="61">
        <f t="shared" si="67"/>
        <v>0</v>
      </c>
    </row>
    <row r="190" spans="1:28" x14ac:dyDescent="0.25">
      <c r="A190" s="127" t="str">
        <f>A$17</f>
        <v>lot3</v>
      </c>
      <c r="B190" s="61">
        <f t="shared" ref="B190:Y190" si="68">IF(B78=3,B151,0)</f>
        <v>0</v>
      </c>
      <c r="C190" s="61">
        <f t="shared" si="68"/>
        <v>0</v>
      </c>
      <c r="D190" s="61">
        <f t="shared" si="68"/>
        <v>0</v>
      </c>
      <c r="E190" s="61">
        <f t="shared" si="68"/>
        <v>0</v>
      </c>
      <c r="F190" s="61">
        <f t="shared" si="68"/>
        <v>0</v>
      </c>
      <c r="G190" s="61">
        <f t="shared" si="68"/>
        <v>0</v>
      </c>
      <c r="H190" s="61">
        <f t="shared" si="68"/>
        <v>0</v>
      </c>
      <c r="I190" s="61">
        <f t="shared" si="68"/>
        <v>0</v>
      </c>
      <c r="J190" s="61">
        <f t="shared" si="68"/>
        <v>0</v>
      </c>
      <c r="K190" s="61">
        <f t="shared" si="68"/>
        <v>0</v>
      </c>
      <c r="L190" s="61">
        <f t="shared" si="68"/>
        <v>0</v>
      </c>
      <c r="M190" s="61">
        <f t="shared" si="68"/>
        <v>0</v>
      </c>
      <c r="N190" s="61">
        <f t="shared" si="68"/>
        <v>0</v>
      </c>
      <c r="O190" s="61">
        <f t="shared" si="68"/>
        <v>0</v>
      </c>
      <c r="P190" s="61">
        <f t="shared" si="68"/>
        <v>0</v>
      </c>
      <c r="Q190" s="61">
        <f t="shared" si="68"/>
        <v>0</v>
      </c>
      <c r="R190" s="61">
        <f t="shared" si="68"/>
        <v>0</v>
      </c>
      <c r="S190" s="61">
        <f t="shared" si="68"/>
        <v>0</v>
      </c>
      <c r="T190" s="61">
        <f t="shared" si="68"/>
        <v>0</v>
      </c>
      <c r="U190" s="61">
        <f t="shared" si="68"/>
        <v>0</v>
      </c>
      <c r="V190" s="61">
        <f t="shared" si="68"/>
        <v>0</v>
      </c>
      <c r="W190" s="61">
        <f t="shared" si="68"/>
        <v>0</v>
      </c>
      <c r="X190" s="61">
        <f t="shared" si="68"/>
        <v>0</v>
      </c>
      <c r="Y190" s="61">
        <f t="shared" si="68"/>
        <v>0</v>
      </c>
    </row>
    <row r="191" spans="1:28" x14ac:dyDescent="0.25">
      <c r="A191" s="128" t="str">
        <f>A$18</f>
        <v>lot4</v>
      </c>
      <c r="B191" s="61">
        <f t="shared" ref="B191:Y191" si="69">IF(B79=3,B152,0)</f>
        <v>0</v>
      </c>
      <c r="C191" s="61">
        <f t="shared" si="69"/>
        <v>0</v>
      </c>
      <c r="D191" s="61">
        <f t="shared" si="69"/>
        <v>0</v>
      </c>
      <c r="E191" s="61">
        <f t="shared" si="69"/>
        <v>0</v>
      </c>
      <c r="F191" s="61">
        <f t="shared" si="69"/>
        <v>0</v>
      </c>
      <c r="G191" s="61">
        <f t="shared" si="69"/>
        <v>0</v>
      </c>
      <c r="H191" s="61">
        <f t="shared" si="69"/>
        <v>0</v>
      </c>
      <c r="I191" s="61">
        <f t="shared" si="69"/>
        <v>0</v>
      </c>
      <c r="J191" s="61">
        <f t="shared" si="69"/>
        <v>0</v>
      </c>
      <c r="K191" s="61">
        <f t="shared" si="69"/>
        <v>0</v>
      </c>
      <c r="L191" s="61">
        <f t="shared" si="69"/>
        <v>0</v>
      </c>
      <c r="M191" s="61">
        <f t="shared" si="69"/>
        <v>0</v>
      </c>
      <c r="N191" s="61">
        <f t="shared" si="69"/>
        <v>0</v>
      </c>
      <c r="O191" s="61">
        <f t="shared" si="69"/>
        <v>0</v>
      </c>
      <c r="P191" s="61">
        <f t="shared" si="69"/>
        <v>0</v>
      </c>
      <c r="Q191" s="61">
        <f t="shared" si="69"/>
        <v>0</v>
      </c>
      <c r="R191" s="61">
        <f t="shared" si="69"/>
        <v>0</v>
      </c>
      <c r="S191" s="61">
        <f t="shared" si="69"/>
        <v>0</v>
      </c>
      <c r="T191" s="61">
        <f t="shared" si="69"/>
        <v>0</v>
      </c>
      <c r="U191" s="61">
        <f t="shared" si="69"/>
        <v>0</v>
      </c>
      <c r="V191" s="61">
        <f t="shared" si="69"/>
        <v>0</v>
      </c>
      <c r="W191" s="61">
        <f t="shared" si="69"/>
        <v>0</v>
      </c>
      <c r="X191" s="61">
        <f t="shared" si="69"/>
        <v>0</v>
      </c>
      <c r="Y191" s="61">
        <f t="shared" si="69"/>
        <v>0</v>
      </c>
    </row>
    <row r="192" spans="1:28" x14ac:dyDescent="0.25">
      <c r="A192" s="128" t="str">
        <f>A$19</f>
        <v>lot5</v>
      </c>
      <c r="B192" s="61">
        <f t="shared" ref="B192:Y192" si="70">IF(B80=3,B153,0)</f>
        <v>0</v>
      </c>
      <c r="C192" s="61">
        <f t="shared" si="70"/>
        <v>0</v>
      </c>
      <c r="D192" s="61">
        <f t="shared" si="70"/>
        <v>0</v>
      </c>
      <c r="E192" s="61">
        <f t="shared" si="70"/>
        <v>0</v>
      </c>
      <c r="F192" s="61">
        <f t="shared" si="70"/>
        <v>0</v>
      </c>
      <c r="G192" s="61">
        <f t="shared" si="70"/>
        <v>0</v>
      </c>
      <c r="H192" s="61">
        <f t="shared" si="70"/>
        <v>0</v>
      </c>
      <c r="I192" s="61">
        <f t="shared" si="70"/>
        <v>0</v>
      </c>
      <c r="J192" s="61">
        <f t="shared" si="70"/>
        <v>0</v>
      </c>
      <c r="K192" s="61">
        <f t="shared" si="70"/>
        <v>0</v>
      </c>
      <c r="L192" s="61">
        <f t="shared" si="70"/>
        <v>0</v>
      </c>
      <c r="M192" s="61">
        <f t="shared" si="70"/>
        <v>0</v>
      </c>
      <c r="N192" s="61">
        <f t="shared" si="70"/>
        <v>0</v>
      </c>
      <c r="O192" s="61">
        <f t="shared" si="70"/>
        <v>0</v>
      </c>
      <c r="P192" s="61">
        <f t="shared" si="70"/>
        <v>0</v>
      </c>
      <c r="Q192" s="61">
        <f t="shared" si="70"/>
        <v>0</v>
      </c>
      <c r="R192" s="61">
        <f t="shared" si="70"/>
        <v>0</v>
      </c>
      <c r="S192" s="61">
        <f t="shared" si="70"/>
        <v>0</v>
      </c>
      <c r="T192" s="61">
        <f t="shared" si="70"/>
        <v>0</v>
      </c>
      <c r="U192" s="61">
        <f t="shared" si="70"/>
        <v>0</v>
      </c>
      <c r="V192" s="61">
        <f t="shared" si="70"/>
        <v>0</v>
      </c>
      <c r="W192" s="61">
        <f t="shared" si="70"/>
        <v>0</v>
      </c>
      <c r="X192" s="61">
        <f t="shared" si="70"/>
        <v>0</v>
      </c>
      <c r="Y192" s="61">
        <f t="shared" si="70"/>
        <v>0</v>
      </c>
    </row>
    <row r="193" spans="1:28" x14ac:dyDescent="0.25">
      <c r="A193" s="128" t="str">
        <f>A$20</f>
        <v>lot6</v>
      </c>
      <c r="B193" s="61">
        <f t="shared" ref="B193:Y193" si="71">IF(B81=3,B154,0)</f>
        <v>0</v>
      </c>
      <c r="C193" s="61">
        <f t="shared" si="71"/>
        <v>0</v>
      </c>
      <c r="D193" s="61">
        <f t="shared" si="71"/>
        <v>0</v>
      </c>
      <c r="E193" s="61">
        <f t="shared" si="71"/>
        <v>0</v>
      </c>
      <c r="F193" s="61">
        <f t="shared" si="71"/>
        <v>0</v>
      </c>
      <c r="G193" s="61">
        <f t="shared" si="71"/>
        <v>0</v>
      </c>
      <c r="H193" s="61">
        <f t="shared" si="71"/>
        <v>0</v>
      </c>
      <c r="I193" s="61">
        <f t="shared" si="71"/>
        <v>0</v>
      </c>
      <c r="J193" s="61">
        <f t="shared" si="71"/>
        <v>0</v>
      </c>
      <c r="K193" s="61">
        <f t="shared" si="71"/>
        <v>0</v>
      </c>
      <c r="L193" s="61">
        <f t="shared" si="71"/>
        <v>0</v>
      </c>
      <c r="M193" s="61">
        <f t="shared" si="71"/>
        <v>0</v>
      </c>
      <c r="N193" s="61">
        <f t="shared" si="71"/>
        <v>0</v>
      </c>
      <c r="O193" s="61">
        <f t="shared" si="71"/>
        <v>0</v>
      </c>
      <c r="P193" s="61">
        <f t="shared" si="71"/>
        <v>0</v>
      </c>
      <c r="Q193" s="61">
        <f t="shared" si="71"/>
        <v>0</v>
      </c>
      <c r="R193" s="61">
        <f t="shared" si="71"/>
        <v>0</v>
      </c>
      <c r="S193" s="61">
        <f t="shared" si="71"/>
        <v>0</v>
      </c>
      <c r="T193" s="61">
        <f t="shared" si="71"/>
        <v>0</v>
      </c>
      <c r="U193" s="61">
        <f t="shared" si="71"/>
        <v>0</v>
      </c>
      <c r="V193" s="61">
        <f t="shared" si="71"/>
        <v>0</v>
      </c>
      <c r="W193" s="61">
        <f t="shared" si="71"/>
        <v>0</v>
      </c>
      <c r="X193" s="61">
        <f t="shared" si="71"/>
        <v>0</v>
      </c>
      <c r="Y193" s="61">
        <f t="shared" si="71"/>
        <v>0</v>
      </c>
    </row>
    <row r="194" spans="1:28" x14ac:dyDescent="0.25">
      <c r="A194" s="127" t="str">
        <f>A$21</f>
        <v>lot7</v>
      </c>
      <c r="B194" s="61">
        <f t="shared" ref="B194:Y194" si="72">IF(B82=3,B155,0)</f>
        <v>0</v>
      </c>
      <c r="C194" s="61">
        <f t="shared" si="72"/>
        <v>0</v>
      </c>
      <c r="D194" s="61">
        <f t="shared" si="72"/>
        <v>0</v>
      </c>
      <c r="E194" s="61">
        <f t="shared" si="72"/>
        <v>0</v>
      </c>
      <c r="F194" s="61">
        <f t="shared" si="72"/>
        <v>0</v>
      </c>
      <c r="G194" s="61">
        <f t="shared" si="72"/>
        <v>0</v>
      </c>
      <c r="H194" s="61">
        <f t="shared" si="72"/>
        <v>0</v>
      </c>
      <c r="I194" s="61">
        <f t="shared" si="72"/>
        <v>0</v>
      </c>
      <c r="J194" s="61">
        <f t="shared" si="72"/>
        <v>0</v>
      </c>
      <c r="K194" s="61">
        <f t="shared" si="72"/>
        <v>0</v>
      </c>
      <c r="L194" s="61">
        <f t="shared" si="72"/>
        <v>0</v>
      </c>
      <c r="M194" s="61">
        <f t="shared" si="72"/>
        <v>0</v>
      </c>
      <c r="N194" s="61">
        <f t="shared" si="72"/>
        <v>0</v>
      </c>
      <c r="O194" s="61">
        <f t="shared" si="72"/>
        <v>0</v>
      </c>
      <c r="P194" s="61">
        <f t="shared" si="72"/>
        <v>0</v>
      </c>
      <c r="Q194" s="61">
        <f t="shared" si="72"/>
        <v>0</v>
      </c>
      <c r="R194" s="61">
        <f t="shared" si="72"/>
        <v>0</v>
      </c>
      <c r="S194" s="61">
        <f t="shared" si="72"/>
        <v>0</v>
      </c>
      <c r="T194" s="61">
        <f t="shared" si="72"/>
        <v>0</v>
      </c>
      <c r="U194" s="61">
        <f t="shared" si="72"/>
        <v>0</v>
      </c>
      <c r="V194" s="61">
        <f t="shared" si="72"/>
        <v>0</v>
      </c>
      <c r="W194" s="61">
        <f t="shared" si="72"/>
        <v>0</v>
      </c>
      <c r="X194" s="61">
        <f t="shared" si="72"/>
        <v>0</v>
      </c>
      <c r="Y194" s="61">
        <f t="shared" si="72"/>
        <v>0</v>
      </c>
    </row>
    <row r="195" spans="1:28" x14ac:dyDescent="0.25">
      <c r="A195" s="128" t="str">
        <f>A$22</f>
        <v>lot8</v>
      </c>
      <c r="B195" s="61">
        <f t="shared" ref="B195:Y195" si="73">IF(B83=3,B156,0)</f>
        <v>0</v>
      </c>
      <c r="C195" s="61">
        <f t="shared" si="73"/>
        <v>0</v>
      </c>
      <c r="D195" s="61">
        <f t="shared" si="73"/>
        <v>0</v>
      </c>
      <c r="E195" s="61">
        <f t="shared" si="73"/>
        <v>0</v>
      </c>
      <c r="F195" s="61">
        <f t="shared" si="73"/>
        <v>0</v>
      </c>
      <c r="G195" s="61">
        <f t="shared" si="73"/>
        <v>0</v>
      </c>
      <c r="H195" s="61">
        <f t="shared" si="73"/>
        <v>0</v>
      </c>
      <c r="I195" s="61">
        <f t="shared" si="73"/>
        <v>0</v>
      </c>
      <c r="J195" s="61">
        <f t="shared" si="73"/>
        <v>0</v>
      </c>
      <c r="K195" s="61">
        <f t="shared" si="73"/>
        <v>0</v>
      </c>
      <c r="L195" s="61">
        <f t="shared" si="73"/>
        <v>0</v>
      </c>
      <c r="M195" s="61">
        <f t="shared" si="73"/>
        <v>0</v>
      </c>
      <c r="N195" s="61">
        <f t="shared" si="73"/>
        <v>0</v>
      </c>
      <c r="O195" s="61">
        <f t="shared" si="73"/>
        <v>0</v>
      </c>
      <c r="P195" s="61">
        <f t="shared" si="73"/>
        <v>0</v>
      </c>
      <c r="Q195" s="61">
        <f t="shared" si="73"/>
        <v>0</v>
      </c>
      <c r="R195" s="61">
        <f t="shared" si="73"/>
        <v>0</v>
      </c>
      <c r="S195" s="61">
        <f t="shared" si="73"/>
        <v>0</v>
      </c>
      <c r="T195" s="61">
        <f t="shared" si="73"/>
        <v>0</v>
      </c>
      <c r="U195" s="61">
        <f t="shared" si="73"/>
        <v>0</v>
      </c>
      <c r="V195" s="61">
        <f t="shared" si="73"/>
        <v>0</v>
      </c>
      <c r="W195" s="61">
        <f t="shared" si="73"/>
        <v>0</v>
      </c>
      <c r="X195" s="61">
        <f t="shared" si="73"/>
        <v>0</v>
      </c>
      <c r="Y195" s="61">
        <f t="shared" si="73"/>
        <v>0</v>
      </c>
    </row>
    <row r="196" spans="1:28" x14ac:dyDescent="0.25">
      <c r="A196" s="128" t="str">
        <f>A$23</f>
        <v>lot9</v>
      </c>
      <c r="B196" s="61">
        <f t="shared" ref="B196:Y196" si="74">IF(B84=3,B157,0)</f>
        <v>0</v>
      </c>
      <c r="C196" s="61">
        <f t="shared" si="74"/>
        <v>0</v>
      </c>
      <c r="D196" s="61">
        <f t="shared" si="74"/>
        <v>0</v>
      </c>
      <c r="E196" s="61">
        <f t="shared" si="74"/>
        <v>0</v>
      </c>
      <c r="F196" s="61">
        <f t="shared" si="74"/>
        <v>0</v>
      </c>
      <c r="G196" s="61">
        <f t="shared" si="74"/>
        <v>0</v>
      </c>
      <c r="H196" s="61">
        <f t="shared" si="74"/>
        <v>0</v>
      </c>
      <c r="I196" s="61">
        <f t="shared" si="74"/>
        <v>0</v>
      </c>
      <c r="J196" s="61">
        <f t="shared" si="74"/>
        <v>0</v>
      </c>
      <c r="K196" s="61">
        <f t="shared" si="74"/>
        <v>0</v>
      </c>
      <c r="L196" s="61">
        <f t="shared" si="74"/>
        <v>0</v>
      </c>
      <c r="M196" s="61">
        <f t="shared" si="74"/>
        <v>0</v>
      </c>
      <c r="N196" s="61">
        <f t="shared" si="74"/>
        <v>0</v>
      </c>
      <c r="O196" s="61">
        <f t="shared" si="74"/>
        <v>0</v>
      </c>
      <c r="P196" s="61">
        <f t="shared" si="74"/>
        <v>0</v>
      </c>
      <c r="Q196" s="61">
        <f t="shared" si="74"/>
        <v>0</v>
      </c>
      <c r="R196" s="61">
        <f t="shared" si="74"/>
        <v>0</v>
      </c>
      <c r="S196" s="61">
        <f t="shared" si="74"/>
        <v>0</v>
      </c>
      <c r="T196" s="61">
        <f t="shared" si="74"/>
        <v>0</v>
      </c>
      <c r="U196" s="61">
        <f t="shared" si="74"/>
        <v>0</v>
      </c>
      <c r="V196" s="61">
        <f t="shared" si="74"/>
        <v>0</v>
      </c>
      <c r="W196" s="61">
        <f t="shared" si="74"/>
        <v>0</v>
      </c>
      <c r="X196" s="61">
        <f t="shared" si="74"/>
        <v>0</v>
      </c>
      <c r="Y196" s="61">
        <f t="shared" si="74"/>
        <v>0</v>
      </c>
    </row>
    <row r="197" spans="1:28" x14ac:dyDescent="0.25">
      <c r="A197" s="128" t="str">
        <f>A$24</f>
        <v>lot10</v>
      </c>
      <c r="B197" s="61">
        <f t="shared" ref="B197:Y197" si="75">IF(B85=3,B158,0)</f>
        <v>0</v>
      </c>
      <c r="C197" s="61">
        <f t="shared" si="75"/>
        <v>0</v>
      </c>
      <c r="D197" s="61">
        <f t="shared" si="75"/>
        <v>0</v>
      </c>
      <c r="E197" s="61">
        <f t="shared" si="75"/>
        <v>0</v>
      </c>
      <c r="F197" s="61">
        <f t="shared" si="75"/>
        <v>0</v>
      </c>
      <c r="G197" s="61">
        <f t="shared" si="75"/>
        <v>0</v>
      </c>
      <c r="H197" s="61">
        <f t="shared" si="75"/>
        <v>0</v>
      </c>
      <c r="I197" s="61">
        <f t="shared" si="75"/>
        <v>0</v>
      </c>
      <c r="J197" s="61">
        <f t="shared" si="75"/>
        <v>0</v>
      </c>
      <c r="K197" s="61">
        <f t="shared" si="75"/>
        <v>0</v>
      </c>
      <c r="L197" s="61">
        <f t="shared" si="75"/>
        <v>0</v>
      </c>
      <c r="M197" s="61">
        <f t="shared" si="75"/>
        <v>0</v>
      </c>
      <c r="N197" s="61">
        <f t="shared" si="75"/>
        <v>0</v>
      </c>
      <c r="O197" s="61">
        <f t="shared" si="75"/>
        <v>0</v>
      </c>
      <c r="P197" s="61">
        <f t="shared" si="75"/>
        <v>0</v>
      </c>
      <c r="Q197" s="61">
        <f t="shared" si="75"/>
        <v>0</v>
      </c>
      <c r="R197" s="61">
        <f t="shared" si="75"/>
        <v>0</v>
      </c>
      <c r="S197" s="61">
        <f t="shared" si="75"/>
        <v>0</v>
      </c>
      <c r="T197" s="61">
        <f t="shared" si="75"/>
        <v>0</v>
      </c>
      <c r="U197" s="61">
        <f t="shared" si="75"/>
        <v>0</v>
      </c>
      <c r="V197" s="61">
        <f t="shared" si="75"/>
        <v>0</v>
      </c>
      <c r="W197" s="61">
        <f t="shared" si="75"/>
        <v>0</v>
      </c>
      <c r="X197" s="61">
        <f t="shared" si="75"/>
        <v>0</v>
      </c>
      <c r="Y197" s="61">
        <f t="shared" si="75"/>
        <v>0</v>
      </c>
    </row>
    <row r="198" spans="1:28" x14ac:dyDescent="0.25">
      <c r="A198" s="38" t="s">
        <v>316</v>
      </c>
      <c r="B198" s="61">
        <f>SUM(B188:B197)</f>
        <v>0</v>
      </c>
      <c r="C198" s="61">
        <f t="shared" ref="C198:Y198" si="76">SUM(C188:C197)</f>
        <v>0</v>
      </c>
      <c r="D198" s="61">
        <f t="shared" si="76"/>
        <v>0</v>
      </c>
      <c r="E198" s="61">
        <f t="shared" si="76"/>
        <v>0</v>
      </c>
      <c r="F198" s="61">
        <f t="shared" si="76"/>
        <v>0</v>
      </c>
      <c r="G198" s="61">
        <f t="shared" si="76"/>
        <v>0</v>
      </c>
      <c r="H198" s="61">
        <f t="shared" si="76"/>
        <v>0</v>
      </c>
      <c r="I198" s="61">
        <f t="shared" si="76"/>
        <v>0</v>
      </c>
      <c r="J198" s="61">
        <f t="shared" si="76"/>
        <v>0</v>
      </c>
      <c r="K198" s="61">
        <f t="shared" si="76"/>
        <v>0</v>
      </c>
      <c r="L198" s="61">
        <f t="shared" si="76"/>
        <v>0</v>
      </c>
      <c r="M198" s="61">
        <f t="shared" si="76"/>
        <v>0</v>
      </c>
      <c r="N198" s="61">
        <f t="shared" si="76"/>
        <v>0</v>
      </c>
      <c r="O198" s="61">
        <f t="shared" si="76"/>
        <v>0</v>
      </c>
      <c r="P198" s="61">
        <f t="shared" si="76"/>
        <v>0</v>
      </c>
      <c r="Q198" s="61">
        <f t="shared" si="76"/>
        <v>0</v>
      </c>
      <c r="R198" s="61">
        <f t="shared" si="76"/>
        <v>0</v>
      </c>
      <c r="S198" s="61">
        <f t="shared" si="76"/>
        <v>0</v>
      </c>
      <c r="T198" s="61">
        <f t="shared" si="76"/>
        <v>0</v>
      </c>
      <c r="U198" s="61">
        <f t="shared" si="76"/>
        <v>0</v>
      </c>
      <c r="V198" s="61">
        <f t="shared" si="76"/>
        <v>0</v>
      </c>
      <c r="W198" s="61">
        <f t="shared" si="76"/>
        <v>0</v>
      </c>
      <c r="X198" s="61">
        <f t="shared" si="76"/>
        <v>0</v>
      </c>
      <c r="Y198" s="61">
        <f t="shared" si="76"/>
        <v>0</v>
      </c>
      <c r="AA198" s="64">
        <f>SUM(B198:Y198)</f>
        <v>0</v>
      </c>
      <c r="AB198" t="s">
        <v>214</v>
      </c>
    </row>
    <row r="200" spans="1:28" x14ac:dyDescent="0.25">
      <c r="A200" s="2" t="s">
        <v>216</v>
      </c>
    </row>
    <row r="201" spans="1:28" x14ac:dyDescent="0.25">
      <c r="A201" s="128" t="str">
        <f>A$15</f>
        <v>lot1</v>
      </c>
      <c r="B201" s="61">
        <f t="shared" ref="B201:Y201" si="77">IF(B76=4,B149,0)</f>
        <v>0</v>
      </c>
      <c r="C201" s="61">
        <f t="shared" si="77"/>
        <v>0</v>
      </c>
      <c r="D201" s="61">
        <f t="shared" si="77"/>
        <v>0</v>
      </c>
      <c r="E201" s="61">
        <f t="shared" si="77"/>
        <v>0</v>
      </c>
      <c r="F201" s="61">
        <f t="shared" si="77"/>
        <v>0</v>
      </c>
      <c r="G201" s="61">
        <f t="shared" si="77"/>
        <v>0</v>
      </c>
      <c r="H201" s="61">
        <f t="shared" si="77"/>
        <v>0</v>
      </c>
      <c r="I201" s="61">
        <f t="shared" si="77"/>
        <v>0</v>
      </c>
      <c r="J201" s="61">
        <f t="shared" si="77"/>
        <v>0</v>
      </c>
      <c r="K201" s="61">
        <f t="shared" si="77"/>
        <v>0</v>
      </c>
      <c r="L201" s="61">
        <f t="shared" si="77"/>
        <v>0</v>
      </c>
      <c r="M201" s="61">
        <f t="shared" si="77"/>
        <v>0</v>
      </c>
      <c r="N201" s="61">
        <f t="shared" si="77"/>
        <v>0</v>
      </c>
      <c r="O201" s="61">
        <f t="shared" si="77"/>
        <v>0</v>
      </c>
      <c r="P201" s="61">
        <f t="shared" si="77"/>
        <v>0</v>
      </c>
      <c r="Q201" s="61">
        <f t="shared" si="77"/>
        <v>0</v>
      </c>
      <c r="R201" s="61">
        <f t="shared" si="77"/>
        <v>0</v>
      </c>
      <c r="S201" s="61">
        <f t="shared" si="77"/>
        <v>0</v>
      </c>
      <c r="T201" s="61">
        <f t="shared" si="77"/>
        <v>0</v>
      </c>
      <c r="U201" s="61">
        <f t="shared" si="77"/>
        <v>0</v>
      </c>
      <c r="V201" s="61">
        <f t="shared" si="77"/>
        <v>0</v>
      </c>
      <c r="W201" s="61">
        <f t="shared" si="77"/>
        <v>0</v>
      </c>
      <c r="X201" s="61">
        <f t="shared" si="77"/>
        <v>0</v>
      </c>
      <c r="Y201" s="61">
        <f t="shared" si="77"/>
        <v>0</v>
      </c>
    </row>
    <row r="202" spans="1:28" x14ac:dyDescent="0.25">
      <c r="A202" s="128" t="str">
        <f>A$16</f>
        <v>lot2</v>
      </c>
      <c r="B202" s="61">
        <f t="shared" ref="B202:Y202" si="78">IF(B77=4,B150,0)</f>
        <v>0</v>
      </c>
      <c r="C202" s="61">
        <f t="shared" si="78"/>
        <v>0</v>
      </c>
      <c r="D202" s="61">
        <f t="shared" si="78"/>
        <v>0</v>
      </c>
      <c r="E202" s="61">
        <f t="shared" si="78"/>
        <v>0</v>
      </c>
      <c r="F202" s="61">
        <f t="shared" si="78"/>
        <v>0</v>
      </c>
      <c r="G202" s="61">
        <f t="shared" si="78"/>
        <v>0</v>
      </c>
      <c r="H202" s="61">
        <f t="shared" si="78"/>
        <v>0</v>
      </c>
      <c r="I202" s="61">
        <f t="shared" si="78"/>
        <v>0</v>
      </c>
      <c r="J202" s="61">
        <f t="shared" si="78"/>
        <v>0</v>
      </c>
      <c r="K202" s="61">
        <f t="shared" si="78"/>
        <v>0</v>
      </c>
      <c r="L202" s="61">
        <f t="shared" si="78"/>
        <v>0</v>
      </c>
      <c r="M202" s="61">
        <f t="shared" si="78"/>
        <v>0</v>
      </c>
      <c r="N202" s="61">
        <f t="shared" si="78"/>
        <v>0</v>
      </c>
      <c r="O202" s="61">
        <f t="shared" si="78"/>
        <v>0</v>
      </c>
      <c r="P202" s="61">
        <f t="shared" si="78"/>
        <v>0</v>
      </c>
      <c r="Q202" s="61">
        <f t="shared" si="78"/>
        <v>0</v>
      </c>
      <c r="R202" s="61">
        <f t="shared" si="78"/>
        <v>0</v>
      </c>
      <c r="S202" s="61">
        <f t="shared" si="78"/>
        <v>0</v>
      </c>
      <c r="T202" s="61">
        <f t="shared" si="78"/>
        <v>0</v>
      </c>
      <c r="U202" s="61">
        <f t="shared" si="78"/>
        <v>0</v>
      </c>
      <c r="V202" s="61">
        <f t="shared" si="78"/>
        <v>0</v>
      </c>
      <c r="W202" s="61">
        <f t="shared" si="78"/>
        <v>0</v>
      </c>
      <c r="X202" s="61">
        <f t="shared" si="78"/>
        <v>0</v>
      </c>
      <c r="Y202" s="61">
        <f t="shared" si="78"/>
        <v>0</v>
      </c>
    </row>
    <row r="203" spans="1:28" x14ac:dyDescent="0.25">
      <c r="A203" s="127" t="str">
        <f>A$17</f>
        <v>lot3</v>
      </c>
      <c r="B203" s="61">
        <f t="shared" ref="B203:Y203" si="79">IF(B78=4,B151,0)</f>
        <v>0</v>
      </c>
      <c r="C203" s="61">
        <f t="shared" si="79"/>
        <v>0</v>
      </c>
      <c r="D203" s="61">
        <f t="shared" si="79"/>
        <v>0</v>
      </c>
      <c r="E203" s="61">
        <f t="shared" si="79"/>
        <v>0</v>
      </c>
      <c r="F203" s="61">
        <f t="shared" si="79"/>
        <v>0</v>
      </c>
      <c r="G203" s="61">
        <f t="shared" si="79"/>
        <v>0</v>
      </c>
      <c r="H203" s="61">
        <f t="shared" si="79"/>
        <v>0</v>
      </c>
      <c r="I203" s="61">
        <f t="shared" si="79"/>
        <v>0</v>
      </c>
      <c r="J203" s="61">
        <f t="shared" si="79"/>
        <v>0</v>
      </c>
      <c r="K203" s="61">
        <f t="shared" si="79"/>
        <v>0</v>
      </c>
      <c r="L203" s="61">
        <f t="shared" si="79"/>
        <v>0</v>
      </c>
      <c r="M203" s="61">
        <f t="shared" si="79"/>
        <v>0</v>
      </c>
      <c r="N203" s="61">
        <f t="shared" si="79"/>
        <v>0</v>
      </c>
      <c r="O203" s="61">
        <f t="shared" si="79"/>
        <v>0</v>
      </c>
      <c r="P203" s="61">
        <f t="shared" si="79"/>
        <v>0</v>
      </c>
      <c r="Q203" s="61">
        <f t="shared" si="79"/>
        <v>0</v>
      </c>
      <c r="R203" s="61">
        <f t="shared" si="79"/>
        <v>0</v>
      </c>
      <c r="S203" s="61">
        <f t="shared" si="79"/>
        <v>0</v>
      </c>
      <c r="T203" s="61">
        <f t="shared" si="79"/>
        <v>0</v>
      </c>
      <c r="U203" s="61">
        <f t="shared" si="79"/>
        <v>0</v>
      </c>
      <c r="V203" s="61">
        <f t="shared" si="79"/>
        <v>0</v>
      </c>
      <c r="W203" s="61">
        <f t="shared" si="79"/>
        <v>0</v>
      </c>
      <c r="X203" s="61">
        <f t="shared" si="79"/>
        <v>0</v>
      </c>
      <c r="Y203" s="61">
        <f t="shared" si="79"/>
        <v>0</v>
      </c>
    </row>
    <row r="204" spans="1:28" x14ac:dyDescent="0.25">
      <c r="A204" s="128" t="str">
        <f>A$18</f>
        <v>lot4</v>
      </c>
      <c r="B204" s="61">
        <f t="shared" ref="B204:Y204" si="80">IF(B79=4,B152,0)</f>
        <v>0</v>
      </c>
      <c r="C204" s="61">
        <f t="shared" si="80"/>
        <v>0</v>
      </c>
      <c r="D204" s="61">
        <f t="shared" si="80"/>
        <v>0</v>
      </c>
      <c r="E204" s="61">
        <f t="shared" si="80"/>
        <v>0</v>
      </c>
      <c r="F204" s="61">
        <f t="shared" si="80"/>
        <v>0</v>
      </c>
      <c r="G204" s="61">
        <f t="shared" si="80"/>
        <v>0</v>
      </c>
      <c r="H204" s="61">
        <f t="shared" si="80"/>
        <v>0</v>
      </c>
      <c r="I204" s="61">
        <f t="shared" si="80"/>
        <v>0</v>
      </c>
      <c r="J204" s="61">
        <f t="shared" si="80"/>
        <v>0</v>
      </c>
      <c r="K204" s="61">
        <f t="shared" si="80"/>
        <v>0</v>
      </c>
      <c r="L204" s="61">
        <f t="shared" si="80"/>
        <v>0</v>
      </c>
      <c r="M204" s="61">
        <f t="shared" si="80"/>
        <v>0</v>
      </c>
      <c r="N204" s="61">
        <f t="shared" si="80"/>
        <v>0</v>
      </c>
      <c r="O204" s="61">
        <f t="shared" si="80"/>
        <v>0</v>
      </c>
      <c r="P204" s="61">
        <f t="shared" si="80"/>
        <v>0</v>
      </c>
      <c r="Q204" s="61">
        <f t="shared" si="80"/>
        <v>0</v>
      </c>
      <c r="R204" s="61">
        <f t="shared" si="80"/>
        <v>0</v>
      </c>
      <c r="S204" s="61">
        <f t="shared" si="80"/>
        <v>0</v>
      </c>
      <c r="T204" s="61">
        <f t="shared" si="80"/>
        <v>0</v>
      </c>
      <c r="U204" s="61">
        <f t="shared" si="80"/>
        <v>0</v>
      </c>
      <c r="V204" s="61">
        <f t="shared" si="80"/>
        <v>0</v>
      </c>
      <c r="W204" s="61">
        <f t="shared" si="80"/>
        <v>0</v>
      </c>
      <c r="X204" s="61">
        <f t="shared" si="80"/>
        <v>0</v>
      </c>
      <c r="Y204" s="61">
        <f t="shared" si="80"/>
        <v>0</v>
      </c>
    </row>
    <row r="205" spans="1:28" x14ac:dyDescent="0.25">
      <c r="A205" s="128" t="str">
        <f>A$19</f>
        <v>lot5</v>
      </c>
      <c r="B205" s="61">
        <f t="shared" ref="B205:Y205" si="81">IF(B80=4,B153,0)</f>
        <v>0</v>
      </c>
      <c r="C205" s="61">
        <f t="shared" si="81"/>
        <v>0</v>
      </c>
      <c r="D205" s="61">
        <f t="shared" si="81"/>
        <v>0</v>
      </c>
      <c r="E205" s="61">
        <f t="shared" si="81"/>
        <v>0</v>
      </c>
      <c r="F205" s="61">
        <f t="shared" si="81"/>
        <v>0</v>
      </c>
      <c r="G205" s="61">
        <f t="shared" si="81"/>
        <v>0</v>
      </c>
      <c r="H205" s="61">
        <f t="shared" si="81"/>
        <v>0</v>
      </c>
      <c r="I205" s="61">
        <f t="shared" si="81"/>
        <v>0</v>
      </c>
      <c r="J205" s="61">
        <f t="shared" si="81"/>
        <v>0</v>
      </c>
      <c r="K205" s="61">
        <f t="shared" si="81"/>
        <v>0</v>
      </c>
      <c r="L205" s="61">
        <f t="shared" si="81"/>
        <v>0</v>
      </c>
      <c r="M205" s="61">
        <f t="shared" si="81"/>
        <v>0</v>
      </c>
      <c r="N205" s="61">
        <f t="shared" si="81"/>
        <v>0</v>
      </c>
      <c r="O205" s="61">
        <f t="shared" si="81"/>
        <v>0</v>
      </c>
      <c r="P205" s="61">
        <f t="shared" si="81"/>
        <v>0</v>
      </c>
      <c r="Q205" s="61">
        <f t="shared" si="81"/>
        <v>0</v>
      </c>
      <c r="R205" s="61">
        <f t="shared" si="81"/>
        <v>0</v>
      </c>
      <c r="S205" s="61">
        <f t="shared" si="81"/>
        <v>0</v>
      </c>
      <c r="T205" s="61">
        <f t="shared" si="81"/>
        <v>0</v>
      </c>
      <c r="U205" s="61">
        <f t="shared" si="81"/>
        <v>0</v>
      </c>
      <c r="V205" s="61">
        <f t="shared" si="81"/>
        <v>0</v>
      </c>
      <c r="W205" s="61">
        <f t="shared" si="81"/>
        <v>0</v>
      </c>
      <c r="X205" s="61">
        <f t="shared" si="81"/>
        <v>0</v>
      </c>
      <c r="Y205" s="61">
        <f t="shared" si="81"/>
        <v>0</v>
      </c>
    </row>
    <row r="206" spans="1:28" x14ac:dyDescent="0.25">
      <c r="A206" s="128" t="str">
        <f>A$20</f>
        <v>lot6</v>
      </c>
      <c r="B206" s="61">
        <f t="shared" ref="B206:Y206" si="82">IF(B81=4,B154,0)</f>
        <v>0</v>
      </c>
      <c r="C206" s="61">
        <f t="shared" si="82"/>
        <v>0</v>
      </c>
      <c r="D206" s="61">
        <f t="shared" si="82"/>
        <v>0</v>
      </c>
      <c r="E206" s="61">
        <f t="shared" si="82"/>
        <v>0</v>
      </c>
      <c r="F206" s="61">
        <f t="shared" si="82"/>
        <v>0</v>
      </c>
      <c r="G206" s="61">
        <f t="shared" si="82"/>
        <v>0</v>
      </c>
      <c r="H206" s="61">
        <f t="shared" si="82"/>
        <v>0</v>
      </c>
      <c r="I206" s="61">
        <f t="shared" si="82"/>
        <v>0</v>
      </c>
      <c r="J206" s="61">
        <f t="shared" si="82"/>
        <v>0</v>
      </c>
      <c r="K206" s="61">
        <f t="shared" si="82"/>
        <v>0</v>
      </c>
      <c r="L206" s="61">
        <f t="shared" si="82"/>
        <v>0</v>
      </c>
      <c r="M206" s="61">
        <f t="shared" si="82"/>
        <v>0</v>
      </c>
      <c r="N206" s="61">
        <f t="shared" si="82"/>
        <v>0</v>
      </c>
      <c r="O206" s="61">
        <f t="shared" si="82"/>
        <v>0</v>
      </c>
      <c r="P206" s="61">
        <f t="shared" si="82"/>
        <v>0</v>
      </c>
      <c r="Q206" s="61">
        <f t="shared" si="82"/>
        <v>0</v>
      </c>
      <c r="R206" s="61">
        <f t="shared" si="82"/>
        <v>0</v>
      </c>
      <c r="S206" s="61">
        <f t="shared" si="82"/>
        <v>0</v>
      </c>
      <c r="T206" s="61">
        <f t="shared" si="82"/>
        <v>0</v>
      </c>
      <c r="U206" s="61">
        <f t="shared" si="82"/>
        <v>0</v>
      </c>
      <c r="V206" s="61">
        <f t="shared" si="82"/>
        <v>0</v>
      </c>
      <c r="W206" s="61">
        <f t="shared" si="82"/>
        <v>0</v>
      </c>
      <c r="X206" s="61">
        <f t="shared" si="82"/>
        <v>0</v>
      </c>
      <c r="Y206" s="61">
        <f t="shared" si="82"/>
        <v>0</v>
      </c>
    </row>
    <row r="207" spans="1:28" x14ac:dyDescent="0.25">
      <c r="A207" s="127" t="str">
        <f>A$21</f>
        <v>lot7</v>
      </c>
      <c r="B207" s="61">
        <f t="shared" ref="B207:Y207" si="83">IF(B82=4,B155,0)</f>
        <v>0</v>
      </c>
      <c r="C207" s="61">
        <f t="shared" si="83"/>
        <v>0</v>
      </c>
      <c r="D207" s="61">
        <f t="shared" si="83"/>
        <v>0</v>
      </c>
      <c r="E207" s="61">
        <f t="shared" si="83"/>
        <v>0</v>
      </c>
      <c r="F207" s="61">
        <f t="shared" si="83"/>
        <v>0</v>
      </c>
      <c r="G207" s="61">
        <f t="shared" si="83"/>
        <v>0</v>
      </c>
      <c r="H207" s="61">
        <f t="shared" si="83"/>
        <v>0</v>
      </c>
      <c r="I207" s="61">
        <f t="shared" si="83"/>
        <v>0</v>
      </c>
      <c r="J207" s="61">
        <f t="shared" si="83"/>
        <v>0</v>
      </c>
      <c r="K207" s="61">
        <f t="shared" si="83"/>
        <v>0</v>
      </c>
      <c r="L207" s="61">
        <f t="shared" si="83"/>
        <v>0</v>
      </c>
      <c r="M207" s="61">
        <f t="shared" si="83"/>
        <v>0</v>
      </c>
      <c r="N207" s="61">
        <f t="shared" si="83"/>
        <v>0</v>
      </c>
      <c r="O207" s="61">
        <f t="shared" si="83"/>
        <v>0</v>
      </c>
      <c r="P207" s="61">
        <f t="shared" si="83"/>
        <v>0</v>
      </c>
      <c r="Q207" s="61">
        <f t="shared" si="83"/>
        <v>0</v>
      </c>
      <c r="R207" s="61">
        <f t="shared" si="83"/>
        <v>0</v>
      </c>
      <c r="S207" s="61">
        <f t="shared" si="83"/>
        <v>0</v>
      </c>
      <c r="T207" s="61">
        <f t="shared" si="83"/>
        <v>0</v>
      </c>
      <c r="U207" s="61">
        <f t="shared" si="83"/>
        <v>0</v>
      </c>
      <c r="V207" s="61">
        <f t="shared" si="83"/>
        <v>0</v>
      </c>
      <c r="W207" s="61">
        <f t="shared" si="83"/>
        <v>0</v>
      </c>
      <c r="X207" s="61">
        <f t="shared" si="83"/>
        <v>0</v>
      </c>
      <c r="Y207" s="61">
        <f t="shared" si="83"/>
        <v>0</v>
      </c>
    </row>
    <row r="208" spans="1:28" x14ac:dyDescent="0.25">
      <c r="A208" s="128" t="str">
        <f>A$22</f>
        <v>lot8</v>
      </c>
      <c r="B208" s="61">
        <f t="shared" ref="B208:Y208" si="84">IF(B83=4,B156,0)</f>
        <v>0</v>
      </c>
      <c r="C208" s="61">
        <f t="shared" si="84"/>
        <v>0</v>
      </c>
      <c r="D208" s="61">
        <f t="shared" si="84"/>
        <v>0</v>
      </c>
      <c r="E208" s="61">
        <f t="shared" si="84"/>
        <v>0</v>
      </c>
      <c r="F208" s="61">
        <f t="shared" si="84"/>
        <v>0</v>
      </c>
      <c r="G208" s="61">
        <f t="shared" si="84"/>
        <v>0</v>
      </c>
      <c r="H208" s="61">
        <f t="shared" si="84"/>
        <v>0</v>
      </c>
      <c r="I208" s="61">
        <f t="shared" si="84"/>
        <v>0</v>
      </c>
      <c r="J208" s="61">
        <f t="shared" si="84"/>
        <v>0</v>
      </c>
      <c r="K208" s="61">
        <f t="shared" si="84"/>
        <v>0</v>
      </c>
      <c r="L208" s="61">
        <f t="shared" si="84"/>
        <v>0</v>
      </c>
      <c r="M208" s="61">
        <f t="shared" si="84"/>
        <v>0</v>
      </c>
      <c r="N208" s="61">
        <f t="shared" si="84"/>
        <v>0</v>
      </c>
      <c r="O208" s="61">
        <f t="shared" si="84"/>
        <v>0</v>
      </c>
      <c r="P208" s="61">
        <f t="shared" si="84"/>
        <v>0</v>
      </c>
      <c r="Q208" s="61">
        <f t="shared" si="84"/>
        <v>0</v>
      </c>
      <c r="R208" s="61">
        <f t="shared" si="84"/>
        <v>0</v>
      </c>
      <c r="S208" s="61">
        <f t="shared" si="84"/>
        <v>0</v>
      </c>
      <c r="T208" s="61">
        <f t="shared" si="84"/>
        <v>0</v>
      </c>
      <c r="U208" s="61">
        <f t="shared" si="84"/>
        <v>0</v>
      </c>
      <c r="V208" s="61">
        <f t="shared" si="84"/>
        <v>0</v>
      </c>
      <c r="W208" s="61">
        <f t="shared" si="84"/>
        <v>0</v>
      </c>
      <c r="X208" s="61">
        <f t="shared" si="84"/>
        <v>0</v>
      </c>
      <c r="Y208" s="61">
        <f t="shared" si="84"/>
        <v>0</v>
      </c>
    </row>
    <row r="209" spans="1:28" x14ac:dyDescent="0.25">
      <c r="A209" s="128" t="str">
        <f>A$23</f>
        <v>lot9</v>
      </c>
      <c r="B209" s="61">
        <f t="shared" ref="B209:Y209" si="85">IF(B84=4,B157,0)</f>
        <v>0</v>
      </c>
      <c r="C209" s="61">
        <f t="shared" si="85"/>
        <v>0</v>
      </c>
      <c r="D209" s="61">
        <f t="shared" si="85"/>
        <v>0</v>
      </c>
      <c r="E209" s="61">
        <f t="shared" si="85"/>
        <v>0</v>
      </c>
      <c r="F209" s="61">
        <f t="shared" si="85"/>
        <v>0</v>
      </c>
      <c r="G209" s="61">
        <f t="shared" si="85"/>
        <v>0</v>
      </c>
      <c r="H209" s="61">
        <f t="shared" si="85"/>
        <v>0</v>
      </c>
      <c r="I209" s="61">
        <f t="shared" si="85"/>
        <v>0</v>
      </c>
      <c r="J209" s="61">
        <f t="shared" si="85"/>
        <v>0</v>
      </c>
      <c r="K209" s="61">
        <f t="shared" si="85"/>
        <v>0</v>
      </c>
      <c r="L209" s="61">
        <f t="shared" si="85"/>
        <v>0</v>
      </c>
      <c r="M209" s="61">
        <f t="shared" si="85"/>
        <v>0</v>
      </c>
      <c r="N209" s="61">
        <f t="shared" si="85"/>
        <v>0</v>
      </c>
      <c r="O209" s="61">
        <f t="shared" si="85"/>
        <v>0</v>
      </c>
      <c r="P209" s="61">
        <f t="shared" si="85"/>
        <v>0</v>
      </c>
      <c r="Q209" s="61">
        <f t="shared" si="85"/>
        <v>0</v>
      </c>
      <c r="R209" s="61">
        <f t="shared" si="85"/>
        <v>0</v>
      </c>
      <c r="S209" s="61">
        <f t="shared" si="85"/>
        <v>0</v>
      </c>
      <c r="T209" s="61">
        <f t="shared" si="85"/>
        <v>0</v>
      </c>
      <c r="U209" s="61">
        <f t="shared" si="85"/>
        <v>0</v>
      </c>
      <c r="V209" s="61">
        <f t="shared" si="85"/>
        <v>0</v>
      </c>
      <c r="W209" s="61">
        <f t="shared" si="85"/>
        <v>0</v>
      </c>
      <c r="X209" s="61">
        <f t="shared" si="85"/>
        <v>0</v>
      </c>
      <c r="Y209" s="61">
        <f t="shared" si="85"/>
        <v>0</v>
      </c>
    </row>
    <row r="210" spans="1:28" x14ac:dyDescent="0.25">
      <c r="A210" s="128" t="str">
        <f>A$24</f>
        <v>lot10</v>
      </c>
      <c r="B210" s="61">
        <f t="shared" ref="B210:Y210" si="86">IF(B85=4,B158,0)</f>
        <v>0</v>
      </c>
      <c r="C210" s="61">
        <f t="shared" si="86"/>
        <v>0</v>
      </c>
      <c r="D210" s="61">
        <f t="shared" si="86"/>
        <v>0</v>
      </c>
      <c r="E210" s="61">
        <f t="shared" si="86"/>
        <v>0</v>
      </c>
      <c r="F210" s="61">
        <f t="shared" si="86"/>
        <v>0</v>
      </c>
      <c r="G210" s="61">
        <f t="shared" si="86"/>
        <v>0</v>
      </c>
      <c r="H210" s="61">
        <f t="shared" si="86"/>
        <v>0</v>
      </c>
      <c r="I210" s="61">
        <f t="shared" si="86"/>
        <v>0</v>
      </c>
      <c r="J210" s="61">
        <f t="shared" si="86"/>
        <v>0</v>
      </c>
      <c r="K210" s="61">
        <f t="shared" si="86"/>
        <v>0</v>
      </c>
      <c r="L210" s="61">
        <f t="shared" si="86"/>
        <v>0</v>
      </c>
      <c r="M210" s="61">
        <f t="shared" si="86"/>
        <v>0</v>
      </c>
      <c r="N210" s="61">
        <f t="shared" si="86"/>
        <v>0</v>
      </c>
      <c r="O210" s="61">
        <f t="shared" si="86"/>
        <v>0</v>
      </c>
      <c r="P210" s="61">
        <f t="shared" si="86"/>
        <v>0</v>
      </c>
      <c r="Q210" s="61">
        <f t="shared" si="86"/>
        <v>0</v>
      </c>
      <c r="R210" s="61">
        <f t="shared" si="86"/>
        <v>0</v>
      </c>
      <c r="S210" s="61">
        <f t="shared" si="86"/>
        <v>0</v>
      </c>
      <c r="T210" s="61">
        <f t="shared" si="86"/>
        <v>0</v>
      </c>
      <c r="U210" s="61">
        <f t="shared" si="86"/>
        <v>0</v>
      </c>
      <c r="V210" s="61">
        <f t="shared" si="86"/>
        <v>0</v>
      </c>
      <c r="W210" s="61">
        <f t="shared" si="86"/>
        <v>0</v>
      </c>
      <c r="X210" s="61">
        <f t="shared" si="86"/>
        <v>0</v>
      </c>
      <c r="Y210" s="61">
        <f t="shared" si="86"/>
        <v>0</v>
      </c>
    </row>
    <row r="211" spans="1:28" x14ac:dyDescent="0.25">
      <c r="A211" s="38" t="s">
        <v>315</v>
      </c>
      <c r="B211" s="61">
        <f>SUM(B201:B210)</f>
        <v>0</v>
      </c>
      <c r="C211" s="61">
        <f t="shared" ref="C211:Y211" si="87">SUM(C201:C210)</f>
        <v>0</v>
      </c>
      <c r="D211" s="61">
        <f t="shared" si="87"/>
        <v>0</v>
      </c>
      <c r="E211" s="61">
        <f t="shared" si="87"/>
        <v>0</v>
      </c>
      <c r="F211" s="61">
        <f t="shared" si="87"/>
        <v>0</v>
      </c>
      <c r="G211" s="61">
        <f t="shared" si="87"/>
        <v>0</v>
      </c>
      <c r="H211" s="61">
        <f t="shared" si="87"/>
        <v>0</v>
      </c>
      <c r="I211" s="61">
        <f t="shared" si="87"/>
        <v>0</v>
      </c>
      <c r="J211" s="61">
        <f t="shared" si="87"/>
        <v>0</v>
      </c>
      <c r="K211" s="61">
        <f t="shared" si="87"/>
        <v>0</v>
      </c>
      <c r="L211" s="61">
        <f t="shared" si="87"/>
        <v>0</v>
      </c>
      <c r="M211" s="61">
        <f t="shared" si="87"/>
        <v>0</v>
      </c>
      <c r="N211" s="61">
        <f t="shared" si="87"/>
        <v>0</v>
      </c>
      <c r="O211" s="61">
        <f t="shared" si="87"/>
        <v>0</v>
      </c>
      <c r="P211" s="61">
        <f t="shared" si="87"/>
        <v>0</v>
      </c>
      <c r="Q211" s="61">
        <f t="shared" si="87"/>
        <v>0</v>
      </c>
      <c r="R211" s="61">
        <f t="shared" si="87"/>
        <v>0</v>
      </c>
      <c r="S211" s="61">
        <f t="shared" si="87"/>
        <v>0</v>
      </c>
      <c r="T211" s="61">
        <f t="shared" si="87"/>
        <v>0</v>
      </c>
      <c r="U211" s="61">
        <f t="shared" si="87"/>
        <v>0</v>
      </c>
      <c r="V211" s="61">
        <f t="shared" si="87"/>
        <v>0</v>
      </c>
      <c r="W211" s="61">
        <f t="shared" si="87"/>
        <v>0</v>
      </c>
      <c r="X211" s="61">
        <f t="shared" si="87"/>
        <v>0</v>
      </c>
      <c r="Y211" s="61">
        <f t="shared" si="87"/>
        <v>0</v>
      </c>
      <c r="AA211" s="64">
        <f>SUM(B211:Y211)</f>
        <v>0</v>
      </c>
      <c r="AB211" t="s">
        <v>214</v>
      </c>
    </row>
    <row r="214" spans="1:28" x14ac:dyDescent="0.25">
      <c r="A214" s="2" t="s">
        <v>217</v>
      </c>
    </row>
    <row r="215" spans="1:28" x14ac:dyDescent="0.25">
      <c r="A215" s="38" t="s">
        <v>218</v>
      </c>
      <c r="B215" s="61">
        <f>B172</f>
        <v>0</v>
      </c>
      <c r="C215" s="61">
        <f t="shared" ref="C215:Y215" si="88">C172</f>
        <v>0</v>
      </c>
      <c r="D215" s="61">
        <f t="shared" si="88"/>
        <v>0</v>
      </c>
      <c r="E215" s="61">
        <f t="shared" si="88"/>
        <v>0</v>
      </c>
      <c r="F215" s="61">
        <f t="shared" si="88"/>
        <v>0</v>
      </c>
      <c r="G215" s="61">
        <f t="shared" si="88"/>
        <v>0</v>
      </c>
      <c r="H215" s="61">
        <f t="shared" si="88"/>
        <v>0</v>
      </c>
      <c r="I215" s="61">
        <f t="shared" si="88"/>
        <v>0</v>
      </c>
      <c r="J215" s="61">
        <f t="shared" si="88"/>
        <v>0</v>
      </c>
      <c r="K215" s="61">
        <f t="shared" si="88"/>
        <v>0</v>
      </c>
      <c r="L215" s="61">
        <f t="shared" si="88"/>
        <v>0</v>
      </c>
      <c r="M215" s="61">
        <f t="shared" si="88"/>
        <v>0</v>
      </c>
      <c r="N215" s="61">
        <f t="shared" si="88"/>
        <v>0</v>
      </c>
      <c r="O215" s="61">
        <f t="shared" si="88"/>
        <v>0</v>
      </c>
      <c r="P215" s="61">
        <f t="shared" si="88"/>
        <v>0</v>
      </c>
      <c r="Q215" s="61">
        <f t="shared" si="88"/>
        <v>0</v>
      </c>
      <c r="R215" s="61">
        <f t="shared" si="88"/>
        <v>0</v>
      </c>
      <c r="S215" s="61">
        <f t="shared" si="88"/>
        <v>0</v>
      </c>
      <c r="T215" s="61">
        <f t="shared" si="88"/>
        <v>0</v>
      </c>
      <c r="U215" s="61">
        <f t="shared" si="88"/>
        <v>0</v>
      </c>
      <c r="V215" s="61">
        <f t="shared" si="88"/>
        <v>0</v>
      </c>
      <c r="W215" s="61">
        <f t="shared" si="88"/>
        <v>0</v>
      </c>
      <c r="X215" s="61">
        <f t="shared" si="88"/>
        <v>0</v>
      </c>
      <c r="Y215" s="61">
        <f t="shared" si="88"/>
        <v>0</v>
      </c>
    </row>
    <row r="216" spans="1:28" x14ac:dyDescent="0.25">
      <c r="A216" s="38" t="s">
        <v>219</v>
      </c>
      <c r="B216" s="61">
        <f>B185</f>
        <v>0</v>
      </c>
      <c r="C216" s="61">
        <f t="shared" ref="C216:Y216" si="89">C185</f>
        <v>0</v>
      </c>
      <c r="D216" s="61">
        <f t="shared" si="89"/>
        <v>0</v>
      </c>
      <c r="E216" s="61">
        <f t="shared" si="89"/>
        <v>0</v>
      </c>
      <c r="F216" s="61">
        <f t="shared" si="89"/>
        <v>0</v>
      </c>
      <c r="G216" s="61">
        <f t="shared" si="89"/>
        <v>0</v>
      </c>
      <c r="H216" s="61">
        <f t="shared" si="89"/>
        <v>0</v>
      </c>
      <c r="I216" s="61">
        <f t="shared" si="89"/>
        <v>0</v>
      </c>
      <c r="J216" s="61">
        <f t="shared" si="89"/>
        <v>0</v>
      </c>
      <c r="K216" s="61">
        <f t="shared" si="89"/>
        <v>0</v>
      </c>
      <c r="L216" s="61">
        <f t="shared" si="89"/>
        <v>0</v>
      </c>
      <c r="M216" s="61">
        <f t="shared" si="89"/>
        <v>0</v>
      </c>
      <c r="N216" s="61">
        <f t="shared" si="89"/>
        <v>0</v>
      </c>
      <c r="O216" s="61">
        <f t="shared" si="89"/>
        <v>0</v>
      </c>
      <c r="P216" s="61">
        <f t="shared" si="89"/>
        <v>0</v>
      </c>
      <c r="Q216" s="61">
        <f t="shared" si="89"/>
        <v>0</v>
      </c>
      <c r="R216" s="61">
        <f t="shared" si="89"/>
        <v>0</v>
      </c>
      <c r="S216" s="61">
        <f t="shared" si="89"/>
        <v>0</v>
      </c>
      <c r="T216" s="61">
        <f t="shared" si="89"/>
        <v>0</v>
      </c>
      <c r="U216" s="61">
        <f t="shared" si="89"/>
        <v>0</v>
      </c>
      <c r="V216" s="61">
        <f t="shared" si="89"/>
        <v>0</v>
      </c>
      <c r="W216" s="61">
        <f t="shared" si="89"/>
        <v>0</v>
      </c>
      <c r="X216" s="61">
        <f t="shared" si="89"/>
        <v>0</v>
      </c>
      <c r="Y216" s="61">
        <f t="shared" si="89"/>
        <v>0</v>
      </c>
    </row>
    <row r="217" spans="1:28" x14ac:dyDescent="0.25">
      <c r="A217" s="38" t="s">
        <v>220</v>
      </c>
      <c r="B217" s="61">
        <f>B198</f>
        <v>0</v>
      </c>
      <c r="C217" s="61">
        <f t="shared" ref="C217:Y217" si="90">C198</f>
        <v>0</v>
      </c>
      <c r="D217" s="61">
        <f t="shared" si="90"/>
        <v>0</v>
      </c>
      <c r="E217" s="61">
        <f t="shared" si="90"/>
        <v>0</v>
      </c>
      <c r="F217" s="61">
        <f t="shared" si="90"/>
        <v>0</v>
      </c>
      <c r="G217" s="61">
        <f t="shared" si="90"/>
        <v>0</v>
      </c>
      <c r="H217" s="61">
        <f t="shared" si="90"/>
        <v>0</v>
      </c>
      <c r="I217" s="61">
        <f t="shared" si="90"/>
        <v>0</v>
      </c>
      <c r="J217" s="61">
        <f t="shared" si="90"/>
        <v>0</v>
      </c>
      <c r="K217" s="61">
        <f t="shared" si="90"/>
        <v>0</v>
      </c>
      <c r="L217" s="61">
        <f t="shared" si="90"/>
        <v>0</v>
      </c>
      <c r="M217" s="61">
        <f t="shared" si="90"/>
        <v>0</v>
      </c>
      <c r="N217" s="61">
        <f t="shared" si="90"/>
        <v>0</v>
      </c>
      <c r="O217" s="61">
        <f t="shared" si="90"/>
        <v>0</v>
      </c>
      <c r="P217" s="61">
        <f t="shared" si="90"/>
        <v>0</v>
      </c>
      <c r="Q217" s="61">
        <f t="shared" si="90"/>
        <v>0</v>
      </c>
      <c r="R217" s="61">
        <f t="shared" si="90"/>
        <v>0</v>
      </c>
      <c r="S217" s="61">
        <f t="shared" si="90"/>
        <v>0</v>
      </c>
      <c r="T217" s="61">
        <f t="shared" si="90"/>
        <v>0</v>
      </c>
      <c r="U217" s="61">
        <f t="shared" si="90"/>
        <v>0</v>
      </c>
      <c r="V217" s="61">
        <f t="shared" si="90"/>
        <v>0</v>
      </c>
      <c r="W217" s="61">
        <f t="shared" si="90"/>
        <v>0</v>
      </c>
      <c r="X217" s="61">
        <f t="shared" si="90"/>
        <v>0</v>
      </c>
      <c r="Y217" s="61">
        <f t="shared" si="90"/>
        <v>0</v>
      </c>
    </row>
    <row r="218" spans="1:28" x14ac:dyDescent="0.25">
      <c r="A218" s="38" t="s">
        <v>221</v>
      </c>
      <c r="B218" s="61">
        <f>B211</f>
        <v>0</v>
      </c>
      <c r="C218" s="61">
        <f t="shared" ref="C218:Y218" si="91">C211</f>
        <v>0</v>
      </c>
      <c r="D218" s="61">
        <f t="shared" si="91"/>
        <v>0</v>
      </c>
      <c r="E218" s="61">
        <f t="shared" si="91"/>
        <v>0</v>
      </c>
      <c r="F218" s="61">
        <f t="shared" si="91"/>
        <v>0</v>
      </c>
      <c r="G218" s="61">
        <f t="shared" si="91"/>
        <v>0</v>
      </c>
      <c r="H218" s="61">
        <f t="shared" si="91"/>
        <v>0</v>
      </c>
      <c r="I218" s="61">
        <f t="shared" si="91"/>
        <v>0</v>
      </c>
      <c r="J218" s="61">
        <f t="shared" si="91"/>
        <v>0</v>
      </c>
      <c r="K218" s="61">
        <f t="shared" si="91"/>
        <v>0</v>
      </c>
      <c r="L218" s="61">
        <f t="shared" si="91"/>
        <v>0</v>
      </c>
      <c r="M218" s="61">
        <f t="shared" si="91"/>
        <v>0</v>
      </c>
      <c r="N218" s="61">
        <f t="shared" si="91"/>
        <v>0</v>
      </c>
      <c r="O218" s="61">
        <f t="shared" si="91"/>
        <v>0</v>
      </c>
      <c r="P218" s="61">
        <f t="shared" si="91"/>
        <v>0</v>
      </c>
      <c r="Q218" s="61">
        <f t="shared" si="91"/>
        <v>0</v>
      </c>
      <c r="R218" s="61">
        <f t="shared" si="91"/>
        <v>0</v>
      </c>
      <c r="S218" s="61">
        <f t="shared" si="91"/>
        <v>0</v>
      </c>
      <c r="T218" s="61">
        <f t="shared" si="91"/>
        <v>0</v>
      </c>
      <c r="U218" s="61">
        <f t="shared" si="91"/>
        <v>0</v>
      </c>
      <c r="V218" s="61">
        <f t="shared" si="91"/>
        <v>0</v>
      </c>
      <c r="W218" s="61">
        <f t="shared" si="91"/>
        <v>0</v>
      </c>
      <c r="X218" s="61">
        <f t="shared" si="91"/>
        <v>0</v>
      </c>
      <c r="Y218" s="61">
        <f t="shared" si="91"/>
        <v>0</v>
      </c>
    </row>
    <row r="219" spans="1:28" x14ac:dyDescent="0.25">
      <c r="AA219" s="30">
        <f>SUM(B215:Y218)</f>
        <v>0</v>
      </c>
      <c r="AB219" t="s">
        <v>223</v>
      </c>
    </row>
    <row r="220" spans="1:28" x14ac:dyDescent="0.25">
      <c r="AA220" s="30">
        <f>SUM(B215:Y217)</f>
        <v>0</v>
      </c>
      <c r="AB220" t="s">
        <v>224</v>
      </c>
    </row>
    <row r="221" spans="1:28" x14ac:dyDescent="0.25">
      <c r="AA221" s="30">
        <f>SUM(B218:Y218)</f>
        <v>0</v>
      </c>
      <c r="AB221" t="s">
        <v>225</v>
      </c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1"/>
  <sheetViews>
    <sheetView workbookViewId="0">
      <pane ySplit="1" topLeftCell="A2" activePane="bottomLeft" state="frozen"/>
      <selection pane="bottomLeft" activeCell="AK18" sqref="AK18:AK52"/>
    </sheetView>
  </sheetViews>
  <sheetFormatPr baseColWidth="10" defaultRowHeight="15" x14ac:dyDescent="0.25"/>
  <cols>
    <col min="1" max="1" width="25.7109375" customWidth="1"/>
    <col min="2" max="2" width="5.5703125" style="82" customWidth="1"/>
    <col min="3" max="25" width="4.85546875" style="82" customWidth="1"/>
    <col min="26" max="26" width="2.5703125" style="5" customWidth="1"/>
    <col min="27" max="27" width="9.28515625" customWidth="1"/>
    <col min="28" max="28" width="9" customWidth="1"/>
    <col min="29" max="29" width="35.85546875" bestFit="1" customWidth="1"/>
    <col min="30" max="30" width="4.5703125" customWidth="1"/>
    <col min="31" max="31" width="3" style="17" customWidth="1"/>
    <col min="33" max="33" width="25" customWidth="1"/>
    <col min="34" max="34" width="6.28515625" customWidth="1"/>
    <col min="36" max="36" width="8.42578125" customWidth="1"/>
    <col min="37" max="83" width="4.85546875" customWidth="1"/>
  </cols>
  <sheetData>
    <row r="1" spans="1:37" x14ac:dyDescent="0.25">
      <c r="B1" s="305" t="s">
        <v>2</v>
      </c>
      <c r="C1" s="305"/>
      <c r="D1" s="305" t="s">
        <v>0</v>
      </c>
      <c r="E1" s="305"/>
      <c r="F1" s="305" t="s">
        <v>1</v>
      </c>
      <c r="G1" s="305"/>
      <c r="H1" s="305" t="s">
        <v>3</v>
      </c>
      <c r="I1" s="305"/>
      <c r="J1" s="305" t="s">
        <v>4</v>
      </c>
      <c r="K1" s="305"/>
      <c r="L1" s="305" t="s">
        <v>5</v>
      </c>
      <c r="M1" s="305"/>
      <c r="N1" s="305" t="s">
        <v>6</v>
      </c>
      <c r="O1" s="305"/>
      <c r="P1" s="305" t="s">
        <v>7</v>
      </c>
      <c r="Q1" s="305"/>
      <c r="R1" s="305" t="s">
        <v>8</v>
      </c>
      <c r="S1" s="305"/>
      <c r="T1" s="305" t="s">
        <v>9</v>
      </c>
      <c r="U1" s="305"/>
      <c r="V1" s="305" t="s">
        <v>10</v>
      </c>
      <c r="W1" s="305"/>
      <c r="X1" s="305" t="s">
        <v>11</v>
      </c>
      <c r="Y1" s="305"/>
      <c r="Z1" s="83"/>
      <c r="AA1" t="s">
        <v>177</v>
      </c>
    </row>
    <row r="2" spans="1:37" x14ac:dyDescent="0.25">
      <c r="B2" s="82">
        <v>1</v>
      </c>
      <c r="C2" s="82">
        <v>2</v>
      </c>
      <c r="D2" s="82">
        <v>3</v>
      </c>
      <c r="E2" s="82">
        <v>4</v>
      </c>
      <c r="F2" s="82">
        <v>5</v>
      </c>
      <c r="G2" s="82">
        <v>6</v>
      </c>
      <c r="H2" s="82">
        <v>7</v>
      </c>
      <c r="I2" s="82">
        <v>8</v>
      </c>
      <c r="J2" s="82">
        <v>9</v>
      </c>
      <c r="K2" s="82">
        <v>10</v>
      </c>
      <c r="L2" s="82">
        <v>11</v>
      </c>
      <c r="M2" s="82">
        <v>12</v>
      </c>
      <c r="N2" s="82">
        <v>13</v>
      </c>
      <c r="O2" s="82">
        <v>14</v>
      </c>
      <c r="P2" s="82">
        <v>15</v>
      </c>
      <c r="Q2" s="82">
        <v>16</v>
      </c>
      <c r="R2" s="82">
        <v>17</v>
      </c>
      <c r="S2" s="82">
        <v>18</v>
      </c>
      <c r="T2" s="82">
        <v>19</v>
      </c>
      <c r="U2" s="82">
        <v>20</v>
      </c>
      <c r="V2" s="82">
        <v>21</v>
      </c>
      <c r="W2" s="82">
        <v>22</v>
      </c>
      <c r="X2" s="82">
        <v>23</v>
      </c>
      <c r="Y2" s="82">
        <v>24</v>
      </c>
    </row>
    <row r="3" spans="1:37" x14ac:dyDescent="0.25">
      <c r="A3" t="s">
        <v>176</v>
      </c>
      <c r="B3" s="82">
        <v>15.5</v>
      </c>
      <c r="C3" s="82">
        <v>15.5</v>
      </c>
      <c r="D3" s="82">
        <v>14</v>
      </c>
      <c r="E3" s="82">
        <v>14</v>
      </c>
      <c r="F3" s="82">
        <v>15.5</v>
      </c>
      <c r="G3" s="82">
        <v>15.5</v>
      </c>
      <c r="H3" s="82">
        <v>15</v>
      </c>
      <c r="I3" s="82">
        <v>15</v>
      </c>
      <c r="J3" s="82">
        <v>15.5</v>
      </c>
      <c r="K3" s="82">
        <v>15.5</v>
      </c>
      <c r="L3" s="82">
        <v>15</v>
      </c>
      <c r="M3" s="82">
        <v>15</v>
      </c>
      <c r="N3" s="82">
        <v>15.5</v>
      </c>
      <c r="O3" s="82">
        <v>15.5</v>
      </c>
      <c r="P3" s="82">
        <v>15.5</v>
      </c>
      <c r="Q3" s="82">
        <v>15.5</v>
      </c>
      <c r="R3" s="82">
        <v>15</v>
      </c>
      <c r="S3" s="82">
        <v>15</v>
      </c>
      <c r="T3" s="82">
        <v>15.5</v>
      </c>
      <c r="U3" s="82">
        <v>15.5</v>
      </c>
      <c r="V3" s="82">
        <v>15</v>
      </c>
      <c r="W3" s="82">
        <v>15</v>
      </c>
      <c r="X3" s="82">
        <v>15.5</v>
      </c>
      <c r="Y3" s="82">
        <v>15.5</v>
      </c>
      <c r="AA3">
        <f>SUM(B3:Y3)</f>
        <v>365</v>
      </c>
      <c r="AB3" t="s">
        <v>35</v>
      </c>
      <c r="AC3" s="2" t="s">
        <v>181</v>
      </c>
    </row>
    <row r="4" spans="1:37" x14ac:dyDescent="0.25">
      <c r="A4" s="2" t="s">
        <v>327</v>
      </c>
      <c r="AC4" t="s">
        <v>182</v>
      </c>
      <c r="AF4" s="45"/>
    </row>
    <row r="5" spans="1:37" x14ac:dyDescent="0.25">
      <c r="A5" s="51" t="s">
        <v>328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52"/>
      <c r="AC5" t="s">
        <v>183</v>
      </c>
      <c r="AE5" s="17">
        <v>2</v>
      </c>
      <c r="AF5" s="125">
        <f>HLOOKUP(AF$4,[1]Anx!$C$36:$CO$48,AE5)</f>
        <v>0</v>
      </c>
      <c r="AG5" s="5"/>
    </row>
    <row r="6" spans="1:37" x14ac:dyDescent="0.25">
      <c r="A6" s="51" t="s">
        <v>329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52"/>
      <c r="AC6" t="s">
        <v>198</v>
      </c>
      <c r="AD6">
        <v>1</v>
      </c>
      <c r="AE6" s="17">
        <v>3</v>
      </c>
      <c r="AF6" s="125">
        <f>HLOOKUP(AF$4,[1]Anx!$C$36:$CO$48,AE6)</f>
        <v>0</v>
      </c>
      <c r="AG6" t="s">
        <v>193</v>
      </c>
    </row>
    <row r="7" spans="1:37" x14ac:dyDescent="0.25">
      <c r="A7" s="137" t="s">
        <v>331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52"/>
      <c r="AC7" t="s">
        <v>199</v>
      </c>
      <c r="AD7">
        <v>2</v>
      </c>
      <c r="AE7" s="17">
        <v>4</v>
      </c>
      <c r="AF7" s="125">
        <f>HLOOKUP(AF$4,[1]Anx!$C$36:$CO$48,AE7)</f>
        <v>0</v>
      </c>
      <c r="AG7" t="s">
        <v>194</v>
      </c>
    </row>
    <row r="8" spans="1:37" x14ac:dyDescent="0.25">
      <c r="A8" s="51" t="s">
        <v>330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52"/>
      <c r="AC8" t="s">
        <v>200</v>
      </c>
      <c r="AD8">
        <v>3</v>
      </c>
      <c r="AE8" s="17">
        <v>5</v>
      </c>
      <c r="AF8" s="125">
        <f>HLOOKUP(AF$4,[1]Anx!$C$36:$CO$48,AE8)</f>
        <v>0</v>
      </c>
      <c r="AG8" t="s">
        <v>195</v>
      </c>
    </row>
    <row r="9" spans="1:37" x14ac:dyDescent="0.25">
      <c r="A9" s="51" t="s">
        <v>165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52"/>
      <c r="AC9" t="s">
        <v>201</v>
      </c>
      <c r="AD9">
        <v>4</v>
      </c>
      <c r="AE9" s="17">
        <v>6</v>
      </c>
      <c r="AF9" s="125">
        <f>HLOOKUP(AF$4,[1]Anx!$C$36:$CO$48,AE9)</f>
        <v>0</v>
      </c>
      <c r="AG9" t="s">
        <v>196</v>
      </c>
    </row>
    <row r="10" spans="1:37" x14ac:dyDescent="0.25">
      <c r="A10" s="51" t="s">
        <v>166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52"/>
      <c r="AC10" t="s">
        <v>202</v>
      </c>
      <c r="AD10">
        <v>5</v>
      </c>
      <c r="AE10" s="17">
        <v>7</v>
      </c>
      <c r="AF10" s="125">
        <f>HLOOKUP(AF$4,[1]Anx!$C$36:$CO$48,AE10)</f>
        <v>0</v>
      </c>
      <c r="AG10" t="s">
        <v>197</v>
      </c>
    </row>
    <row r="11" spans="1:37" x14ac:dyDescent="0.25">
      <c r="A11" s="51" t="s">
        <v>167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52"/>
      <c r="AC11" t="s">
        <v>289</v>
      </c>
      <c r="AE11" s="17">
        <v>10</v>
      </c>
      <c r="AF11" s="125">
        <f>HLOOKUP(AF$4,[1]Anx!$C$36:$CO$48,AE11)</f>
        <v>0</v>
      </c>
    </row>
    <row r="12" spans="1:37" x14ac:dyDescent="0.25">
      <c r="A12" s="51" t="s">
        <v>168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AC12" t="s">
        <v>290</v>
      </c>
      <c r="AE12" s="17">
        <v>11</v>
      </c>
      <c r="AF12" s="125">
        <f>HLOOKUP(AF$4,[1]Anx!$C$36:$CO$48,AE12)</f>
        <v>0</v>
      </c>
    </row>
    <row r="13" spans="1:37" x14ac:dyDescent="0.25">
      <c r="A13" s="2" t="s">
        <v>12</v>
      </c>
      <c r="B13" s="65" t="s">
        <v>174</v>
      </c>
    </row>
    <row r="14" spans="1:37" x14ac:dyDescent="0.25">
      <c r="A14" s="44" t="s">
        <v>173</v>
      </c>
    </row>
    <row r="15" spans="1:37" x14ac:dyDescent="0.25">
      <c r="A15" s="50" t="s">
        <v>227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52"/>
      <c r="AK15" t="s">
        <v>190</v>
      </c>
    </row>
    <row r="16" spans="1:37" x14ac:dyDescent="0.25">
      <c r="A16" s="50" t="s">
        <v>156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52"/>
      <c r="AC16" s="2" t="s">
        <v>421</v>
      </c>
      <c r="AI16" t="s">
        <v>287</v>
      </c>
      <c r="AK16" t="s">
        <v>411</v>
      </c>
    </row>
    <row r="17" spans="1:83" x14ac:dyDescent="0.25">
      <c r="A17" s="50" t="s">
        <v>157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52"/>
      <c r="AG17" t="s">
        <v>285</v>
      </c>
      <c r="AH17" t="s">
        <v>286</v>
      </c>
      <c r="AI17" t="s">
        <v>320</v>
      </c>
      <c r="AK17" s="4">
        <v>1</v>
      </c>
      <c r="AL17" s="4">
        <v>2</v>
      </c>
      <c r="AM17" s="4">
        <v>3</v>
      </c>
      <c r="AN17" s="4">
        <v>4</v>
      </c>
      <c r="AO17" s="4">
        <v>5</v>
      </c>
      <c r="AP17" s="4">
        <v>6</v>
      </c>
      <c r="AQ17" s="4">
        <v>7</v>
      </c>
      <c r="AR17" s="4">
        <v>8</v>
      </c>
      <c r="AS17" s="4">
        <v>9</v>
      </c>
      <c r="AT17" s="4">
        <v>10</v>
      </c>
      <c r="AU17" s="4">
        <v>11</v>
      </c>
      <c r="AV17" s="4">
        <v>12</v>
      </c>
      <c r="AW17" s="4">
        <v>13</v>
      </c>
      <c r="AX17" s="4">
        <v>14</v>
      </c>
      <c r="AY17" s="4">
        <v>15</v>
      </c>
      <c r="AZ17" s="4">
        <v>16</v>
      </c>
      <c r="BA17" s="4">
        <v>17</v>
      </c>
      <c r="BB17" s="4">
        <v>18</v>
      </c>
      <c r="BC17" s="4">
        <v>19</v>
      </c>
      <c r="BD17" s="4">
        <v>20</v>
      </c>
      <c r="BE17" s="4">
        <v>21</v>
      </c>
      <c r="BF17" s="4">
        <v>22</v>
      </c>
      <c r="BG17" s="4">
        <v>23</v>
      </c>
      <c r="BH17" s="4">
        <v>24</v>
      </c>
      <c r="BI17" s="4">
        <v>25</v>
      </c>
      <c r="BJ17" s="4">
        <v>26</v>
      </c>
      <c r="BK17" s="4">
        <v>27</v>
      </c>
      <c r="BL17" s="4">
        <v>28</v>
      </c>
      <c r="BM17" s="4">
        <v>29</v>
      </c>
      <c r="BN17" s="4">
        <v>30</v>
      </c>
      <c r="BO17" s="4">
        <v>31</v>
      </c>
      <c r="BP17" s="4">
        <v>32</v>
      </c>
      <c r="BQ17" s="4">
        <v>33</v>
      </c>
      <c r="BR17" s="4">
        <v>34</v>
      </c>
      <c r="BS17" s="4">
        <v>35</v>
      </c>
      <c r="BT17" s="4">
        <v>36</v>
      </c>
      <c r="BU17" s="4">
        <v>37</v>
      </c>
      <c r="BV17" s="4">
        <v>38</v>
      </c>
      <c r="BW17" s="4">
        <v>39</v>
      </c>
      <c r="BX17" s="4">
        <v>40</v>
      </c>
      <c r="BY17" s="4">
        <v>41</v>
      </c>
      <c r="BZ17" s="4">
        <v>42</v>
      </c>
      <c r="CA17" s="4">
        <v>43</v>
      </c>
      <c r="CB17" s="4">
        <v>44</v>
      </c>
      <c r="CC17" s="4">
        <v>45</v>
      </c>
      <c r="CD17" s="4">
        <v>46</v>
      </c>
      <c r="CE17" s="4">
        <v>47</v>
      </c>
    </row>
    <row r="18" spans="1:83" x14ac:dyDescent="0.25">
      <c r="A18" s="50" t="s">
        <v>158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52"/>
      <c r="AC18" t="s">
        <v>376</v>
      </c>
      <c r="AE18" s="17">
        <v>2</v>
      </c>
      <c r="AG18" s="126">
        <f>HLOOKUP(AF$4,[1]Anx!$C$86:$CO$121,AE18)</f>
        <v>0</v>
      </c>
      <c r="AH18" s="61">
        <f>VALUE(LEFT(AG18,2))</f>
        <v>0</v>
      </c>
      <c r="AI18" s="126">
        <f>Troupeau!E72</f>
        <v>0</v>
      </c>
      <c r="AK18" s="54">
        <f>IF($AH18=AK$17,ROUND($AI18/1000,1),0)</f>
        <v>0</v>
      </c>
      <c r="AL18" s="54">
        <f>IF($AH18=AL$17,ROUND($AI18/1000,1),0)</f>
        <v>0</v>
      </c>
      <c r="AM18" s="54">
        <f>IF($AH18=AM$17,ROUND($AI18/1000,1),0)</f>
        <v>0</v>
      </c>
      <c r="AN18" s="54">
        <f t="shared" ref="AN18:BC33" si="0">IF($AH18=AN$17,ROUND($AI18/1000,1),0)</f>
        <v>0</v>
      </c>
      <c r="AO18" s="54">
        <f t="shared" si="0"/>
        <v>0</v>
      </c>
      <c r="AP18" s="54">
        <f t="shared" si="0"/>
        <v>0</v>
      </c>
      <c r="AQ18" s="54">
        <f t="shared" si="0"/>
        <v>0</v>
      </c>
      <c r="AR18" s="54">
        <f t="shared" si="0"/>
        <v>0</v>
      </c>
      <c r="AS18" s="54">
        <f t="shared" si="0"/>
        <v>0</v>
      </c>
      <c r="AT18" s="54">
        <f t="shared" si="0"/>
        <v>0</v>
      </c>
      <c r="AU18" s="54">
        <f t="shared" si="0"/>
        <v>0</v>
      </c>
      <c r="AV18" s="54">
        <f t="shared" si="0"/>
        <v>0</v>
      </c>
      <c r="AW18" s="54">
        <f t="shared" si="0"/>
        <v>0</v>
      </c>
      <c r="AX18" s="54">
        <f t="shared" si="0"/>
        <v>0</v>
      </c>
      <c r="AY18" s="54">
        <f t="shared" si="0"/>
        <v>0</v>
      </c>
      <c r="AZ18" s="54">
        <f t="shared" si="0"/>
        <v>0</v>
      </c>
      <c r="BA18" s="54">
        <f t="shared" si="0"/>
        <v>0</v>
      </c>
      <c r="BB18" s="54">
        <f t="shared" si="0"/>
        <v>0</v>
      </c>
      <c r="BC18" s="54">
        <f t="shared" si="0"/>
        <v>0</v>
      </c>
      <c r="BD18" s="54">
        <f t="shared" ref="BD18:CE27" si="1">IF($AH18=BD$17,ROUND($AI18/1000,1),0)</f>
        <v>0</v>
      </c>
      <c r="BE18" s="54">
        <f t="shared" si="1"/>
        <v>0</v>
      </c>
      <c r="BF18" s="54">
        <f t="shared" si="1"/>
        <v>0</v>
      </c>
      <c r="BG18" s="54">
        <f t="shared" si="1"/>
        <v>0</v>
      </c>
      <c r="BH18" s="54">
        <f t="shared" si="1"/>
        <v>0</v>
      </c>
      <c r="BI18" s="54">
        <f t="shared" si="1"/>
        <v>0</v>
      </c>
      <c r="BJ18" s="54">
        <f t="shared" si="1"/>
        <v>0</v>
      </c>
      <c r="BK18" s="54">
        <f t="shared" si="1"/>
        <v>0</v>
      </c>
      <c r="BL18" s="54">
        <f t="shared" si="1"/>
        <v>0</v>
      </c>
      <c r="BM18" s="54">
        <f t="shared" si="1"/>
        <v>0</v>
      </c>
      <c r="BN18" s="54">
        <f t="shared" si="1"/>
        <v>0</v>
      </c>
      <c r="BO18" s="54">
        <f t="shared" si="1"/>
        <v>0</v>
      </c>
      <c r="BP18" s="54">
        <f t="shared" si="1"/>
        <v>0</v>
      </c>
      <c r="BQ18" s="54">
        <f t="shared" si="1"/>
        <v>0</v>
      </c>
      <c r="BR18" s="54">
        <f t="shared" si="1"/>
        <v>0</v>
      </c>
      <c r="BS18" s="54">
        <f t="shared" si="1"/>
        <v>0</v>
      </c>
      <c r="BT18" s="54">
        <f t="shared" si="1"/>
        <v>0</v>
      </c>
      <c r="BU18" s="54">
        <f t="shared" si="1"/>
        <v>0</v>
      </c>
      <c r="BV18" s="54">
        <f t="shared" si="1"/>
        <v>0</v>
      </c>
      <c r="BW18" s="54">
        <f t="shared" si="1"/>
        <v>0</v>
      </c>
      <c r="BX18" s="54">
        <f t="shared" si="1"/>
        <v>0</v>
      </c>
      <c r="BY18" s="54">
        <f t="shared" si="1"/>
        <v>0</v>
      </c>
      <c r="BZ18" s="54">
        <f t="shared" si="1"/>
        <v>0</v>
      </c>
      <c r="CA18" s="54">
        <f t="shared" si="1"/>
        <v>0</v>
      </c>
      <c r="CB18" s="54">
        <f t="shared" si="1"/>
        <v>0</v>
      </c>
      <c r="CC18" s="54">
        <f t="shared" si="1"/>
        <v>0</v>
      </c>
      <c r="CD18" s="54">
        <f t="shared" si="1"/>
        <v>0</v>
      </c>
      <c r="CE18" s="54">
        <f t="shared" si="1"/>
        <v>0</v>
      </c>
    </row>
    <row r="19" spans="1:83" x14ac:dyDescent="0.25">
      <c r="A19" s="50" t="s">
        <v>159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52"/>
      <c r="AC19" t="s">
        <v>377</v>
      </c>
      <c r="AE19" s="17">
        <v>3</v>
      </c>
      <c r="AG19" s="126">
        <f>HLOOKUP(AF$4,[1]Anx!$C$86:$CO$121,AE19)</f>
        <v>0</v>
      </c>
      <c r="AH19" s="61">
        <f t="shared" ref="AH19:AH31" si="2">VALUE(LEFT(AG19,2))</f>
        <v>0</v>
      </c>
      <c r="AI19" s="126">
        <f>Troupeau!E73</f>
        <v>0</v>
      </c>
      <c r="AK19" s="54">
        <f t="shared" ref="AK19:AK52" si="3">IF($AH19=AK$17,ROUND($AI19/1000,1),0)</f>
        <v>0</v>
      </c>
      <c r="AL19" s="54">
        <f t="shared" ref="AL19:AM34" si="4">IF($AH19=AL$17,ROUND($AI19/1000,1),0)</f>
        <v>0</v>
      </c>
      <c r="AM19" s="54">
        <f t="shared" si="4"/>
        <v>0</v>
      </c>
      <c r="AN19" s="54">
        <f t="shared" si="0"/>
        <v>0</v>
      </c>
      <c r="AO19" s="54">
        <f t="shared" si="0"/>
        <v>0</v>
      </c>
      <c r="AP19" s="54">
        <f t="shared" si="0"/>
        <v>0</v>
      </c>
      <c r="AQ19" s="54">
        <f t="shared" si="0"/>
        <v>0</v>
      </c>
      <c r="AR19" s="54">
        <f t="shared" si="0"/>
        <v>0</v>
      </c>
      <c r="AS19" s="54">
        <f t="shared" si="0"/>
        <v>0</v>
      </c>
      <c r="AT19" s="54">
        <f t="shared" si="0"/>
        <v>0</v>
      </c>
      <c r="AU19" s="54">
        <f t="shared" si="0"/>
        <v>0</v>
      </c>
      <c r="AV19" s="54">
        <f t="shared" si="0"/>
        <v>0</v>
      </c>
      <c r="AW19" s="54">
        <f t="shared" si="0"/>
        <v>0</v>
      </c>
      <c r="AX19" s="54">
        <f t="shared" si="0"/>
        <v>0</v>
      </c>
      <c r="AY19" s="54">
        <f t="shared" si="0"/>
        <v>0</v>
      </c>
      <c r="AZ19" s="54">
        <f t="shared" si="0"/>
        <v>0</v>
      </c>
      <c r="BA19" s="54">
        <f t="shared" si="0"/>
        <v>0</v>
      </c>
      <c r="BB19" s="54">
        <f t="shared" si="0"/>
        <v>0</v>
      </c>
      <c r="BC19" s="54">
        <f t="shared" si="0"/>
        <v>0</v>
      </c>
      <c r="BD19" s="54">
        <f t="shared" si="1"/>
        <v>0</v>
      </c>
      <c r="BE19" s="54">
        <f t="shared" si="1"/>
        <v>0</v>
      </c>
      <c r="BF19" s="54">
        <f t="shared" si="1"/>
        <v>0</v>
      </c>
      <c r="BG19" s="54">
        <f t="shared" si="1"/>
        <v>0</v>
      </c>
      <c r="BH19" s="54">
        <f t="shared" si="1"/>
        <v>0</v>
      </c>
      <c r="BI19" s="54">
        <f t="shared" si="1"/>
        <v>0</v>
      </c>
      <c r="BJ19" s="54">
        <f t="shared" si="1"/>
        <v>0</v>
      </c>
      <c r="BK19" s="54">
        <f t="shared" si="1"/>
        <v>0</v>
      </c>
      <c r="BL19" s="54">
        <f t="shared" si="1"/>
        <v>0</v>
      </c>
      <c r="BM19" s="54">
        <f t="shared" si="1"/>
        <v>0</v>
      </c>
      <c r="BN19" s="54">
        <f t="shared" si="1"/>
        <v>0</v>
      </c>
      <c r="BO19" s="54">
        <f t="shared" si="1"/>
        <v>0</v>
      </c>
      <c r="BP19" s="54">
        <f t="shared" si="1"/>
        <v>0</v>
      </c>
      <c r="BQ19" s="54">
        <f t="shared" si="1"/>
        <v>0</v>
      </c>
      <c r="BR19" s="54">
        <f t="shared" si="1"/>
        <v>0</v>
      </c>
      <c r="BS19" s="54">
        <f t="shared" si="1"/>
        <v>0</v>
      </c>
      <c r="BT19" s="54">
        <f t="shared" si="1"/>
        <v>0</v>
      </c>
      <c r="BU19" s="54">
        <f t="shared" si="1"/>
        <v>0</v>
      </c>
      <c r="BV19" s="54">
        <f t="shared" si="1"/>
        <v>0</v>
      </c>
      <c r="BW19" s="54">
        <f t="shared" si="1"/>
        <v>0</v>
      </c>
      <c r="BX19" s="54">
        <f t="shared" si="1"/>
        <v>0</v>
      </c>
      <c r="BY19" s="54">
        <f t="shared" si="1"/>
        <v>0</v>
      </c>
      <c r="BZ19" s="54">
        <f t="shared" si="1"/>
        <v>0</v>
      </c>
      <c r="CA19" s="54">
        <f t="shared" si="1"/>
        <v>0</v>
      </c>
      <c r="CB19" s="54">
        <f t="shared" si="1"/>
        <v>0</v>
      </c>
      <c r="CC19" s="54">
        <f t="shared" si="1"/>
        <v>0</v>
      </c>
      <c r="CD19" s="54">
        <f t="shared" si="1"/>
        <v>0</v>
      </c>
      <c r="CE19" s="54">
        <f t="shared" si="1"/>
        <v>0</v>
      </c>
    </row>
    <row r="20" spans="1:83" x14ac:dyDescent="0.25">
      <c r="A20" s="50" t="s">
        <v>160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52"/>
      <c r="AC20" t="s">
        <v>378</v>
      </c>
      <c r="AE20" s="17">
        <v>4</v>
      </c>
      <c r="AG20" s="126">
        <f>HLOOKUP(AF$4,[1]Anx!$C$86:$CO$121,AE20)</f>
        <v>0</v>
      </c>
      <c r="AH20" s="61">
        <f t="shared" si="2"/>
        <v>0</v>
      </c>
      <c r="AI20" s="126">
        <f>Troupeau!E74</f>
        <v>0</v>
      </c>
      <c r="AK20" s="54">
        <f t="shared" si="3"/>
        <v>0</v>
      </c>
      <c r="AL20" s="54">
        <f t="shared" si="4"/>
        <v>0</v>
      </c>
      <c r="AM20" s="54">
        <f t="shared" si="4"/>
        <v>0</v>
      </c>
      <c r="AN20" s="54">
        <f t="shared" si="0"/>
        <v>0</v>
      </c>
      <c r="AO20" s="54">
        <f t="shared" si="0"/>
        <v>0</v>
      </c>
      <c r="AP20" s="54">
        <f t="shared" si="0"/>
        <v>0</v>
      </c>
      <c r="AQ20" s="54">
        <f t="shared" si="0"/>
        <v>0</v>
      </c>
      <c r="AR20" s="54">
        <f t="shared" si="0"/>
        <v>0</v>
      </c>
      <c r="AS20" s="54">
        <f t="shared" si="0"/>
        <v>0</v>
      </c>
      <c r="AT20" s="54">
        <f t="shared" si="0"/>
        <v>0</v>
      </c>
      <c r="AU20" s="54">
        <f t="shared" si="0"/>
        <v>0</v>
      </c>
      <c r="AV20" s="54">
        <f t="shared" si="0"/>
        <v>0</v>
      </c>
      <c r="AW20" s="54">
        <f t="shared" si="0"/>
        <v>0</v>
      </c>
      <c r="AX20" s="54">
        <f t="shared" si="0"/>
        <v>0</v>
      </c>
      <c r="AY20" s="54">
        <f t="shared" si="0"/>
        <v>0</v>
      </c>
      <c r="AZ20" s="54">
        <f t="shared" si="0"/>
        <v>0</v>
      </c>
      <c r="BA20" s="54">
        <f t="shared" si="0"/>
        <v>0</v>
      </c>
      <c r="BB20" s="54">
        <f t="shared" si="0"/>
        <v>0</v>
      </c>
      <c r="BC20" s="54">
        <f t="shared" si="0"/>
        <v>0</v>
      </c>
      <c r="BD20" s="54">
        <f t="shared" si="1"/>
        <v>0</v>
      </c>
      <c r="BE20" s="54">
        <f t="shared" si="1"/>
        <v>0</v>
      </c>
      <c r="BF20" s="54">
        <f t="shared" si="1"/>
        <v>0</v>
      </c>
      <c r="BG20" s="54">
        <f t="shared" si="1"/>
        <v>0</v>
      </c>
      <c r="BH20" s="54">
        <f t="shared" si="1"/>
        <v>0</v>
      </c>
      <c r="BI20" s="54">
        <f t="shared" si="1"/>
        <v>0</v>
      </c>
      <c r="BJ20" s="54">
        <f t="shared" si="1"/>
        <v>0</v>
      </c>
      <c r="BK20" s="54">
        <f t="shared" si="1"/>
        <v>0</v>
      </c>
      <c r="BL20" s="54">
        <f t="shared" si="1"/>
        <v>0</v>
      </c>
      <c r="BM20" s="54">
        <f t="shared" si="1"/>
        <v>0</v>
      </c>
      <c r="BN20" s="54">
        <f t="shared" si="1"/>
        <v>0</v>
      </c>
      <c r="BO20" s="54">
        <f t="shared" si="1"/>
        <v>0</v>
      </c>
      <c r="BP20" s="54">
        <f t="shared" si="1"/>
        <v>0</v>
      </c>
      <c r="BQ20" s="54">
        <f t="shared" si="1"/>
        <v>0</v>
      </c>
      <c r="BR20" s="54">
        <f t="shared" si="1"/>
        <v>0</v>
      </c>
      <c r="BS20" s="54">
        <f t="shared" si="1"/>
        <v>0</v>
      </c>
      <c r="BT20" s="54">
        <f t="shared" si="1"/>
        <v>0</v>
      </c>
      <c r="BU20" s="54">
        <f t="shared" si="1"/>
        <v>0</v>
      </c>
      <c r="BV20" s="54">
        <f t="shared" si="1"/>
        <v>0</v>
      </c>
      <c r="BW20" s="54">
        <f t="shared" si="1"/>
        <v>0</v>
      </c>
      <c r="BX20" s="54">
        <f t="shared" si="1"/>
        <v>0</v>
      </c>
      <c r="BY20" s="54">
        <f t="shared" si="1"/>
        <v>0</v>
      </c>
      <c r="BZ20" s="54">
        <f t="shared" si="1"/>
        <v>0</v>
      </c>
      <c r="CA20" s="54">
        <f t="shared" si="1"/>
        <v>0</v>
      </c>
      <c r="CB20" s="54">
        <f t="shared" si="1"/>
        <v>0</v>
      </c>
      <c r="CC20" s="54">
        <f t="shared" si="1"/>
        <v>0</v>
      </c>
      <c r="CD20" s="54">
        <f t="shared" si="1"/>
        <v>0</v>
      </c>
      <c r="CE20" s="54">
        <f t="shared" si="1"/>
        <v>0</v>
      </c>
    </row>
    <row r="21" spans="1:83" x14ac:dyDescent="0.25">
      <c r="A21" s="50" t="s">
        <v>161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52"/>
      <c r="AC21" t="s">
        <v>379</v>
      </c>
      <c r="AE21" s="17">
        <v>5</v>
      </c>
      <c r="AG21" s="126">
        <f>HLOOKUP(AF$4,[1]Anx!$C$86:$CO$121,AE21)</f>
        <v>0</v>
      </c>
      <c r="AH21" s="61">
        <f t="shared" si="2"/>
        <v>0</v>
      </c>
      <c r="AI21" s="126">
        <f>Troupeau!E75</f>
        <v>0</v>
      </c>
      <c r="AK21" s="54">
        <f t="shared" si="3"/>
        <v>0</v>
      </c>
      <c r="AL21" s="54">
        <f t="shared" si="4"/>
        <v>0</v>
      </c>
      <c r="AM21" s="54">
        <f t="shared" si="4"/>
        <v>0</v>
      </c>
      <c r="AN21" s="54">
        <f t="shared" si="0"/>
        <v>0</v>
      </c>
      <c r="AO21" s="54">
        <f t="shared" si="0"/>
        <v>0</v>
      </c>
      <c r="AP21" s="54">
        <f t="shared" si="0"/>
        <v>0</v>
      </c>
      <c r="AQ21" s="54">
        <f t="shared" si="0"/>
        <v>0</v>
      </c>
      <c r="AR21" s="54">
        <f t="shared" si="0"/>
        <v>0</v>
      </c>
      <c r="AS21" s="54">
        <f t="shared" si="0"/>
        <v>0</v>
      </c>
      <c r="AT21" s="54">
        <f t="shared" si="0"/>
        <v>0</v>
      </c>
      <c r="AU21" s="54">
        <f t="shared" si="0"/>
        <v>0</v>
      </c>
      <c r="AV21" s="54">
        <f t="shared" si="0"/>
        <v>0</v>
      </c>
      <c r="AW21" s="54">
        <f t="shared" si="0"/>
        <v>0</v>
      </c>
      <c r="AX21" s="54">
        <f t="shared" si="0"/>
        <v>0</v>
      </c>
      <c r="AY21" s="54">
        <f t="shared" si="0"/>
        <v>0</v>
      </c>
      <c r="AZ21" s="54">
        <f t="shared" si="0"/>
        <v>0</v>
      </c>
      <c r="BA21" s="54">
        <f t="shared" si="0"/>
        <v>0</v>
      </c>
      <c r="BB21" s="54">
        <f t="shared" si="0"/>
        <v>0</v>
      </c>
      <c r="BC21" s="54">
        <f t="shared" si="0"/>
        <v>0</v>
      </c>
      <c r="BD21" s="54">
        <f t="shared" si="1"/>
        <v>0</v>
      </c>
      <c r="BE21" s="54">
        <f t="shared" si="1"/>
        <v>0</v>
      </c>
      <c r="BF21" s="54">
        <f t="shared" si="1"/>
        <v>0</v>
      </c>
      <c r="BG21" s="54">
        <f t="shared" si="1"/>
        <v>0</v>
      </c>
      <c r="BH21" s="54">
        <f t="shared" si="1"/>
        <v>0</v>
      </c>
      <c r="BI21" s="54">
        <f t="shared" si="1"/>
        <v>0</v>
      </c>
      <c r="BJ21" s="54">
        <f t="shared" si="1"/>
        <v>0</v>
      </c>
      <c r="BK21" s="54">
        <f t="shared" si="1"/>
        <v>0</v>
      </c>
      <c r="BL21" s="54">
        <f t="shared" si="1"/>
        <v>0</v>
      </c>
      <c r="BM21" s="54">
        <f t="shared" si="1"/>
        <v>0</v>
      </c>
      <c r="BN21" s="54">
        <f t="shared" si="1"/>
        <v>0</v>
      </c>
      <c r="BO21" s="54">
        <f t="shared" si="1"/>
        <v>0</v>
      </c>
      <c r="BP21" s="54">
        <f t="shared" si="1"/>
        <v>0</v>
      </c>
      <c r="BQ21" s="54">
        <f t="shared" si="1"/>
        <v>0</v>
      </c>
      <c r="BR21" s="54">
        <f t="shared" si="1"/>
        <v>0</v>
      </c>
      <c r="BS21" s="54">
        <f t="shared" si="1"/>
        <v>0</v>
      </c>
      <c r="BT21" s="54">
        <f t="shared" si="1"/>
        <v>0</v>
      </c>
      <c r="BU21" s="54">
        <f t="shared" si="1"/>
        <v>0</v>
      </c>
      <c r="BV21" s="54">
        <f t="shared" si="1"/>
        <v>0</v>
      </c>
      <c r="BW21" s="54">
        <f t="shared" si="1"/>
        <v>0</v>
      </c>
      <c r="BX21" s="54">
        <f t="shared" si="1"/>
        <v>0</v>
      </c>
      <c r="BY21" s="54">
        <f t="shared" si="1"/>
        <v>0</v>
      </c>
      <c r="BZ21" s="54">
        <f t="shared" si="1"/>
        <v>0</v>
      </c>
      <c r="CA21" s="54">
        <f t="shared" si="1"/>
        <v>0</v>
      </c>
      <c r="CB21" s="54">
        <f t="shared" si="1"/>
        <v>0</v>
      </c>
      <c r="CC21" s="54">
        <f t="shared" si="1"/>
        <v>0</v>
      </c>
      <c r="CD21" s="54">
        <f t="shared" si="1"/>
        <v>0</v>
      </c>
      <c r="CE21" s="54">
        <f t="shared" si="1"/>
        <v>0</v>
      </c>
    </row>
    <row r="22" spans="1:83" x14ac:dyDescent="0.25">
      <c r="A22" s="50" t="s">
        <v>162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52"/>
      <c r="AA22" s="5"/>
      <c r="AB22" s="5"/>
      <c r="AC22" t="s">
        <v>380</v>
      </c>
      <c r="AD22" s="5"/>
      <c r="AE22" s="17">
        <v>6</v>
      </c>
      <c r="AG22" s="126">
        <f>HLOOKUP(AF$4,[1]Anx!$C$86:$CO$121,AE22)</f>
        <v>0</v>
      </c>
      <c r="AH22" s="61">
        <f t="shared" si="2"/>
        <v>0</v>
      </c>
      <c r="AI22" s="126">
        <f>Troupeau!E76</f>
        <v>0</v>
      </c>
      <c r="AK22" s="54">
        <f t="shared" si="3"/>
        <v>0</v>
      </c>
      <c r="AL22" s="54">
        <f t="shared" si="4"/>
        <v>0</v>
      </c>
      <c r="AM22" s="54">
        <f t="shared" si="4"/>
        <v>0</v>
      </c>
      <c r="AN22" s="54">
        <f t="shared" si="0"/>
        <v>0</v>
      </c>
      <c r="AO22" s="54">
        <f t="shared" si="0"/>
        <v>0</v>
      </c>
      <c r="AP22" s="54">
        <f t="shared" si="0"/>
        <v>0</v>
      </c>
      <c r="AQ22" s="54">
        <f t="shared" si="0"/>
        <v>0</v>
      </c>
      <c r="AR22" s="54">
        <f t="shared" si="0"/>
        <v>0</v>
      </c>
      <c r="AS22" s="54">
        <f t="shared" si="0"/>
        <v>0</v>
      </c>
      <c r="AT22" s="54">
        <f t="shared" si="0"/>
        <v>0</v>
      </c>
      <c r="AU22" s="54">
        <f t="shared" si="0"/>
        <v>0</v>
      </c>
      <c r="AV22" s="54">
        <f t="shared" si="0"/>
        <v>0</v>
      </c>
      <c r="AW22" s="54">
        <f t="shared" si="0"/>
        <v>0</v>
      </c>
      <c r="AX22" s="54">
        <f t="shared" si="0"/>
        <v>0</v>
      </c>
      <c r="AY22" s="54">
        <f t="shared" si="0"/>
        <v>0</v>
      </c>
      <c r="AZ22" s="54">
        <f t="shared" si="0"/>
        <v>0</v>
      </c>
      <c r="BA22" s="54">
        <f t="shared" si="0"/>
        <v>0</v>
      </c>
      <c r="BB22" s="54">
        <f t="shared" si="0"/>
        <v>0</v>
      </c>
      <c r="BC22" s="54">
        <f t="shared" si="0"/>
        <v>0</v>
      </c>
      <c r="BD22" s="54">
        <f t="shared" si="1"/>
        <v>0</v>
      </c>
      <c r="BE22" s="54">
        <f t="shared" si="1"/>
        <v>0</v>
      </c>
      <c r="BF22" s="54">
        <f t="shared" si="1"/>
        <v>0</v>
      </c>
      <c r="BG22" s="54">
        <f t="shared" si="1"/>
        <v>0</v>
      </c>
      <c r="BH22" s="54">
        <f t="shared" si="1"/>
        <v>0</v>
      </c>
      <c r="BI22" s="54">
        <f t="shared" si="1"/>
        <v>0</v>
      </c>
      <c r="BJ22" s="54">
        <f t="shared" si="1"/>
        <v>0</v>
      </c>
      <c r="BK22" s="54">
        <f t="shared" si="1"/>
        <v>0</v>
      </c>
      <c r="BL22" s="54">
        <f t="shared" si="1"/>
        <v>0</v>
      </c>
      <c r="BM22" s="54">
        <f t="shared" si="1"/>
        <v>0</v>
      </c>
      <c r="BN22" s="54">
        <f t="shared" si="1"/>
        <v>0</v>
      </c>
      <c r="BO22" s="54">
        <f t="shared" si="1"/>
        <v>0</v>
      </c>
      <c r="BP22" s="54">
        <f t="shared" si="1"/>
        <v>0</v>
      </c>
      <c r="BQ22" s="54">
        <f t="shared" si="1"/>
        <v>0</v>
      </c>
      <c r="BR22" s="54">
        <f t="shared" si="1"/>
        <v>0</v>
      </c>
      <c r="BS22" s="54">
        <f t="shared" si="1"/>
        <v>0</v>
      </c>
      <c r="BT22" s="54">
        <f t="shared" si="1"/>
        <v>0</v>
      </c>
      <c r="BU22" s="54">
        <f t="shared" si="1"/>
        <v>0</v>
      </c>
      <c r="BV22" s="54">
        <f t="shared" si="1"/>
        <v>0</v>
      </c>
      <c r="BW22" s="54">
        <f t="shared" si="1"/>
        <v>0</v>
      </c>
      <c r="BX22" s="54">
        <f t="shared" si="1"/>
        <v>0</v>
      </c>
      <c r="BY22" s="54">
        <f t="shared" si="1"/>
        <v>0</v>
      </c>
      <c r="BZ22" s="54">
        <f t="shared" si="1"/>
        <v>0</v>
      </c>
      <c r="CA22" s="54">
        <f t="shared" si="1"/>
        <v>0</v>
      </c>
      <c r="CB22" s="54">
        <f t="shared" si="1"/>
        <v>0</v>
      </c>
      <c r="CC22" s="54">
        <f t="shared" si="1"/>
        <v>0</v>
      </c>
      <c r="CD22" s="54">
        <f t="shared" si="1"/>
        <v>0</v>
      </c>
      <c r="CE22" s="54">
        <f t="shared" si="1"/>
        <v>0</v>
      </c>
    </row>
    <row r="23" spans="1:83" x14ac:dyDescent="0.25">
      <c r="A23" s="50" t="s">
        <v>163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52"/>
      <c r="AA23" s="5"/>
      <c r="AB23" s="5"/>
      <c r="AC23" t="s">
        <v>381</v>
      </c>
      <c r="AD23" s="5"/>
      <c r="AE23" s="17">
        <v>7</v>
      </c>
      <c r="AG23" s="126">
        <f>HLOOKUP(AF$4,[1]Anx!$C$86:$CO$121,AE23)</f>
        <v>0</v>
      </c>
      <c r="AH23" s="61">
        <f t="shared" si="2"/>
        <v>0</v>
      </c>
      <c r="AI23" s="126">
        <f>Troupeau!E77</f>
        <v>0</v>
      </c>
      <c r="AK23" s="54">
        <f t="shared" si="3"/>
        <v>0</v>
      </c>
      <c r="AL23" s="54">
        <f t="shared" si="4"/>
        <v>0</v>
      </c>
      <c r="AM23" s="54">
        <f t="shared" si="4"/>
        <v>0</v>
      </c>
      <c r="AN23" s="54">
        <f t="shared" si="0"/>
        <v>0</v>
      </c>
      <c r="AO23" s="54">
        <f t="shared" si="0"/>
        <v>0</v>
      </c>
      <c r="AP23" s="54">
        <f t="shared" si="0"/>
        <v>0</v>
      </c>
      <c r="AQ23" s="54">
        <f t="shared" si="0"/>
        <v>0</v>
      </c>
      <c r="AR23" s="54">
        <f t="shared" si="0"/>
        <v>0</v>
      </c>
      <c r="AS23" s="54">
        <f t="shared" si="0"/>
        <v>0</v>
      </c>
      <c r="AT23" s="54">
        <f t="shared" si="0"/>
        <v>0</v>
      </c>
      <c r="AU23" s="54">
        <f t="shared" si="0"/>
        <v>0</v>
      </c>
      <c r="AV23" s="54">
        <f t="shared" si="0"/>
        <v>0</v>
      </c>
      <c r="AW23" s="54">
        <f t="shared" si="0"/>
        <v>0</v>
      </c>
      <c r="AX23" s="54">
        <f t="shared" si="0"/>
        <v>0</v>
      </c>
      <c r="AY23" s="54">
        <f t="shared" si="0"/>
        <v>0</v>
      </c>
      <c r="AZ23" s="54">
        <f t="shared" si="0"/>
        <v>0</v>
      </c>
      <c r="BA23" s="54">
        <f t="shared" si="0"/>
        <v>0</v>
      </c>
      <c r="BB23" s="54">
        <f t="shared" si="0"/>
        <v>0</v>
      </c>
      <c r="BC23" s="54">
        <f t="shared" si="0"/>
        <v>0</v>
      </c>
      <c r="BD23" s="54">
        <f t="shared" si="1"/>
        <v>0</v>
      </c>
      <c r="BE23" s="54">
        <f t="shared" si="1"/>
        <v>0</v>
      </c>
      <c r="BF23" s="54">
        <f t="shared" si="1"/>
        <v>0</v>
      </c>
      <c r="BG23" s="54">
        <f t="shared" si="1"/>
        <v>0</v>
      </c>
      <c r="BH23" s="54">
        <f t="shared" si="1"/>
        <v>0</v>
      </c>
      <c r="BI23" s="54">
        <f t="shared" si="1"/>
        <v>0</v>
      </c>
      <c r="BJ23" s="54">
        <f t="shared" si="1"/>
        <v>0</v>
      </c>
      <c r="BK23" s="54">
        <f t="shared" si="1"/>
        <v>0</v>
      </c>
      <c r="BL23" s="54">
        <f t="shared" si="1"/>
        <v>0</v>
      </c>
      <c r="BM23" s="54">
        <f t="shared" si="1"/>
        <v>0</v>
      </c>
      <c r="BN23" s="54">
        <f t="shared" si="1"/>
        <v>0</v>
      </c>
      <c r="BO23" s="54">
        <f t="shared" si="1"/>
        <v>0</v>
      </c>
      <c r="BP23" s="54">
        <f t="shared" si="1"/>
        <v>0</v>
      </c>
      <c r="BQ23" s="54">
        <f t="shared" si="1"/>
        <v>0</v>
      </c>
      <c r="BR23" s="54">
        <f t="shared" si="1"/>
        <v>0</v>
      </c>
      <c r="BS23" s="54">
        <f t="shared" si="1"/>
        <v>0</v>
      </c>
      <c r="BT23" s="54">
        <f t="shared" si="1"/>
        <v>0</v>
      </c>
      <c r="BU23" s="54">
        <f t="shared" si="1"/>
        <v>0</v>
      </c>
      <c r="BV23" s="54">
        <f t="shared" si="1"/>
        <v>0</v>
      </c>
      <c r="BW23" s="54">
        <f t="shared" si="1"/>
        <v>0</v>
      </c>
      <c r="BX23" s="54">
        <f t="shared" si="1"/>
        <v>0</v>
      </c>
      <c r="BY23" s="54">
        <f t="shared" si="1"/>
        <v>0</v>
      </c>
      <c r="BZ23" s="54">
        <f t="shared" si="1"/>
        <v>0</v>
      </c>
      <c r="CA23" s="54">
        <f t="shared" si="1"/>
        <v>0</v>
      </c>
      <c r="CB23" s="54">
        <f t="shared" si="1"/>
        <v>0</v>
      </c>
      <c r="CC23" s="54">
        <f t="shared" si="1"/>
        <v>0</v>
      </c>
      <c r="CD23" s="54">
        <f t="shared" si="1"/>
        <v>0</v>
      </c>
      <c r="CE23" s="54">
        <f t="shared" si="1"/>
        <v>0</v>
      </c>
    </row>
    <row r="24" spans="1:83" x14ac:dyDescent="0.25">
      <c r="A24" s="50" t="s">
        <v>164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2"/>
      <c r="AA24" s="5"/>
      <c r="AB24" s="53"/>
      <c r="AC24" t="s">
        <v>382</v>
      </c>
      <c r="AD24" s="5"/>
      <c r="AE24" s="17">
        <v>8</v>
      </c>
      <c r="AG24" s="126">
        <f>HLOOKUP(AF$4,[1]Anx!$C$86:$CO$121,AE24)</f>
        <v>0</v>
      </c>
      <c r="AH24" s="61">
        <f t="shared" si="2"/>
        <v>0</v>
      </c>
      <c r="AI24" s="126">
        <f>Troupeau!E78</f>
        <v>0</v>
      </c>
      <c r="AK24" s="54">
        <f t="shared" si="3"/>
        <v>0</v>
      </c>
      <c r="AL24" s="54">
        <f t="shared" si="4"/>
        <v>0</v>
      </c>
      <c r="AM24" s="54">
        <f t="shared" si="4"/>
        <v>0</v>
      </c>
      <c r="AN24" s="54">
        <f t="shared" si="0"/>
        <v>0</v>
      </c>
      <c r="AO24" s="54">
        <f t="shared" si="0"/>
        <v>0</v>
      </c>
      <c r="AP24" s="54">
        <f t="shared" si="0"/>
        <v>0</v>
      </c>
      <c r="AQ24" s="54">
        <f t="shared" si="0"/>
        <v>0</v>
      </c>
      <c r="AR24" s="54">
        <f t="shared" si="0"/>
        <v>0</v>
      </c>
      <c r="AS24" s="54">
        <f t="shared" si="0"/>
        <v>0</v>
      </c>
      <c r="AT24" s="54">
        <f t="shared" si="0"/>
        <v>0</v>
      </c>
      <c r="AU24" s="54">
        <f t="shared" si="0"/>
        <v>0</v>
      </c>
      <c r="AV24" s="54">
        <f t="shared" si="0"/>
        <v>0</v>
      </c>
      <c r="AW24" s="54">
        <f t="shared" si="0"/>
        <v>0</v>
      </c>
      <c r="AX24" s="54">
        <f t="shared" si="0"/>
        <v>0</v>
      </c>
      <c r="AY24" s="54">
        <f t="shared" si="0"/>
        <v>0</v>
      </c>
      <c r="AZ24" s="54">
        <f t="shared" si="0"/>
        <v>0</v>
      </c>
      <c r="BA24" s="54">
        <f t="shared" si="0"/>
        <v>0</v>
      </c>
      <c r="BB24" s="54">
        <f t="shared" si="0"/>
        <v>0</v>
      </c>
      <c r="BC24" s="54">
        <f t="shared" si="0"/>
        <v>0</v>
      </c>
      <c r="BD24" s="54">
        <f t="shared" si="1"/>
        <v>0</v>
      </c>
      <c r="BE24" s="54">
        <f t="shared" si="1"/>
        <v>0</v>
      </c>
      <c r="BF24" s="54">
        <f t="shared" si="1"/>
        <v>0</v>
      </c>
      <c r="BG24" s="54">
        <f t="shared" si="1"/>
        <v>0</v>
      </c>
      <c r="BH24" s="54">
        <f t="shared" si="1"/>
        <v>0</v>
      </c>
      <c r="BI24" s="54">
        <f t="shared" si="1"/>
        <v>0</v>
      </c>
      <c r="BJ24" s="54">
        <f t="shared" si="1"/>
        <v>0</v>
      </c>
      <c r="BK24" s="54">
        <f t="shared" si="1"/>
        <v>0</v>
      </c>
      <c r="BL24" s="54">
        <f t="shared" si="1"/>
        <v>0</v>
      </c>
      <c r="BM24" s="54">
        <f t="shared" si="1"/>
        <v>0</v>
      </c>
      <c r="BN24" s="54">
        <f t="shared" si="1"/>
        <v>0</v>
      </c>
      <c r="BO24" s="54">
        <f t="shared" si="1"/>
        <v>0</v>
      </c>
      <c r="BP24" s="54">
        <f t="shared" si="1"/>
        <v>0</v>
      </c>
      <c r="BQ24" s="54">
        <f t="shared" si="1"/>
        <v>0</v>
      </c>
      <c r="BR24" s="54">
        <f t="shared" si="1"/>
        <v>0</v>
      </c>
      <c r="BS24" s="54">
        <f t="shared" si="1"/>
        <v>0</v>
      </c>
      <c r="BT24" s="54">
        <f t="shared" si="1"/>
        <v>0</v>
      </c>
      <c r="BU24" s="54">
        <f t="shared" si="1"/>
        <v>0</v>
      </c>
      <c r="BV24" s="54">
        <f t="shared" si="1"/>
        <v>0</v>
      </c>
      <c r="BW24" s="54">
        <f t="shared" si="1"/>
        <v>0</v>
      </c>
      <c r="BX24" s="54">
        <f t="shared" si="1"/>
        <v>0</v>
      </c>
      <c r="BY24" s="54">
        <f t="shared" si="1"/>
        <v>0</v>
      </c>
      <c r="BZ24" s="54">
        <f t="shared" si="1"/>
        <v>0</v>
      </c>
      <c r="CA24" s="54">
        <f t="shared" si="1"/>
        <v>0</v>
      </c>
      <c r="CB24" s="54">
        <f t="shared" si="1"/>
        <v>0</v>
      </c>
      <c r="CC24" s="54">
        <f t="shared" si="1"/>
        <v>0</v>
      </c>
      <c r="CD24" s="54">
        <f t="shared" si="1"/>
        <v>0</v>
      </c>
      <c r="CE24" s="54">
        <f t="shared" si="1"/>
        <v>0</v>
      </c>
    </row>
    <row r="25" spans="1:83" x14ac:dyDescent="0.25">
      <c r="AA25" s="5"/>
      <c r="AB25" s="5"/>
      <c r="AC25" t="s">
        <v>383</v>
      </c>
      <c r="AD25" s="5"/>
      <c r="AE25" s="17">
        <v>9</v>
      </c>
      <c r="AG25" s="126">
        <f>HLOOKUP(AF$4,[1]Anx!$C$86:$CO$121,AE25)</f>
        <v>0</v>
      </c>
      <c r="AH25" s="61">
        <f t="shared" si="2"/>
        <v>0</v>
      </c>
      <c r="AI25" s="126">
        <f>Troupeau!E79</f>
        <v>0</v>
      </c>
      <c r="AK25" s="54">
        <f t="shared" si="3"/>
        <v>0</v>
      </c>
      <c r="AL25" s="54">
        <f t="shared" si="4"/>
        <v>0</v>
      </c>
      <c r="AM25" s="54">
        <f t="shared" si="4"/>
        <v>0</v>
      </c>
      <c r="AN25" s="54">
        <f t="shared" si="0"/>
        <v>0</v>
      </c>
      <c r="AO25" s="54">
        <f t="shared" si="0"/>
        <v>0</v>
      </c>
      <c r="AP25" s="54">
        <f t="shared" si="0"/>
        <v>0</v>
      </c>
      <c r="AQ25" s="54">
        <f t="shared" si="0"/>
        <v>0</v>
      </c>
      <c r="AR25" s="54">
        <f t="shared" si="0"/>
        <v>0</v>
      </c>
      <c r="AS25" s="54">
        <f t="shared" si="0"/>
        <v>0</v>
      </c>
      <c r="AT25" s="54">
        <f t="shared" si="0"/>
        <v>0</v>
      </c>
      <c r="AU25" s="54">
        <f t="shared" si="0"/>
        <v>0</v>
      </c>
      <c r="AV25" s="54">
        <f t="shared" si="0"/>
        <v>0</v>
      </c>
      <c r="AW25" s="54">
        <f t="shared" si="0"/>
        <v>0</v>
      </c>
      <c r="AX25" s="54">
        <f t="shared" si="0"/>
        <v>0</v>
      </c>
      <c r="AY25" s="54">
        <f t="shared" si="0"/>
        <v>0</v>
      </c>
      <c r="AZ25" s="54">
        <f t="shared" si="0"/>
        <v>0</v>
      </c>
      <c r="BA25" s="54">
        <f t="shared" si="0"/>
        <v>0</v>
      </c>
      <c r="BB25" s="54">
        <f t="shared" si="0"/>
        <v>0</v>
      </c>
      <c r="BC25" s="54">
        <f t="shared" si="0"/>
        <v>0</v>
      </c>
      <c r="BD25" s="54">
        <f t="shared" si="1"/>
        <v>0</v>
      </c>
      <c r="BE25" s="54">
        <f t="shared" si="1"/>
        <v>0</v>
      </c>
      <c r="BF25" s="54">
        <f t="shared" si="1"/>
        <v>0</v>
      </c>
      <c r="BG25" s="54">
        <f t="shared" si="1"/>
        <v>0</v>
      </c>
      <c r="BH25" s="54">
        <f t="shared" si="1"/>
        <v>0</v>
      </c>
      <c r="BI25" s="54">
        <f t="shared" si="1"/>
        <v>0</v>
      </c>
      <c r="BJ25" s="54">
        <f t="shared" si="1"/>
        <v>0</v>
      </c>
      <c r="BK25" s="54">
        <f t="shared" si="1"/>
        <v>0</v>
      </c>
      <c r="BL25" s="54">
        <f t="shared" si="1"/>
        <v>0</v>
      </c>
      <c r="BM25" s="54">
        <f t="shared" si="1"/>
        <v>0</v>
      </c>
      <c r="BN25" s="54">
        <f t="shared" si="1"/>
        <v>0</v>
      </c>
      <c r="BO25" s="54">
        <f t="shared" si="1"/>
        <v>0</v>
      </c>
      <c r="BP25" s="54">
        <f t="shared" si="1"/>
        <v>0</v>
      </c>
      <c r="BQ25" s="54">
        <f t="shared" si="1"/>
        <v>0</v>
      </c>
      <c r="BR25" s="54">
        <f t="shared" si="1"/>
        <v>0</v>
      </c>
      <c r="BS25" s="54">
        <f t="shared" si="1"/>
        <v>0</v>
      </c>
      <c r="BT25" s="54">
        <f t="shared" si="1"/>
        <v>0</v>
      </c>
      <c r="BU25" s="54">
        <f t="shared" si="1"/>
        <v>0</v>
      </c>
      <c r="BV25" s="54">
        <f t="shared" si="1"/>
        <v>0</v>
      </c>
      <c r="BW25" s="54">
        <f t="shared" si="1"/>
        <v>0</v>
      </c>
      <c r="BX25" s="54">
        <f t="shared" si="1"/>
        <v>0</v>
      </c>
      <c r="BY25" s="54">
        <f t="shared" si="1"/>
        <v>0</v>
      </c>
      <c r="BZ25" s="54">
        <f t="shared" si="1"/>
        <v>0</v>
      </c>
      <c r="CA25" s="54">
        <f t="shared" si="1"/>
        <v>0</v>
      </c>
      <c r="CB25" s="54">
        <f t="shared" si="1"/>
        <v>0</v>
      </c>
      <c r="CC25" s="54">
        <f t="shared" si="1"/>
        <v>0</v>
      </c>
      <c r="CD25" s="54">
        <f t="shared" si="1"/>
        <v>0</v>
      </c>
      <c r="CE25" s="54">
        <f t="shared" si="1"/>
        <v>0</v>
      </c>
    </row>
    <row r="26" spans="1:83" x14ac:dyDescent="0.25">
      <c r="A26" s="2" t="s">
        <v>169</v>
      </c>
      <c r="B26" s="65" t="s">
        <v>172</v>
      </c>
      <c r="AA26" s="5"/>
      <c r="AB26" s="5"/>
      <c r="AC26" t="s">
        <v>384</v>
      </c>
      <c r="AD26" s="5"/>
      <c r="AE26" s="17">
        <v>10</v>
      </c>
      <c r="AG26" s="126">
        <f>HLOOKUP(AF$4,[1]Anx!$C$86:$CO$121,AE26)</f>
        <v>0</v>
      </c>
      <c r="AH26" s="61">
        <f t="shared" si="2"/>
        <v>0</v>
      </c>
      <c r="AI26" s="126">
        <f>Troupeau!E80</f>
        <v>0</v>
      </c>
      <c r="AK26" s="54">
        <f t="shared" si="3"/>
        <v>0</v>
      </c>
      <c r="AL26" s="54">
        <f t="shared" si="4"/>
        <v>0</v>
      </c>
      <c r="AM26" s="54">
        <f t="shared" si="4"/>
        <v>0</v>
      </c>
      <c r="AN26" s="54">
        <f t="shared" si="0"/>
        <v>0</v>
      </c>
      <c r="AO26" s="54">
        <f t="shared" si="0"/>
        <v>0</v>
      </c>
      <c r="AP26" s="54">
        <f t="shared" si="0"/>
        <v>0</v>
      </c>
      <c r="AQ26" s="54">
        <f t="shared" si="0"/>
        <v>0</v>
      </c>
      <c r="AR26" s="54">
        <f t="shared" si="0"/>
        <v>0</v>
      </c>
      <c r="AS26" s="54">
        <f t="shared" si="0"/>
        <v>0</v>
      </c>
      <c r="AT26" s="54">
        <f t="shared" si="0"/>
        <v>0</v>
      </c>
      <c r="AU26" s="54">
        <f t="shared" si="0"/>
        <v>0</v>
      </c>
      <c r="AV26" s="54">
        <f t="shared" si="0"/>
        <v>0</v>
      </c>
      <c r="AW26" s="54">
        <f t="shared" si="0"/>
        <v>0</v>
      </c>
      <c r="AX26" s="54">
        <f t="shared" si="0"/>
        <v>0</v>
      </c>
      <c r="AY26" s="54">
        <f t="shared" si="0"/>
        <v>0</v>
      </c>
      <c r="AZ26" s="54">
        <f t="shared" si="0"/>
        <v>0</v>
      </c>
      <c r="BA26" s="54">
        <f t="shared" si="0"/>
        <v>0</v>
      </c>
      <c r="BB26" s="54">
        <f t="shared" si="0"/>
        <v>0</v>
      </c>
      <c r="BC26" s="54">
        <f t="shared" si="0"/>
        <v>0</v>
      </c>
      <c r="BD26" s="54">
        <f t="shared" si="1"/>
        <v>0</v>
      </c>
      <c r="BE26" s="54">
        <f t="shared" si="1"/>
        <v>0</v>
      </c>
      <c r="BF26" s="54">
        <f t="shared" si="1"/>
        <v>0</v>
      </c>
      <c r="BG26" s="54">
        <f t="shared" si="1"/>
        <v>0</v>
      </c>
      <c r="BH26" s="54">
        <f t="shared" si="1"/>
        <v>0</v>
      </c>
      <c r="BI26" s="54">
        <f t="shared" si="1"/>
        <v>0</v>
      </c>
      <c r="BJ26" s="54">
        <f t="shared" si="1"/>
        <v>0</v>
      </c>
      <c r="BK26" s="54">
        <f t="shared" si="1"/>
        <v>0</v>
      </c>
      <c r="BL26" s="54">
        <f t="shared" si="1"/>
        <v>0</v>
      </c>
      <c r="BM26" s="54">
        <f t="shared" si="1"/>
        <v>0</v>
      </c>
      <c r="BN26" s="54">
        <f t="shared" si="1"/>
        <v>0</v>
      </c>
      <c r="BO26" s="54">
        <f t="shared" si="1"/>
        <v>0</v>
      </c>
      <c r="BP26" s="54">
        <f t="shared" si="1"/>
        <v>0</v>
      </c>
      <c r="BQ26" s="54">
        <f t="shared" si="1"/>
        <v>0</v>
      </c>
      <c r="BR26" s="54">
        <f t="shared" si="1"/>
        <v>0</v>
      </c>
      <c r="BS26" s="54">
        <f t="shared" si="1"/>
        <v>0</v>
      </c>
      <c r="BT26" s="54">
        <f t="shared" si="1"/>
        <v>0</v>
      </c>
      <c r="BU26" s="54">
        <f t="shared" si="1"/>
        <v>0</v>
      </c>
      <c r="BV26" s="54">
        <f t="shared" si="1"/>
        <v>0</v>
      </c>
      <c r="BW26" s="54">
        <f t="shared" si="1"/>
        <v>0</v>
      </c>
      <c r="BX26" s="54">
        <f t="shared" si="1"/>
        <v>0</v>
      </c>
      <c r="BY26" s="54">
        <f t="shared" si="1"/>
        <v>0</v>
      </c>
      <c r="BZ26" s="54">
        <f t="shared" si="1"/>
        <v>0</v>
      </c>
      <c r="CA26" s="54">
        <f t="shared" si="1"/>
        <v>0</v>
      </c>
      <c r="CB26" s="54">
        <f t="shared" si="1"/>
        <v>0</v>
      </c>
      <c r="CC26" s="54">
        <f t="shared" si="1"/>
        <v>0</v>
      </c>
      <c r="CD26" s="54">
        <f t="shared" si="1"/>
        <v>0</v>
      </c>
      <c r="CE26" s="54">
        <f t="shared" si="1"/>
        <v>0</v>
      </c>
    </row>
    <row r="27" spans="1:83" x14ac:dyDescent="0.25">
      <c r="A27" s="127" t="str">
        <f>A$15</f>
        <v>lot1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52"/>
      <c r="AA27" s="5"/>
      <c r="AB27" s="5"/>
      <c r="AC27" t="s">
        <v>385</v>
      </c>
      <c r="AD27" s="5"/>
      <c r="AE27" s="17">
        <v>11</v>
      </c>
      <c r="AG27" s="126">
        <f>HLOOKUP(AF$4,[1]Anx!$C$86:$CO$121,AE27)</f>
        <v>0</v>
      </c>
      <c r="AH27" s="61">
        <f t="shared" si="2"/>
        <v>0</v>
      </c>
      <c r="AI27" s="126">
        <f>Troupeau!E81</f>
        <v>0</v>
      </c>
      <c r="AK27" s="54">
        <f t="shared" si="3"/>
        <v>0</v>
      </c>
      <c r="AL27" s="54">
        <f t="shared" si="4"/>
        <v>0</v>
      </c>
      <c r="AM27" s="54">
        <f t="shared" si="4"/>
        <v>0</v>
      </c>
      <c r="AN27" s="54">
        <f t="shared" si="0"/>
        <v>0</v>
      </c>
      <c r="AO27" s="54">
        <f t="shared" si="0"/>
        <v>0</v>
      </c>
      <c r="AP27" s="54">
        <f t="shared" si="0"/>
        <v>0</v>
      </c>
      <c r="AQ27" s="54">
        <f t="shared" si="0"/>
        <v>0</v>
      </c>
      <c r="AR27" s="54">
        <f t="shared" si="0"/>
        <v>0</v>
      </c>
      <c r="AS27" s="54">
        <f t="shared" si="0"/>
        <v>0</v>
      </c>
      <c r="AT27" s="54">
        <f t="shared" si="0"/>
        <v>0</v>
      </c>
      <c r="AU27" s="54">
        <f t="shared" si="0"/>
        <v>0</v>
      </c>
      <c r="AV27" s="54">
        <f t="shared" si="0"/>
        <v>0</v>
      </c>
      <c r="AW27" s="54">
        <f t="shared" si="0"/>
        <v>0</v>
      </c>
      <c r="AX27" s="54">
        <f t="shared" si="0"/>
        <v>0</v>
      </c>
      <c r="AY27" s="54">
        <f t="shared" si="0"/>
        <v>0</v>
      </c>
      <c r="AZ27" s="54">
        <f t="shared" si="0"/>
        <v>0</v>
      </c>
      <c r="BA27" s="54">
        <f t="shared" si="0"/>
        <v>0</v>
      </c>
      <c r="BB27" s="54">
        <f t="shared" si="0"/>
        <v>0</v>
      </c>
      <c r="BC27" s="54">
        <f t="shared" si="0"/>
        <v>0</v>
      </c>
      <c r="BD27" s="54">
        <f t="shared" si="1"/>
        <v>0</v>
      </c>
      <c r="BE27" s="54">
        <f t="shared" si="1"/>
        <v>0</v>
      </c>
      <c r="BF27" s="54">
        <f t="shared" si="1"/>
        <v>0</v>
      </c>
      <c r="BG27" s="54">
        <f t="shared" ref="BG27:CE27" si="5">IF($AH27=BG$17,ROUND($AI27/1000,1),0)</f>
        <v>0</v>
      </c>
      <c r="BH27" s="54">
        <f t="shared" si="5"/>
        <v>0</v>
      </c>
      <c r="BI27" s="54">
        <f t="shared" si="5"/>
        <v>0</v>
      </c>
      <c r="BJ27" s="54">
        <f t="shared" si="5"/>
        <v>0</v>
      </c>
      <c r="BK27" s="54">
        <f t="shared" si="5"/>
        <v>0</v>
      </c>
      <c r="BL27" s="54">
        <f t="shared" si="5"/>
        <v>0</v>
      </c>
      <c r="BM27" s="54">
        <f t="shared" si="5"/>
        <v>0</v>
      </c>
      <c r="BN27" s="54">
        <f t="shared" si="5"/>
        <v>0</v>
      </c>
      <c r="BO27" s="54">
        <f t="shared" si="5"/>
        <v>0</v>
      </c>
      <c r="BP27" s="54">
        <f t="shared" si="5"/>
        <v>0</v>
      </c>
      <c r="BQ27" s="54">
        <f t="shared" si="5"/>
        <v>0</v>
      </c>
      <c r="BR27" s="54">
        <f t="shared" si="5"/>
        <v>0</v>
      </c>
      <c r="BS27" s="54">
        <f t="shared" si="5"/>
        <v>0</v>
      </c>
      <c r="BT27" s="54">
        <f t="shared" si="5"/>
        <v>0</v>
      </c>
      <c r="BU27" s="54">
        <f t="shared" si="5"/>
        <v>0</v>
      </c>
      <c r="BV27" s="54">
        <f t="shared" si="5"/>
        <v>0</v>
      </c>
      <c r="BW27" s="54">
        <f t="shared" si="5"/>
        <v>0</v>
      </c>
      <c r="BX27" s="54">
        <f t="shared" si="5"/>
        <v>0</v>
      </c>
      <c r="BY27" s="54">
        <f t="shared" si="5"/>
        <v>0</v>
      </c>
      <c r="BZ27" s="54">
        <f t="shared" si="5"/>
        <v>0</v>
      </c>
      <c r="CA27" s="54">
        <f t="shared" si="5"/>
        <v>0</v>
      </c>
      <c r="CB27" s="54">
        <f t="shared" si="5"/>
        <v>0</v>
      </c>
      <c r="CC27" s="54">
        <f t="shared" si="5"/>
        <v>0</v>
      </c>
      <c r="CD27" s="54">
        <f t="shared" si="5"/>
        <v>0</v>
      </c>
      <c r="CE27" s="54">
        <f t="shared" si="5"/>
        <v>0</v>
      </c>
    </row>
    <row r="28" spans="1:83" x14ac:dyDescent="0.25">
      <c r="A28" s="128" t="str">
        <f>A$16</f>
        <v>lot2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52"/>
      <c r="AB28" s="5"/>
      <c r="AC28" t="s">
        <v>386</v>
      </c>
      <c r="AE28" s="17">
        <v>12</v>
      </c>
      <c r="AG28" s="126">
        <f>HLOOKUP(AF$4,[1]Anx!$C$86:$CO$121,AE28)</f>
        <v>0</v>
      </c>
      <c r="AH28" s="61">
        <f t="shared" si="2"/>
        <v>0</v>
      </c>
      <c r="AI28" s="126">
        <f>Troupeau!E82</f>
        <v>0</v>
      </c>
      <c r="AK28" s="54">
        <f t="shared" si="3"/>
        <v>0</v>
      </c>
      <c r="AL28" s="54">
        <f t="shared" si="4"/>
        <v>0</v>
      </c>
      <c r="AM28" s="54">
        <f t="shared" si="4"/>
        <v>0</v>
      </c>
      <c r="AN28" s="54">
        <f t="shared" si="0"/>
        <v>0</v>
      </c>
      <c r="AO28" s="54">
        <f t="shared" si="0"/>
        <v>0</v>
      </c>
      <c r="AP28" s="54">
        <f t="shared" si="0"/>
        <v>0</v>
      </c>
      <c r="AQ28" s="54">
        <f t="shared" si="0"/>
        <v>0</v>
      </c>
      <c r="AR28" s="54">
        <f t="shared" si="0"/>
        <v>0</v>
      </c>
      <c r="AS28" s="54">
        <f t="shared" si="0"/>
        <v>0</v>
      </c>
      <c r="AT28" s="54">
        <f t="shared" si="0"/>
        <v>0</v>
      </c>
      <c r="AU28" s="54">
        <f t="shared" si="0"/>
        <v>0</v>
      </c>
      <c r="AV28" s="54">
        <f t="shared" si="0"/>
        <v>0</v>
      </c>
      <c r="AW28" s="54">
        <f t="shared" si="0"/>
        <v>0</v>
      </c>
      <c r="AX28" s="54">
        <f t="shared" si="0"/>
        <v>0</v>
      </c>
      <c r="AY28" s="54">
        <f t="shared" si="0"/>
        <v>0</v>
      </c>
      <c r="AZ28" s="54">
        <f t="shared" si="0"/>
        <v>0</v>
      </c>
      <c r="BA28" s="54">
        <f t="shared" si="0"/>
        <v>0</v>
      </c>
      <c r="BB28" s="54">
        <f t="shared" si="0"/>
        <v>0</v>
      </c>
      <c r="BC28" s="54">
        <f t="shared" si="0"/>
        <v>0</v>
      </c>
      <c r="BD28" s="54">
        <f t="shared" ref="BD28:CE37" si="6">IF($AH28=BD$17,ROUND($AI28/1000,1),0)</f>
        <v>0</v>
      </c>
      <c r="BE28" s="54">
        <f t="shared" si="6"/>
        <v>0</v>
      </c>
      <c r="BF28" s="54">
        <f t="shared" si="6"/>
        <v>0</v>
      </c>
      <c r="BG28" s="54">
        <f t="shared" si="6"/>
        <v>0</v>
      </c>
      <c r="BH28" s="54">
        <f t="shared" si="6"/>
        <v>0</v>
      </c>
      <c r="BI28" s="54">
        <f t="shared" si="6"/>
        <v>0</v>
      </c>
      <c r="BJ28" s="54">
        <f t="shared" si="6"/>
        <v>0</v>
      </c>
      <c r="BK28" s="54">
        <f t="shared" si="6"/>
        <v>0</v>
      </c>
      <c r="BL28" s="54">
        <f t="shared" si="6"/>
        <v>0</v>
      </c>
      <c r="BM28" s="54">
        <f t="shared" si="6"/>
        <v>0</v>
      </c>
      <c r="BN28" s="54">
        <f t="shared" si="6"/>
        <v>0</v>
      </c>
      <c r="BO28" s="54">
        <f t="shared" si="6"/>
        <v>0</v>
      </c>
      <c r="BP28" s="54">
        <f t="shared" si="6"/>
        <v>0</v>
      </c>
      <c r="BQ28" s="54">
        <f t="shared" si="6"/>
        <v>0</v>
      </c>
      <c r="BR28" s="54">
        <f t="shared" si="6"/>
        <v>0</v>
      </c>
      <c r="BS28" s="54">
        <f t="shared" si="6"/>
        <v>0</v>
      </c>
      <c r="BT28" s="54">
        <f t="shared" si="6"/>
        <v>0</v>
      </c>
      <c r="BU28" s="54">
        <f t="shared" si="6"/>
        <v>0</v>
      </c>
      <c r="BV28" s="54">
        <f t="shared" si="6"/>
        <v>0</v>
      </c>
      <c r="BW28" s="54">
        <f t="shared" si="6"/>
        <v>0</v>
      </c>
      <c r="BX28" s="54">
        <f t="shared" si="6"/>
        <v>0</v>
      </c>
      <c r="BY28" s="54">
        <f t="shared" si="6"/>
        <v>0</v>
      </c>
      <c r="BZ28" s="54">
        <f t="shared" si="6"/>
        <v>0</v>
      </c>
      <c r="CA28" s="54">
        <f t="shared" si="6"/>
        <v>0</v>
      </c>
      <c r="CB28" s="54">
        <f t="shared" si="6"/>
        <v>0</v>
      </c>
      <c r="CC28" s="54">
        <f t="shared" si="6"/>
        <v>0</v>
      </c>
      <c r="CD28" s="54">
        <f t="shared" si="6"/>
        <v>0</v>
      </c>
      <c r="CE28" s="54">
        <f t="shared" si="6"/>
        <v>0</v>
      </c>
    </row>
    <row r="29" spans="1:83" x14ac:dyDescent="0.25">
      <c r="A29" s="128" t="str">
        <f>A$17</f>
        <v>lot3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2"/>
      <c r="AB29" s="5"/>
      <c r="AC29" t="s">
        <v>387</v>
      </c>
      <c r="AE29" s="17">
        <v>13</v>
      </c>
      <c r="AG29" s="126">
        <f>HLOOKUP(AF$4,[1]Anx!$C$86:$CO$121,AE29)</f>
        <v>0</v>
      </c>
      <c r="AH29" s="61">
        <f t="shared" si="2"/>
        <v>0</v>
      </c>
      <c r="AI29" s="126">
        <f>Troupeau!E83</f>
        <v>0</v>
      </c>
      <c r="AK29" s="54">
        <f t="shared" si="3"/>
        <v>0</v>
      </c>
      <c r="AL29" s="54">
        <f t="shared" si="4"/>
        <v>0</v>
      </c>
      <c r="AM29" s="54">
        <f t="shared" si="4"/>
        <v>0</v>
      </c>
      <c r="AN29" s="54">
        <f t="shared" si="0"/>
        <v>0</v>
      </c>
      <c r="AO29" s="54">
        <f t="shared" si="0"/>
        <v>0</v>
      </c>
      <c r="AP29" s="54">
        <f t="shared" si="0"/>
        <v>0</v>
      </c>
      <c r="AQ29" s="54">
        <f t="shared" si="0"/>
        <v>0</v>
      </c>
      <c r="AR29" s="54">
        <f t="shared" si="0"/>
        <v>0</v>
      </c>
      <c r="AS29" s="54">
        <f t="shared" si="0"/>
        <v>0</v>
      </c>
      <c r="AT29" s="54">
        <f t="shared" si="0"/>
        <v>0</v>
      </c>
      <c r="AU29" s="54">
        <f t="shared" si="0"/>
        <v>0</v>
      </c>
      <c r="AV29" s="54">
        <f t="shared" si="0"/>
        <v>0</v>
      </c>
      <c r="AW29" s="54">
        <f t="shared" si="0"/>
        <v>0</v>
      </c>
      <c r="AX29" s="54">
        <f t="shared" si="0"/>
        <v>0</v>
      </c>
      <c r="AY29" s="54">
        <f t="shared" si="0"/>
        <v>0</v>
      </c>
      <c r="AZ29" s="54">
        <f t="shared" si="0"/>
        <v>0</v>
      </c>
      <c r="BA29" s="54">
        <f t="shared" si="0"/>
        <v>0</v>
      </c>
      <c r="BB29" s="54">
        <f t="shared" si="0"/>
        <v>0</v>
      </c>
      <c r="BC29" s="54">
        <f t="shared" si="0"/>
        <v>0</v>
      </c>
      <c r="BD29" s="54">
        <f t="shared" si="6"/>
        <v>0</v>
      </c>
      <c r="BE29" s="54">
        <f t="shared" si="6"/>
        <v>0</v>
      </c>
      <c r="BF29" s="54">
        <f t="shared" si="6"/>
        <v>0</v>
      </c>
      <c r="BG29" s="54">
        <f t="shared" si="6"/>
        <v>0</v>
      </c>
      <c r="BH29" s="54">
        <f t="shared" si="6"/>
        <v>0</v>
      </c>
      <c r="BI29" s="54">
        <f t="shared" si="6"/>
        <v>0</v>
      </c>
      <c r="BJ29" s="54">
        <f t="shared" si="6"/>
        <v>0</v>
      </c>
      <c r="BK29" s="54">
        <f t="shared" si="6"/>
        <v>0</v>
      </c>
      <c r="BL29" s="54">
        <f t="shared" si="6"/>
        <v>0</v>
      </c>
      <c r="BM29" s="54">
        <f t="shared" si="6"/>
        <v>0</v>
      </c>
      <c r="BN29" s="54">
        <f t="shared" si="6"/>
        <v>0</v>
      </c>
      <c r="BO29" s="54">
        <f t="shared" si="6"/>
        <v>0</v>
      </c>
      <c r="BP29" s="54">
        <f t="shared" si="6"/>
        <v>0</v>
      </c>
      <c r="BQ29" s="54">
        <f t="shared" si="6"/>
        <v>0</v>
      </c>
      <c r="BR29" s="54">
        <f t="shared" si="6"/>
        <v>0</v>
      </c>
      <c r="BS29" s="54">
        <f t="shared" si="6"/>
        <v>0</v>
      </c>
      <c r="BT29" s="54">
        <f t="shared" si="6"/>
        <v>0</v>
      </c>
      <c r="BU29" s="54">
        <f t="shared" si="6"/>
        <v>0</v>
      </c>
      <c r="BV29" s="54">
        <f t="shared" si="6"/>
        <v>0</v>
      </c>
      <c r="BW29" s="54">
        <f t="shared" si="6"/>
        <v>0</v>
      </c>
      <c r="BX29" s="54">
        <f t="shared" si="6"/>
        <v>0</v>
      </c>
      <c r="BY29" s="54">
        <f t="shared" si="6"/>
        <v>0</v>
      </c>
      <c r="BZ29" s="54">
        <f t="shared" si="6"/>
        <v>0</v>
      </c>
      <c r="CA29" s="54">
        <f t="shared" si="6"/>
        <v>0</v>
      </c>
      <c r="CB29" s="54">
        <f t="shared" si="6"/>
        <v>0</v>
      </c>
      <c r="CC29" s="54">
        <f t="shared" si="6"/>
        <v>0</v>
      </c>
      <c r="CD29" s="54">
        <f t="shared" si="6"/>
        <v>0</v>
      </c>
      <c r="CE29" s="54">
        <f t="shared" si="6"/>
        <v>0</v>
      </c>
    </row>
    <row r="30" spans="1:83" x14ac:dyDescent="0.25">
      <c r="A30" s="127" t="str">
        <f>A$18</f>
        <v>lot4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2"/>
      <c r="AB30" s="5"/>
      <c r="AC30" t="s">
        <v>388</v>
      </c>
      <c r="AE30" s="17">
        <v>14</v>
      </c>
      <c r="AG30" s="126">
        <f>HLOOKUP(AF$4,[1]Anx!$C$86:$CO$121,AE30)</f>
        <v>0</v>
      </c>
      <c r="AH30" s="61">
        <f t="shared" si="2"/>
        <v>0</v>
      </c>
      <c r="AI30" s="126">
        <f>Troupeau!E84</f>
        <v>0</v>
      </c>
      <c r="AK30" s="54">
        <f t="shared" si="3"/>
        <v>0</v>
      </c>
      <c r="AL30" s="54">
        <f t="shared" si="4"/>
        <v>0</v>
      </c>
      <c r="AM30" s="54">
        <f t="shared" si="4"/>
        <v>0</v>
      </c>
      <c r="AN30" s="54">
        <f t="shared" si="0"/>
        <v>0</v>
      </c>
      <c r="AO30" s="54">
        <f t="shared" si="0"/>
        <v>0</v>
      </c>
      <c r="AP30" s="54">
        <f t="shared" si="0"/>
        <v>0</v>
      </c>
      <c r="AQ30" s="54">
        <f t="shared" si="0"/>
        <v>0</v>
      </c>
      <c r="AR30" s="54">
        <f t="shared" si="0"/>
        <v>0</v>
      </c>
      <c r="AS30" s="54">
        <f t="shared" si="0"/>
        <v>0</v>
      </c>
      <c r="AT30" s="54">
        <f t="shared" si="0"/>
        <v>0</v>
      </c>
      <c r="AU30" s="54">
        <f t="shared" si="0"/>
        <v>0</v>
      </c>
      <c r="AV30" s="54">
        <f t="shared" si="0"/>
        <v>0</v>
      </c>
      <c r="AW30" s="54">
        <f t="shared" si="0"/>
        <v>0</v>
      </c>
      <c r="AX30" s="54">
        <f t="shared" si="0"/>
        <v>0</v>
      </c>
      <c r="AY30" s="54">
        <f t="shared" si="0"/>
        <v>0</v>
      </c>
      <c r="AZ30" s="54">
        <f t="shared" si="0"/>
        <v>0</v>
      </c>
      <c r="BA30" s="54">
        <f t="shared" si="0"/>
        <v>0</v>
      </c>
      <c r="BB30" s="54">
        <f t="shared" si="0"/>
        <v>0</v>
      </c>
      <c r="BC30" s="54">
        <f t="shared" si="0"/>
        <v>0</v>
      </c>
      <c r="BD30" s="54">
        <f t="shared" si="6"/>
        <v>0</v>
      </c>
      <c r="BE30" s="54">
        <f t="shared" si="6"/>
        <v>0</v>
      </c>
      <c r="BF30" s="54">
        <f t="shared" si="6"/>
        <v>0</v>
      </c>
      <c r="BG30" s="54">
        <f t="shared" si="6"/>
        <v>0</v>
      </c>
      <c r="BH30" s="54">
        <f t="shared" si="6"/>
        <v>0</v>
      </c>
      <c r="BI30" s="54">
        <f t="shared" si="6"/>
        <v>0</v>
      </c>
      <c r="BJ30" s="54">
        <f t="shared" si="6"/>
        <v>0</v>
      </c>
      <c r="BK30" s="54">
        <f t="shared" si="6"/>
        <v>0</v>
      </c>
      <c r="BL30" s="54">
        <f t="shared" si="6"/>
        <v>0</v>
      </c>
      <c r="BM30" s="54">
        <f t="shared" si="6"/>
        <v>0</v>
      </c>
      <c r="BN30" s="54">
        <f t="shared" si="6"/>
        <v>0</v>
      </c>
      <c r="BO30" s="54">
        <f t="shared" si="6"/>
        <v>0</v>
      </c>
      <c r="BP30" s="54">
        <f t="shared" si="6"/>
        <v>0</v>
      </c>
      <c r="BQ30" s="54">
        <f t="shared" si="6"/>
        <v>0</v>
      </c>
      <c r="BR30" s="54">
        <f t="shared" si="6"/>
        <v>0</v>
      </c>
      <c r="BS30" s="54">
        <f t="shared" si="6"/>
        <v>0</v>
      </c>
      <c r="BT30" s="54">
        <f t="shared" si="6"/>
        <v>0</v>
      </c>
      <c r="BU30" s="54">
        <f t="shared" si="6"/>
        <v>0</v>
      </c>
      <c r="BV30" s="54">
        <f t="shared" si="6"/>
        <v>0</v>
      </c>
      <c r="BW30" s="54">
        <f t="shared" si="6"/>
        <v>0</v>
      </c>
      <c r="BX30" s="54">
        <f t="shared" si="6"/>
        <v>0</v>
      </c>
      <c r="BY30" s="54">
        <f t="shared" si="6"/>
        <v>0</v>
      </c>
      <c r="BZ30" s="54">
        <f t="shared" si="6"/>
        <v>0</v>
      </c>
      <c r="CA30" s="54">
        <f t="shared" si="6"/>
        <v>0</v>
      </c>
      <c r="CB30" s="54">
        <f t="shared" si="6"/>
        <v>0</v>
      </c>
      <c r="CC30" s="54">
        <f t="shared" si="6"/>
        <v>0</v>
      </c>
      <c r="CD30" s="54">
        <f t="shared" si="6"/>
        <v>0</v>
      </c>
      <c r="CE30" s="54">
        <f t="shared" si="6"/>
        <v>0</v>
      </c>
    </row>
    <row r="31" spans="1:83" x14ac:dyDescent="0.25">
      <c r="A31" s="128" t="str">
        <f>A$19</f>
        <v>lot5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52"/>
      <c r="AB31" s="5"/>
      <c r="AC31" t="s">
        <v>389</v>
      </c>
      <c r="AE31" s="17">
        <v>15</v>
      </c>
      <c r="AG31" s="126">
        <f>HLOOKUP(AF$4,[1]Anx!$C$86:$CO$121,AE31)</f>
        <v>0</v>
      </c>
      <c r="AH31" s="61">
        <f t="shared" si="2"/>
        <v>0</v>
      </c>
      <c r="AI31" s="126">
        <f>Troupeau!E85</f>
        <v>0</v>
      </c>
      <c r="AK31" s="54">
        <f t="shared" si="3"/>
        <v>0</v>
      </c>
      <c r="AL31" s="54">
        <f t="shared" si="4"/>
        <v>0</v>
      </c>
      <c r="AM31" s="54">
        <f t="shared" si="4"/>
        <v>0</v>
      </c>
      <c r="AN31" s="54">
        <f t="shared" si="0"/>
        <v>0</v>
      </c>
      <c r="AO31" s="54">
        <f t="shared" si="0"/>
        <v>0</v>
      </c>
      <c r="AP31" s="54">
        <f t="shared" si="0"/>
        <v>0</v>
      </c>
      <c r="AQ31" s="54">
        <f t="shared" si="0"/>
        <v>0</v>
      </c>
      <c r="AR31" s="54">
        <f t="shared" si="0"/>
        <v>0</v>
      </c>
      <c r="AS31" s="54">
        <f t="shared" si="0"/>
        <v>0</v>
      </c>
      <c r="AT31" s="54">
        <f t="shared" si="0"/>
        <v>0</v>
      </c>
      <c r="AU31" s="54">
        <f t="shared" si="0"/>
        <v>0</v>
      </c>
      <c r="AV31" s="54">
        <f t="shared" si="0"/>
        <v>0</v>
      </c>
      <c r="AW31" s="54">
        <f t="shared" si="0"/>
        <v>0</v>
      </c>
      <c r="AX31" s="54">
        <f t="shared" si="0"/>
        <v>0</v>
      </c>
      <c r="AY31" s="54">
        <f t="shared" si="0"/>
        <v>0</v>
      </c>
      <c r="AZ31" s="54">
        <f t="shared" si="0"/>
        <v>0</v>
      </c>
      <c r="BA31" s="54">
        <f t="shared" si="0"/>
        <v>0</v>
      </c>
      <c r="BB31" s="54">
        <f t="shared" si="0"/>
        <v>0</v>
      </c>
      <c r="BC31" s="54">
        <f t="shared" si="0"/>
        <v>0</v>
      </c>
      <c r="BD31" s="54">
        <f t="shared" si="6"/>
        <v>0</v>
      </c>
      <c r="BE31" s="54">
        <f t="shared" si="6"/>
        <v>0</v>
      </c>
      <c r="BF31" s="54">
        <f t="shared" si="6"/>
        <v>0</v>
      </c>
      <c r="BG31" s="54">
        <f t="shared" si="6"/>
        <v>0</v>
      </c>
      <c r="BH31" s="54">
        <f t="shared" si="6"/>
        <v>0</v>
      </c>
      <c r="BI31" s="54">
        <f t="shared" si="6"/>
        <v>0</v>
      </c>
      <c r="BJ31" s="54">
        <f t="shared" si="6"/>
        <v>0</v>
      </c>
      <c r="BK31" s="54">
        <f t="shared" si="6"/>
        <v>0</v>
      </c>
      <c r="BL31" s="54">
        <f t="shared" si="6"/>
        <v>0</v>
      </c>
      <c r="BM31" s="54">
        <f t="shared" si="6"/>
        <v>0</v>
      </c>
      <c r="BN31" s="54">
        <f t="shared" si="6"/>
        <v>0</v>
      </c>
      <c r="BO31" s="54">
        <f t="shared" si="6"/>
        <v>0</v>
      </c>
      <c r="BP31" s="54">
        <f t="shared" si="6"/>
        <v>0</v>
      </c>
      <c r="BQ31" s="54">
        <f t="shared" si="6"/>
        <v>0</v>
      </c>
      <c r="BR31" s="54">
        <f t="shared" si="6"/>
        <v>0</v>
      </c>
      <c r="BS31" s="54">
        <f t="shared" si="6"/>
        <v>0</v>
      </c>
      <c r="BT31" s="54">
        <f t="shared" si="6"/>
        <v>0</v>
      </c>
      <c r="BU31" s="54">
        <f t="shared" si="6"/>
        <v>0</v>
      </c>
      <c r="BV31" s="54">
        <f t="shared" si="6"/>
        <v>0</v>
      </c>
      <c r="BW31" s="54">
        <f t="shared" si="6"/>
        <v>0</v>
      </c>
      <c r="BX31" s="54">
        <f t="shared" si="6"/>
        <v>0</v>
      </c>
      <c r="BY31" s="54">
        <f t="shared" si="6"/>
        <v>0</v>
      </c>
      <c r="BZ31" s="54">
        <f t="shared" si="6"/>
        <v>0</v>
      </c>
      <c r="CA31" s="54">
        <f t="shared" si="6"/>
        <v>0</v>
      </c>
      <c r="CB31" s="54">
        <f t="shared" si="6"/>
        <v>0</v>
      </c>
      <c r="CC31" s="54">
        <f t="shared" si="6"/>
        <v>0</v>
      </c>
      <c r="CD31" s="54">
        <f t="shared" si="6"/>
        <v>0</v>
      </c>
      <c r="CE31" s="54">
        <f t="shared" si="6"/>
        <v>0</v>
      </c>
    </row>
    <row r="32" spans="1:83" x14ac:dyDescent="0.25">
      <c r="A32" s="127" t="str">
        <f>A$20</f>
        <v>lot6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52"/>
      <c r="AB32" s="5"/>
      <c r="AC32" t="s">
        <v>390</v>
      </c>
      <c r="AE32" s="17">
        <v>16</v>
      </c>
      <c r="AG32" s="126">
        <f>HLOOKUP(AF$4,[1]Anx!$C$86:$CO$121,AE32)</f>
        <v>0</v>
      </c>
      <c r="AH32" s="61">
        <f t="shared" ref="AH32:AH52" si="7">VALUE(LEFT(AG32,2))</f>
        <v>0</v>
      </c>
      <c r="AI32" s="126">
        <f>Troupeau!E86</f>
        <v>0</v>
      </c>
      <c r="AK32" s="54">
        <f t="shared" si="3"/>
        <v>0</v>
      </c>
      <c r="AL32" s="54">
        <f t="shared" si="4"/>
        <v>0</v>
      </c>
      <c r="AM32" s="54">
        <f t="shared" si="4"/>
        <v>0</v>
      </c>
      <c r="AN32" s="54">
        <f t="shared" si="0"/>
        <v>0</v>
      </c>
      <c r="AO32" s="54">
        <f t="shared" si="0"/>
        <v>0</v>
      </c>
      <c r="AP32" s="54">
        <f t="shared" si="0"/>
        <v>0</v>
      </c>
      <c r="AQ32" s="54">
        <f t="shared" si="0"/>
        <v>0</v>
      </c>
      <c r="AR32" s="54">
        <f t="shared" si="0"/>
        <v>0</v>
      </c>
      <c r="AS32" s="54">
        <f t="shared" si="0"/>
        <v>0</v>
      </c>
      <c r="AT32" s="54">
        <f t="shared" si="0"/>
        <v>0</v>
      </c>
      <c r="AU32" s="54">
        <f t="shared" si="0"/>
        <v>0</v>
      </c>
      <c r="AV32" s="54">
        <f t="shared" si="0"/>
        <v>0</v>
      </c>
      <c r="AW32" s="54">
        <f t="shared" si="0"/>
        <v>0</v>
      </c>
      <c r="AX32" s="54">
        <f t="shared" si="0"/>
        <v>0</v>
      </c>
      <c r="AY32" s="54">
        <f t="shared" si="0"/>
        <v>0</v>
      </c>
      <c r="AZ32" s="54">
        <f t="shared" si="0"/>
        <v>0</v>
      </c>
      <c r="BA32" s="54">
        <f t="shared" si="0"/>
        <v>0</v>
      </c>
      <c r="BB32" s="54">
        <f t="shared" si="0"/>
        <v>0</v>
      </c>
      <c r="BC32" s="54">
        <f t="shared" si="0"/>
        <v>0</v>
      </c>
      <c r="BD32" s="54">
        <f t="shared" si="6"/>
        <v>0</v>
      </c>
      <c r="BE32" s="54">
        <f t="shared" si="6"/>
        <v>0</v>
      </c>
      <c r="BF32" s="54">
        <f t="shared" si="6"/>
        <v>0</v>
      </c>
      <c r="BG32" s="54">
        <f t="shared" si="6"/>
        <v>0</v>
      </c>
      <c r="BH32" s="54">
        <f t="shared" si="6"/>
        <v>0</v>
      </c>
      <c r="BI32" s="54">
        <f t="shared" si="6"/>
        <v>0</v>
      </c>
      <c r="BJ32" s="54">
        <f t="shared" si="6"/>
        <v>0</v>
      </c>
      <c r="BK32" s="54">
        <f t="shared" si="6"/>
        <v>0</v>
      </c>
      <c r="BL32" s="54">
        <f t="shared" si="6"/>
        <v>0</v>
      </c>
      <c r="BM32" s="54">
        <f t="shared" si="6"/>
        <v>0</v>
      </c>
      <c r="BN32" s="54">
        <f t="shared" si="6"/>
        <v>0</v>
      </c>
      <c r="BO32" s="54">
        <f t="shared" si="6"/>
        <v>0</v>
      </c>
      <c r="BP32" s="54">
        <f t="shared" si="6"/>
        <v>0</v>
      </c>
      <c r="BQ32" s="54">
        <f t="shared" si="6"/>
        <v>0</v>
      </c>
      <c r="BR32" s="54">
        <f t="shared" si="6"/>
        <v>0</v>
      </c>
      <c r="BS32" s="54">
        <f t="shared" si="6"/>
        <v>0</v>
      </c>
      <c r="BT32" s="54">
        <f t="shared" si="6"/>
        <v>0</v>
      </c>
      <c r="BU32" s="54">
        <f t="shared" si="6"/>
        <v>0</v>
      </c>
      <c r="BV32" s="54">
        <f t="shared" si="6"/>
        <v>0</v>
      </c>
      <c r="BW32" s="54">
        <f t="shared" si="6"/>
        <v>0</v>
      </c>
      <c r="BX32" s="54">
        <f t="shared" si="6"/>
        <v>0</v>
      </c>
      <c r="BY32" s="54">
        <f t="shared" si="6"/>
        <v>0</v>
      </c>
      <c r="BZ32" s="54">
        <f t="shared" si="6"/>
        <v>0</v>
      </c>
      <c r="CA32" s="54">
        <f t="shared" si="6"/>
        <v>0</v>
      </c>
      <c r="CB32" s="54">
        <f t="shared" si="6"/>
        <v>0</v>
      </c>
      <c r="CC32" s="54">
        <f t="shared" si="6"/>
        <v>0</v>
      </c>
      <c r="CD32" s="54">
        <f t="shared" si="6"/>
        <v>0</v>
      </c>
      <c r="CE32" s="54">
        <f t="shared" si="6"/>
        <v>0</v>
      </c>
    </row>
    <row r="33" spans="1:83" x14ac:dyDescent="0.25">
      <c r="A33" s="128" t="str">
        <f>A$21</f>
        <v>lot7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52"/>
      <c r="AB33" s="5"/>
      <c r="AC33" t="s">
        <v>391</v>
      </c>
      <c r="AE33" s="17">
        <v>17</v>
      </c>
      <c r="AG33" s="126">
        <f>HLOOKUP(AF$4,[1]Anx!$C$86:$CO$121,AE33)</f>
        <v>0</v>
      </c>
      <c r="AH33" s="61">
        <f t="shared" si="7"/>
        <v>0</v>
      </c>
      <c r="AI33" s="126">
        <f>Troupeau!E87</f>
        <v>0</v>
      </c>
      <c r="AK33" s="54">
        <f t="shared" si="3"/>
        <v>0</v>
      </c>
      <c r="AL33" s="54">
        <f t="shared" si="4"/>
        <v>0</v>
      </c>
      <c r="AM33" s="54">
        <f t="shared" si="4"/>
        <v>0</v>
      </c>
      <c r="AN33" s="54">
        <f t="shared" si="0"/>
        <v>0</v>
      </c>
      <c r="AO33" s="54">
        <f t="shared" si="0"/>
        <v>0</v>
      </c>
      <c r="AP33" s="54">
        <f t="shared" si="0"/>
        <v>0</v>
      </c>
      <c r="AQ33" s="54">
        <f t="shared" si="0"/>
        <v>0</v>
      </c>
      <c r="AR33" s="54">
        <f t="shared" si="0"/>
        <v>0</v>
      </c>
      <c r="AS33" s="54">
        <f t="shared" si="0"/>
        <v>0</v>
      </c>
      <c r="AT33" s="54">
        <f t="shared" si="0"/>
        <v>0</v>
      </c>
      <c r="AU33" s="54">
        <f t="shared" si="0"/>
        <v>0</v>
      </c>
      <c r="AV33" s="54">
        <f t="shared" si="0"/>
        <v>0</v>
      </c>
      <c r="AW33" s="54">
        <f t="shared" si="0"/>
        <v>0</v>
      </c>
      <c r="AX33" s="54">
        <f t="shared" si="0"/>
        <v>0</v>
      </c>
      <c r="AY33" s="54">
        <f t="shared" si="0"/>
        <v>0</v>
      </c>
      <c r="AZ33" s="54">
        <f t="shared" si="0"/>
        <v>0</v>
      </c>
      <c r="BA33" s="54">
        <f t="shared" si="0"/>
        <v>0</v>
      </c>
      <c r="BB33" s="54">
        <f t="shared" si="0"/>
        <v>0</v>
      </c>
      <c r="BC33" s="54">
        <f t="shared" ref="AN33:BC49" si="8">IF($AH33=BC$17,ROUND($AI33/1000,1),0)</f>
        <v>0</v>
      </c>
      <c r="BD33" s="54">
        <f t="shared" si="6"/>
        <v>0</v>
      </c>
      <c r="BE33" s="54">
        <f t="shared" si="6"/>
        <v>0</v>
      </c>
      <c r="BF33" s="54">
        <f t="shared" si="6"/>
        <v>0</v>
      </c>
      <c r="BG33" s="54">
        <f t="shared" si="6"/>
        <v>0</v>
      </c>
      <c r="BH33" s="54">
        <f t="shared" si="6"/>
        <v>0</v>
      </c>
      <c r="BI33" s="54">
        <f t="shared" si="6"/>
        <v>0</v>
      </c>
      <c r="BJ33" s="54">
        <f t="shared" si="6"/>
        <v>0</v>
      </c>
      <c r="BK33" s="54">
        <f t="shared" si="6"/>
        <v>0</v>
      </c>
      <c r="BL33" s="54">
        <f t="shared" si="6"/>
        <v>0</v>
      </c>
      <c r="BM33" s="54">
        <f t="shared" si="6"/>
        <v>0</v>
      </c>
      <c r="BN33" s="54">
        <f t="shared" si="6"/>
        <v>0</v>
      </c>
      <c r="BO33" s="54">
        <f t="shared" si="6"/>
        <v>0</v>
      </c>
      <c r="BP33" s="54">
        <f t="shared" si="6"/>
        <v>0</v>
      </c>
      <c r="BQ33" s="54">
        <f t="shared" si="6"/>
        <v>0</v>
      </c>
      <c r="BR33" s="54">
        <f t="shared" si="6"/>
        <v>0</v>
      </c>
      <c r="BS33" s="54">
        <f t="shared" si="6"/>
        <v>0</v>
      </c>
      <c r="BT33" s="54">
        <f t="shared" si="6"/>
        <v>0</v>
      </c>
      <c r="BU33" s="54">
        <f t="shared" si="6"/>
        <v>0</v>
      </c>
      <c r="BV33" s="54">
        <f t="shared" si="6"/>
        <v>0</v>
      </c>
      <c r="BW33" s="54">
        <f t="shared" si="6"/>
        <v>0</v>
      </c>
      <c r="BX33" s="54">
        <f t="shared" si="6"/>
        <v>0</v>
      </c>
      <c r="BY33" s="54">
        <f t="shared" si="6"/>
        <v>0</v>
      </c>
      <c r="BZ33" s="54">
        <f t="shared" si="6"/>
        <v>0</v>
      </c>
      <c r="CA33" s="54">
        <f t="shared" si="6"/>
        <v>0</v>
      </c>
      <c r="CB33" s="54">
        <f t="shared" si="6"/>
        <v>0</v>
      </c>
      <c r="CC33" s="54">
        <f t="shared" si="6"/>
        <v>0</v>
      </c>
      <c r="CD33" s="54">
        <f t="shared" si="6"/>
        <v>0</v>
      </c>
      <c r="CE33" s="54">
        <f t="shared" si="6"/>
        <v>0</v>
      </c>
    </row>
    <row r="34" spans="1:83" x14ac:dyDescent="0.25">
      <c r="A34" s="128" t="str">
        <f>A$22</f>
        <v>lot8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52"/>
      <c r="AB34" s="5"/>
      <c r="AC34" t="s">
        <v>392</v>
      </c>
      <c r="AE34" s="17">
        <v>18</v>
      </c>
      <c r="AG34" s="126">
        <f>HLOOKUP(AF$4,[1]Anx!$C$86:$CO$121,AE34)</f>
        <v>0</v>
      </c>
      <c r="AH34" s="61">
        <f t="shared" si="7"/>
        <v>0</v>
      </c>
      <c r="AI34" s="126">
        <f>Troupeau!E88</f>
        <v>0</v>
      </c>
      <c r="AK34" s="54">
        <f t="shared" si="3"/>
        <v>0</v>
      </c>
      <c r="AL34" s="54">
        <f t="shared" si="4"/>
        <v>0</v>
      </c>
      <c r="AM34" s="54">
        <f t="shared" si="4"/>
        <v>0</v>
      </c>
      <c r="AN34" s="54">
        <f t="shared" si="8"/>
        <v>0</v>
      </c>
      <c r="AO34" s="54">
        <f t="shared" si="8"/>
        <v>0</v>
      </c>
      <c r="AP34" s="54">
        <f t="shared" si="8"/>
        <v>0</v>
      </c>
      <c r="AQ34" s="54">
        <f t="shared" si="8"/>
        <v>0</v>
      </c>
      <c r="AR34" s="54">
        <f t="shared" si="8"/>
        <v>0</v>
      </c>
      <c r="AS34" s="54">
        <f t="shared" si="8"/>
        <v>0</v>
      </c>
      <c r="AT34" s="54">
        <f t="shared" si="8"/>
        <v>0</v>
      </c>
      <c r="AU34" s="54">
        <f t="shared" si="8"/>
        <v>0</v>
      </c>
      <c r="AV34" s="54">
        <f t="shared" si="8"/>
        <v>0</v>
      </c>
      <c r="AW34" s="54">
        <f t="shared" si="8"/>
        <v>0</v>
      </c>
      <c r="AX34" s="54">
        <f t="shared" si="8"/>
        <v>0</v>
      </c>
      <c r="AY34" s="54">
        <f t="shared" si="8"/>
        <v>0</v>
      </c>
      <c r="AZ34" s="54">
        <f t="shared" si="8"/>
        <v>0</v>
      </c>
      <c r="BA34" s="54">
        <f t="shared" si="8"/>
        <v>0</v>
      </c>
      <c r="BB34" s="54">
        <f t="shared" si="8"/>
        <v>0</v>
      </c>
      <c r="BC34" s="54">
        <f t="shared" si="8"/>
        <v>0</v>
      </c>
      <c r="BD34" s="54">
        <f t="shared" si="6"/>
        <v>0</v>
      </c>
      <c r="BE34" s="54">
        <f t="shared" si="6"/>
        <v>0</v>
      </c>
      <c r="BF34" s="54">
        <f t="shared" si="6"/>
        <v>0</v>
      </c>
      <c r="BG34" s="54">
        <f t="shared" si="6"/>
        <v>0</v>
      </c>
      <c r="BH34" s="54">
        <f t="shared" si="6"/>
        <v>0</v>
      </c>
      <c r="BI34" s="54">
        <f t="shared" si="6"/>
        <v>0</v>
      </c>
      <c r="BJ34" s="54">
        <f t="shared" si="6"/>
        <v>0</v>
      </c>
      <c r="BK34" s="54">
        <f t="shared" si="6"/>
        <v>0</v>
      </c>
      <c r="BL34" s="54">
        <f t="shared" si="6"/>
        <v>0</v>
      </c>
      <c r="BM34" s="54">
        <f t="shared" si="6"/>
        <v>0</v>
      </c>
      <c r="BN34" s="54">
        <f t="shared" si="6"/>
        <v>0</v>
      </c>
      <c r="BO34" s="54">
        <f t="shared" si="6"/>
        <v>0</v>
      </c>
      <c r="BP34" s="54">
        <f t="shared" si="6"/>
        <v>0</v>
      </c>
      <c r="BQ34" s="54">
        <f t="shared" si="6"/>
        <v>0</v>
      </c>
      <c r="BR34" s="54">
        <f t="shared" si="6"/>
        <v>0</v>
      </c>
      <c r="BS34" s="54">
        <f t="shared" si="6"/>
        <v>0</v>
      </c>
      <c r="BT34" s="54">
        <f t="shared" si="6"/>
        <v>0</v>
      </c>
      <c r="BU34" s="54">
        <f t="shared" si="6"/>
        <v>0</v>
      </c>
      <c r="BV34" s="54">
        <f t="shared" si="6"/>
        <v>0</v>
      </c>
      <c r="BW34" s="54">
        <f t="shared" si="6"/>
        <v>0</v>
      </c>
      <c r="BX34" s="54">
        <f t="shared" si="6"/>
        <v>0</v>
      </c>
      <c r="BY34" s="54">
        <f t="shared" si="6"/>
        <v>0</v>
      </c>
      <c r="BZ34" s="54">
        <f t="shared" si="6"/>
        <v>0</v>
      </c>
      <c r="CA34" s="54">
        <f t="shared" si="6"/>
        <v>0</v>
      </c>
      <c r="CB34" s="54">
        <f t="shared" si="6"/>
        <v>0</v>
      </c>
      <c r="CC34" s="54">
        <f t="shared" si="6"/>
        <v>0</v>
      </c>
      <c r="CD34" s="54">
        <f t="shared" si="6"/>
        <v>0</v>
      </c>
      <c r="CE34" s="54">
        <f t="shared" si="6"/>
        <v>0</v>
      </c>
    </row>
    <row r="35" spans="1:83" x14ac:dyDescent="0.25">
      <c r="A35" s="127" t="str">
        <f>A$23</f>
        <v>lot9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52"/>
      <c r="AB35" s="5"/>
      <c r="AC35" t="s">
        <v>393</v>
      </c>
      <c r="AE35" s="17">
        <v>19</v>
      </c>
      <c r="AG35" s="126">
        <f>HLOOKUP(AF$4,[1]Anx!$C$86:$CO$121,AE35)</f>
        <v>0</v>
      </c>
      <c r="AH35" s="61">
        <f t="shared" si="7"/>
        <v>0</v>
      </c>
      <c r="AI35" s="126">
        <f>Troupeau!E89</f>
        <v>0</v>
      </c>
      <c r="AK35" s="54">
        <f t="shared" si="3"/>
        <v>0</v>
      </c>
      <c r="AL35" s="54">
        <f t="shared" ref="AL35:AM52" si="9">IF($AH35=AL$17,ROUND($AI35/1000,1),0)</f>
        <v>0</v>
      </c>
      <c r="AM35" s="54">
        <f t="shared" si="9"/>
        <v>0</v>
      </c>
      <c r="AN35" s="54">
        <f t="shared" si="8"/>
        <v>0</v>
      </c>
      <c r="AO35" s="54">
        <f t="shared" si="8"/>
        <v>0</v>
      </c>
      <c r="AP35" s="54">
        <f t="shared" si="8"/>
        <v>0</v>
      </c>
      <c r="AQ35" s="54">
        <f t="shared" si="8"/>
        <v>0</v>
      </c>
      <c r="AR35" s="54">
        <f t="shared" si="8"/>
        <v>0</v>
      </c>
      <c r="AS35" s="54">
        <f t="shared" si="8"/>
        <v>0</v>
      </c>
      <c r="AT35" s="54">
        <f t="shared" si="8"/>
        <v>0</v>
      </c>
      <c r="AU35" s="54">
        <f t="shared" si="8"/>
        <v>0</v>
      </c>
      <c r="AV35" s="54">
        <f t="shared" si="8"/>
        <v>0</v>
      </c>
      <c r="AW35" s="54">
        <f t="shared" si="8"/>
        <v>0</v>
      </c>
      <c r="AX35" s="54">
        <f t="shared" si="8"/>
        <v>0</v>
      </c>
      <c r="AY35" s="54">
        <f t="shared" si="8"/>
        <v>0</v>
      </c>
      <c r="AZ35" s="54">
        <f t="shared" si="8"/>
        <v>0</v>
      </c>
      <c r="BA35" s="54">
        <f t="shared" si="8"/>
        <v>0</v>
      </c>
      <c r="BB35" s="54">
        <f t="shared" si="8"/>
        <v>0</v>
      </c>
      <c r="BC35" s="54">
        <f t="shared" si="8"/>
        <v>0</v>
      </c>
      <c r="BD35" s="54">
        <f t="shared" si="6"/>
        <v>0</v>
      </c>
      <c r="BE35" s="54">
        <f t="shared" si="6"/>
        <v>0</v>
      </c>
      <c r="BF35" s="54">
        <f t="shared" si="6"/>
        <v>0</v>
      </c>
      <c r="BG35" s="54">
        <f t="shared" si="6"/>
        <v>0</v>
      </c>
      <c r="BH35" s="54">
        <f t="shared" si="6"/>
        <v>0</v>
      </c>
      <c r="BI35" s="54">
        <f t="shared" si="6"/>
        <v>0</v>
      </c>
      <c r="BJ35" s="54">
        <f t="shared" si="6"/>
        <v>0</v>
      </c>
      <c r="BK35" s="54">
        <f t="shared" si="6"/>
        <v>0</v>
      </c>
      <c r="BL35" s="54">
        <f t="shared" si="6"/>
        <v>0</v>
      </c>
      <c r="BM35" s="54">
        <f t="shared" si="6"/>
        <v>0</v>
      </c>
      <c r="BN35" s="54">
        <f t="shared" si="6"/>
        <v>0</v>
      </c>
      <c r="BO35" s="54">
        <f t="shared" si="6"/>
        <v>0</v>
      </c>
      <c r="BP35" s="54">
        <f t="shared" si="6"/>
        <v>0</v>
      </c>
      <c r="BQ35" s="54">
        <f t="shared" si="6"/>
        <v>0</v>
      </c>
      <c r="BR35" s="54">
        <f t="shared" si="6"/>
        <v>0</v>
      </c>
      <c r="BS35" s="54">
        <f t="shared" si="6"/>
        <v>0</v>
      </c>
      <c r="BT35" s="54">
        <f t="shared" si="6"/>
        <v>0</v>
      </c>
      <c r="BU35" s="54">
        <f t="shared" si="6"/>
        <v>0</v>
      </c>
      <c r="BV35" s="54">
        <f t="shared" si="6"/>
        <v>0</v>
      </c>
      <c r="BW35" s="54">
        <f t="shared" si="6"/>
        <v>0</v>
      </c>
      <c r="BX35" s="54">
        <f t="shared" si="6"/>
        <v>0</v>
      </c>
      <c r="BY35" s="54">
        <f t="shared" si="6"/>
        <v>0</v>
      </c>
      <c r="BZ35" s="54">
        <f t="shared" si="6"/>
        <v>0</v>
      </c>
      <c r="CA35" s="54">
        <f t="shared" si="6"/>
        <v>0</v>
      </c>
      <c r="CB35" s="54">
        <f t="shared" si="6"/>
        <v>0</v>
      </c>
      <c r="CC35" s="54">
        <f t="shared" si="6"/>
        <v>0</v>
      </c>
      <c r="CD35" s="54">
        <f t="shared" si="6"/>
        <v>0</v>
      </c>
      <c r="CE35" s="54">
        <f t="shared" si="6"/>
        <v>0</v>
      </c>
    </row>
    <row r="36" spans="1:83" x14ac:dyDescent="0.25">
      <c r="A36" s="128" t="str">
        <f>A$24</f>
        <v>lot10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52"/>
      <c r="AB36" s="5"/>
      <c r="AC36" t="s">
        <v>394</v>
      </c>
      <c r="AE36" s="17">
        <v>20</v>
      </c>
      <c r="AG36" s="126">
        <f>HLOOKUP(AF$4,[1]Anx!$C$86:$CO$121,AE36)</f>
        <v>0</v>
      </c>
      <c r="AH36" s="61">
        <f t="shared" si="7"/>
        <v>0</v>
      </c>
      <c r="AI36" s="126">
        <f>Troupeau!E90</f>
        <v>0</v>
      </c>
      <c r="AK36" s="54">
        <f t="shared" si="3"/>
        <v>0</v>
      </c>
      <c r="AL36" s="54">
        <f t="shared" si="9"/>
        <v>0</v>
      </c>
      <c r="AM36" s="54">
        <f t="shared" si="9"/>
        <v>0</v>
      </c>
      <c r="AN36" s="54">
        <f t="shared" si="8"/>
        <v>0</v>
      </c>
      <c r="AO36" s="54">
        <f t="shared" si="8"/>
        <v>0</v>
      </c>
      <c r="AP36" s="54">
        <f t="shared" si="8"/>
        <v>0</v>
      </c>
      <c r="AQ36" s="54">
        <f t="shared" si="8"/>
        <v>0</v>
      </c>
      <c r="AR36" s="54">
        <f t="shared" si="8"/>
        <v>0</v>
      </c>
      <c r="AS36" s="54">
        <f t="shared" si="8"/>
        <v>0</v>
      </c>
      <c r="AT36" s="54">
        <f t="shared" si="8"/>
        <v>0</v>
      </c>
      <c r="AU36" s="54">
        <f t="shared" si="8"/>
        <v>0</v>
      </c>
      <c r="AV36" s="54">
        <f t="shared" si="8"/>
        <v>0</v>
      </c>
      <c r="AW36" s="54">
        <f t="shared" si="8"/>
        <v>0</v>
      </c>
      <c r="AX36" s="54">
        <f t="shared" si="8"/>
        <v>0</v>
      </c>
      <c r="AY36" s="54">
        <f t="shared" si="8"/>
        <v>0</v>
      </c>
      <c r="AZ36" s="54">
        <f t="shared" si="8"/>
        <v>0</v>
      </c>
      <c r="BA36" s="54">
        <f t="shared" si="8"/>
        <v>0</v>
      </c>
      <c r="BB36" s="54">
        <f t="shared" si="8"/>
        <v>0</v>
      </c>
      <c r="BC36" s="54">
        <f t="shared" si="8"/>
        <v>0</v>
      </c>
      <c r="BD36" s="54">
        <f t="shared" si="6"/>
        <v>0</v>
      </c>
      <c r="BE36" s="54">
        <f t="shared" si="6"/>
        <v>0</v>
      </c>
      <c r="BF36" s="54">
        <f t="shared" si="6"/>
        <v>0</v>
      </c>
      <c r="BG36" s="54">
        <f t="shared" si="6"/>
        <v>0</v>
      </c>
      <c r="BH36" s="54">
        <f t="shared" si="6"/>
        <v>0</v>
      </c>
      <c r="BI36" s="54">
        <f t="shared" si="6"/>
        <v>0</v>
      </c>
      <c r="BJ36" s="54">
        <f t="shared" si="6"/>
        <v>0</v>
      </c>
      <c r="BK36" s="54">
        <f t="shared" si="6"/>
        <v>0</v>
      </c>
      <c r="BL36" s="54">
        <f t="shared" si="6"/>
        <v>0</v>
      </c>
      <c r="BM36" s="54">
        <f t="shared" si="6"/>
        <v>0</v>
      </c>
      <c r="BN36" s="54">
        <f t="shared" si="6"/>
        <v>0</v>
      </c>
      <c r="BO36" s="54">
        <f t="shared" si="6"/>
        <v>0</v>
      </c>
      <c r="BP36" s="54">
        <f t="shared" si="6"/>
        <v>0</v>
      </c>
      <c r="BQ36" s="54">
        <f t="shared" si="6"/>
        <v>0</v>
      </c>
      <c r="BR36" s="54">
        <f t="shared" si="6"/>
        <v>0</v>
      </c>
      <c r="BS36" s="54">
        <f t="shared" si="6"/>
        <v>0</v>
      </c>
      <c r="BT36" s="54">
        <f t="shared" si="6"/>
        <v>0</v>
      </c>
      <c r="BU36" s="54">
        <f t="shared" si="6"/>
        <v>0</v>
      </c>
      <c r="BV36" s="54">
        <f t="shared" si="6"/>
        <v>0</v>
      </c>
      <c r="BW36" s="54">
        <f t="shared" si="6"/>
        <v>0</v>
      </c>
      <c r="BX36" s="54">
        <f t="shared" si="6"/>
        <v>0</v>
      </c>
      <c r="BY36" s="54">
        <f t="shared" si="6"/>
        <v>0</v>
      </c>
      <c r="BZ36" s="54">
        <f t="shared" si="6"/>
        <v>0</v>
      </c>
      <c r="CA36" s="54">
        <f t="shared" si="6"/>
        <v>0</v>
      </c>
      <c r="CB36" s="54">
        <f t="shared" si="6"/>
        <v>0</v>
      </c>
      <c r="CC36" s="54">
        <f t="shared" si="6"/>
        <v>0</v>
      </c>
      <c r="CD36" s="54">
        <f t="shared" si="6"/>
        <v>0</v>
      </c>
      <c r="CE36" s="54">
        <f t="shared" si="6"/>
        <v>0</v>
      </c>
    </row>
    <row r="37" spans="1:83" x14ac:dyDescent="0.25">
      <c r="AB37" s="5"/>
      <c r="AC37" t="s">
        <v>395</v>
      </c>
      <c r="AE37" s="17">
        <v>21</v>
      </c>
      <c r="AG37" s="126">
        <f>HLOOKUP(AF$4,[1]Anx!$C$86:$CO$121,AE37)</f>
        <v>0</v>
      </c>
      <c r="AH37" s="61">
        <f t="shared" si="7"/>
        <v>0</v>
      </c>
      <c r="AI37" s="126">
        <f>Troupeau!E91</f>
        <v>0</v>
      </c>
      <c r="AK37" s="54">
        <f t="shared" si="3"/>
        <v>0</v>
      </c>
      <c r="AL37" s="54">
        <f t="shared" si="9"/>
        <v>0</v>
      </c>
      <c r="AM37" s="54">
        <f t="shared" si="9"/>
        <v>0</v>
      </c>
      <c r="AN37" s="54">
        <f t="shared" si="8"/>
        <v>0</v>
      </c>
      <c r="AO37" s="54">
        <f t="shared" si="8"/>
        <v>0</v>
      </c>
      <c r="AP37" s="54">
        <f t="shared" si="8"/>
        <v>0</v>
      </c>
      <c r="AQ37" s="54">
        <f t="shared" si="8"/>
        <v>0</v>
      </c>
      <c r="AR37" s="54">
        <f t="shared" si="8"/>
        <v>0</v>
      </c>
      <c r="AS37" s="54">
        <f t="shared" si="8"/>
        <v>0</v>
      </c>
      <c r="AT37" s="54">
        <f t="shared" si="8"/>
        <v>0</v>
      </c>
      <c r="AU37" s="54">
        <f t="shared" si="8"/>
        <v>0</v>
      </c>
      <c r="AV37" s="54">
        <f t="shared" si="8"/>
        <v>0</v>
      </c>
      <c r="AW37" s="54">
        <f t="shared" si="8"/>
        <v>0</v>
      </c>
      <c r="AX37" s="54">
        <f t="shared" si="8"/>
        <v>0</v>
      </c>
      <c r="AY37" s="54">
        <f t="shared" si="8"/>
        <v>0</v>
      </c>
      <c r="AZ37" s="54">
        <f t="shared" si="8"/>
        <v>0</v>
      </c>
      <c r="BA37" s="54">
        <f t="shared" si="8"/>
        <v>0</v>
      </c>
      <c r="BB37" s="54">
        <f t="shared" si="8"/>
        <v>0</v>
      </c>
      <c r="BC37" s="54">
        <f t="shared" si="8"/>
        <v>0</v>
      </c>
      <c r="BD37" s="54">
        <f t="shared" si="6"/>
        <v>0</v>
      </c>
      <c r="BE37" s="54">
        <f t="shared" si="6"/>
        <v>0</v>
      </c>
      <c r="BF37" s="54">
        <f t="shared" si="6"/>
        <v>0</v>
      </c>
      <c r="BG37" s="54">
        <f t="shared" ref="BG37:BV52" si="10">IF($AH37=BG$17,ROUND($AI37/1000,1),0)</f>
        <v>0</v>
      </c>
      <c r="BH37" s="54">
        <f t="shared" si="10"/>
        <v>0</v>
      </c>
      <c r="BI37" s="54">
        <f t="shared" si="10"/>
        <v>0</v>
      </c>
      <c r="BJ37" s="54">
        <f t="shared" si="10"/>
        <v>0</v>
      </c>
      <c r="BK37" s="54">
        <f t="shared" si="10"/>
        <v>0</v>
      </c>
      <c r="BL37" s="54">
        <f t="shared" si="10"/>
        <v>0</v>
      </c>
      <c r="BM37" s="54">
        <f t="shared" si="10"/>
        <v>0</v>
      </c>
      <c r="BN37" s="54">
        <f t="shared" si="10"/>
        <v>0</v>
      </c>
      <c r="BO37" s="54">
        <f t="shared" si="10"/>
        <v>0</v>
      </c>
      <c r="BP37" s="54">
        <f t="shared" si="10"/>
        <v>0</v>
      </c>
      <c r="BQ37" s="54">
        <f t="shared" si="10"/>
        <v>0</v>
      </c>
      <c r="BR37" s="54">
        <f t="shared" si="10"/>
        <v>0</v>
      </c>
      <c r="BS37" s="54">
        <f t="shared" si="10"/>
        <v>0</v>
      </c>
      <c r="BT37" s="54">
        <f t="shared" si="10"/>
        <v>0</v>
      </c>
      <c r="BU37" s="54">
        <f t="shared" si="10"/>
        <v>0</v>
      </c>
      <c r="BV37" s="54">
        <f t="shared" si="10"/>
        <v>0</v>
      </c>
      <c r="BW37" s="54">
        <f t="shared" ref="BW37:CE52" si="11">IF($AH37=BW$17,ROUND($AI37/1000,1),0)</f>
        <v>0</v>
      </c>
      <c r="BX37" s="54">
        <f t="shared" si="11"/>
        <v>0</v>
      </c>
      <c r="BY37" s="54">
        <f t="shared" si="11"/>
        <v>0</v>
      </c>
      <c r="BZ37" s="54">
        <f t="shared" si="11"/>
        <v>0</v>
      </c>
      <c r="CA37" s="54">
        <f t="shared" si="11"/>
        <v>0</v>
      </c>
      <c r="CB37" s="54">
        <f t="shared" si="11"/>
        <v>0</v>
      </c>
      <c r="CC37" s="54">
        <f t="shared" si="11"/>
        <v>0</v>
      </c>
      <c r="CD37" s="54">
        <f t="shared" si="11"/>
        <v>0</v>
      </c>
      <c r="CE37" s="54">
        <f t="shared" si="11"/>
        <v>0</v>
      </c>
    </row>
    <row r="38" spans="1:83" x14ac:dyDescent="0.25">
      <c r="A38" s="2" t="s">
        <v>170</v>
      </c>
      <c r="AB38" s="5"/>
      <c r="AC38" t="s">
        <v>396</v>
      </c>
      <c r="AE38" s="17">
        <v>22</v>
      </c>
      <c r="AG38" s="126">
        <f>HLOOKUP(AF$4,[1]Anx!$C$86:$CO$121,AE38)</f>
        <v>0</v>
      </c>
      <c r="AH38" s="61">
        <f t="shared" si="7"/>
        <v>0</v>
      </c>
      <c r="AI38" s="126">
        <f>Troupeau!E92</f>
        <v>0</v>
      </c>
      <c r="AK38" s="54">
        <f t="shared" si="3"/>
        <v>0</v>
      </c>
      <c r="AL38" s="54">
        <f t="shared" si="9"/>
        <v>0</v>
      </c>
      <c r="AM38" s="54">
        <f t="shared" si="9"/>
        <v>0</v>
      </c>
      <c r="AN38" s="54">
        <f t="shared" si="8"/>
        <v>0</v>
      </c>
      <c r="AO38" s="54">
        <f t="shared" si="8"/>
        <v>0</v>
      </c>
      <c r="AP38" s="54">
        <f t="shared" si="8"/>
        <v>0</v>
      </c>
      <c r="AQ38" s="54">
        <f t="shared" si="8"/>
        <v>0</v>
      </c>
      <c r="AR38" s="54">
        <f t="shared" si="8"/>
        <v>0</v>
      </c>
      <c r="AS38" s="54">
        <f t="shared" si="8"/>
        <v>0</v>
      </c>
      <c r="AT38" s="54">
        <f t="shared" si="8"/>
        <v>0</v>
      </c>
      <c r="AU38" s="54">
        <f t="shared" si="8"/>
        <v>0</v>
      </c>
      <c r="AV38" s="54">
        <f t="shared" si="8"/>
        <v>0</v>
      </c>
      <c r="AW38" s="54">
        <f t="shared" si="8"/>
        <v>0</v>
      </c>
      <c r="AX38" s="54">
        <f t="shared" si="8"/>
        <v>0</v>
      </c>
      <c r="AY38" s="54">
        <f t="shared" si="8"/>
        <v>0</v>
      </c>
      <c r="AZ38" s="54">
        <f t="shared" si="8"/>
        <v>0</v>
      </c>
      <c r="BA38" s="54">
        <f t="shared" si="8"/>
        <v>0</v>
      </c>
      <c r="BB38" s="54">
        <f t="shared" si="8"/>
        <v>0</v>
      </c>
      <c r="BC38" s="54">
        <f t="shared" si="8"/>
        <v>0</v>
      </c>
      <c r="BD38" s="54">
        <f t="shared" ref="BD38:BS52" si="12">IF($AH38=BD$17,ROUND($AI38/1000,1),0)</f>
        <v>0</v>
      </c>
      <c r="BE38" s="54">
        <f t="shared" si="12"/>
        <v>0</v>
      </c>
      <c r="BF38" s="54">
        <f t="shared" si="12"/>
        <v>0</v>
      </c>
      <c r="BG38" s="54">
        <f t="shared" si="12"/>
        <v>0</v>
      </c>
      <c r="BH38" s="54">
        <f t="shared" si="12"/>
        <v>0</v>
      </c>
      <c r="BI38" s="54">
        <f t="shared" si="12"/>
        <v>0</v>
      </c>
      <c r="BJ38" s="54">
        <f t="shared" si="12"/>
        <v>0</v>
      </c>
      <c r="BK38" s="54">
        <f t="shared" si="12"/>
        <v>0</v>
      </c>
      <c r="BL38" s="54">
        <f t="shared" si="12"/>
        <v>0</v>
      </c>
      <c r="BM38" s="54">
        <f t="shared" si="12"/>
        <v>0</v>
      </c>
      <c r="BN38" s="54">
        <f t="shared" si="12"/>
        <v>0</v>
      </c>
      <c r="BO38" s="54">
        <f t="shared" si="12"/>
        <v>0</v>
      </c>
      <c r="BP38" s="54">
        <f t="shared" si="12"/>
        <v>0</v>
      </c>
      <c r="BQ38" s="54">
        <f t="shared" si="12"/>
        <v>0</v>
      </c>
      <c r="BR38" s="54">
        <f t="shared" si="12"/>
        <v>0</v>
      </c>
      <c r="BS38" s="54">
        <f t="shared" si="12"/>
        <v>0</v>
      </c>
      <c r="BT38" s="54">
        <f t="shared" si="10"/>
        <v>0</v>
      </c>
      <c r="BU38" s="54">
        <f t="shared" si="10"/>
        <v>0</v>
      </c>
      <c r="BV38" s="54">
        <f t="shared" si="10"/>
        <v>0</v>
      </c>
      <c r="BW38" s="54">
        <f t="shared" si="11"/>
        <v>0</v>
      </c>
      <c r="BX38" s="54">
        <f t="shared" si="11"/>
        <v>0</v>
      </c>
      <c r="BY38" s="54">
        <f t="shared" si="11"/>
        <v>0</v>
      </c>
      <c r="BZ38" s="54">
        <f t="shared" si="11"/>
        <v>0</v>
      </c>
      <c r="CA38" s="54">
        <f t="shared" si="11"/>
        <v>0</v>
      </c>
      <c r="CB38" s="54">
        <f t="shared" si="11"/>
        <v>0</v>
      </c>
      <c r="CC38" s="54">
        <f t="shared" si="11"/>
        <v>0</v>
      </c>
      <c r="CD38" s="54">
        <f t="shared" si="11"/>
        <v>0</v>
      </c>
      <c r="CE38" s="54">
        <f t="shared" si="11"/>
        <v>0</v>
      </c>
    </row>
    <row r="39" spans="1:83" x14ac:dyDescent="0.25">
      <c r="A39" s="127" t="str">
        <f>A$15</f>
        <v>lot1</v>
      </c>
      <c r="B39" s="61">
        <f>B15*B27</f>
        <v>0</v>
      </c>
      <c r="C39" s="61">
        <f t="shared" ref="C39:Y48" si="13">C15*C27</f>
        <v>0</v>
      </c>
      <c r="D39" s="61">
        <f t="shared" si="13"/>
        <v>0</v>
      </c>
      <c r="E39" s="61">
        <f t="shared" si="13"/>
        <v>0</v>
      </c>
      <c r="F39" s="61">
        <f t="shared" si="13"/>
        <v>0</v>
      </c>
      <c r="G39" s="61">
        <f t="shared" si="13"/>
        <v>0</v>
      </c>
      <c r="H39" s="61">
        <f t="shared" si="13"/>
        <v>0</v>
      </c>
      <c r="I39" s="61">
        <f t="shared" si="13"/>
        <v>0</v>
      </c>
      <c r="J39" s="61">
        <f t="shared" si="13"/>
        <v>0</v>
      </c>
      <c r="K39" s="61">
        <f t="shared" si="13"/>
        <v>0</v>
      </c>
      <c r="L39" s="61">
        <f t="shared" si="13"/>
        <v>0</v>
      </c>
      <c r="M39" s="61">
        <f t="shared" si="13"/>
        <v>0</v>
      </c>
      <c r="N39" s="61">
        <f t="shared" si="13"/>
        <v>0</v>
      </c>
      <c r="O39" s="61">
        <f t="shared" si="13"/>
        <v>0</v>
      </c>
      <c r="P39" s="61">
        <f t="shared" si="13"/>
        <v>0</v>
      </c>
      <c r="Q39" s="61">
        <f t="shared" si="13"/>
        <v>0</v>
      </c>
      <c r="R39" s="61">
        <f t="shared" si="13"/>
        <v>0</v>
      </c>
      <c r="S39" s="61">
        <f t="shared" si="13"/>
        <v>0</v>
      </c>
      <c r="T39" s="61">
        <f t="shared" si="13"/>
        <v>0</v>
      </c>
      <c r="U39" s="61">
        <f t="shared" si="13"/>
        <v>0</v>
      </c>
      <c r="V39" s="61">
        <f t="shared" si="13"/>
        <v>0</v>
      </c>
      <c r="W39" s="61">
        <f t="shared" si="13"/>
        <v>0</v>
      </c>
      <c r="X39" s="61">
        <f t="shared" si="13"/>
        <v>0</v>
      </c>
      <c r="Y39" s="61">
        <f t="shared" si="13"/>
        <v>0</v>
      </c>
      <c r="Z39" s="52"/>
      <c r="AB39" s="5"/>
      <c r="AC39" t="s">
        <v>397</v>
      </c>
      <c r="AE39" s="17">
        <v>23</v>
      </c>
      <c r="AG39" s="126">
        <f>HLOOKUP(AF$4,[1]Anx!$C$86:$CO$121,AE39)</f>
        <v>0</v>
      </c>
      <c r="AH39" s="61">
        <f t="shared" si="7"/>
        <v>0</v>
      </c>
      <c r="AI39" s="126">
        <f>Troupeau!E93</f>
        <v>0</v>
      </c>
      <c r="AK39" s="54">
        <f t="shared" si="3"/>
        <v>0</v>
      </c>
      <c r="AL39" s="54">
        <f t="shared" si="9"/>
        <v>0</v>
      </c>
      <c r="AM39" s="54">
        <f t="shared" si="9"/>
        <v>0</v>
      </c>
      <c r="AN39" s="54">
        <f t="shared" si="8"/>
        <v>0</v>
      </c>
      <c r="AO39" s="54">
        <f t="shared" si="8"/>
        <v>0</v>
      </c>
      <c r="AP39" s="54">
        <f t="shared" si="8"/>
        <v>0</v>
      </c>
      <c r="AQ39" s="54">
        <f t="shared" si="8"/>
        <v>0</v>
      </c>
      <c r="AR39" s="54">
        <f t="shared" si="8"/>
        <v>0</v>
      </c>
      <c r="AS39" s="54">
        <f t="shared" si="8"/>
        <v>0</v>
      </c>
      <c r="AT39" s="54">
        <f t="shared" si="8"/>
        <v>0</v>
      </c>
      <c r="AU39" s="54">
        <f t="shared" si="8"/>
        <v>0</v>
      </c>
      <c r="AV39" s="54">
        <f t="shared" si="8"/>
        <v>0</v>
      </c>
      <c r="AW39" s="54">
        <f t="shared" si="8"/>
        <v>0</v>
      </c>
      <c r="AX39" s="54">
        <f t="shared" si="8"/>
        <v>0</v>
      </c>
      <c r="AY39" s="54">
        <f t="shared" si="8"/>
        <v>0</v>
      </c>
      <c r="AZ39" s="54">
        <f t="shared" si="8"/>
        <v>0</v>
      </c>
      <c r="BA39" s="54">
        <f t="shared" si="8"/>
        <v>0</v>
      </c>
      <c r="BB39" s="54">
        <f t="shared" si="8"/>
        <v>0</v>
      </c>
      <c r="BC39" s="54">
        <f t="shared" si="8"/>
        <v>0</v>
      </c>
      <c r="BD39" s="54">
        <f t="shared" si="12"/>
        <v>0</v>
      </c>
      <c r="BE39" s="54">
        <f t="shared" si="12"/>
        <v>0</v>
      </c>
      <c r="BF39" s="54">
        <f t="shared" si="12"/>
        <v>0</v>
      </c>
      <c r="BG39" s="54">
        <f t="shared" si="12"/>
        <v>0</v>
      </c>
      <c r="BH39" s="54">
        <f t="shared" si="12"/>
        <v>0</v>
      </c>
      <c r="BI39" s="54">
        <f t="shared" si="12"/>
        <v>0</v>
      </c>
      <c r="BJ39" s="54">
        <f t="shared" si="12"/>
        <v>0</v>
      </c>
      <c r="BK39" s="54">
        <f t="shared" si="12"/>
        <v>0</v>
      </c>
      <c r="BL39" s="54">
        <f t="shared" si="12"/>
        <v>0</v>
      </c>
      <c r="BM39" s="54">
        <f t="shared" si="12"/>
        <v>0</v>
      </c>
      <c r="BN39" s="54">
        <f t="shared" si="12"/>
        <v>0</v>
      </c>
      <c r="BO39" s="54">
        <f t="shared" si="12"/>
        <v>0</v>
      </c>
      <c r="BP39" s="54">
        <f t="shared" si="12"/>
        <v>0</v>
      </c>
      <c r="BQ39" s="54">
        <f t="shared" si="12"/>
        <v>0</v>
      </c>
      <c r="BR39" s="54">
        <f t="shared" si="12"/>
        <v>0</v>
      </c>
      <c r="BS39" s="54">
        <f t="shared" si="12"/>
        <v>0</v>
      </c>
      <c r="BT39" s="54">
        <f t="shared" si="10"/>
        <v>0</v>
      </c>
      <c r="BU39" s="54">
        <f t="shared" si="10"/>
        <v>0</v>
      </c>
      <c r="BV39" s="54">
        <f t="shared" si="10"/>
        <v>0</v>
      </c>
      <c r="BW39" s="54">
        <f t="shared" si="11"/>
        <v>0</v>
      </c>
      <c r="BX39" s="54">
        <f t="shared" si="11"/>
        <v>0</v>
      </c>
      <c r="BY39" s="54">
        <f t="shared" si="11"/>
        <v>0</v>
      </c>
      <c r="BZ39" s="54">
        <f t="shared" si="11"/>
        <v>0</v>
      </c>
      <c r="CA39" s="54">
        <f t="shared" si="11"/>
        <v>0</v>
      </c>
      <c r="CB39" s="54">
        <f t="shared" si="11"/>
        <v>0</v>
      </c>
      <c r="CC39" s="54">
        <f t="shared" si="11"/>
        <v>0</v>
      </c>
      <c r="CD39" s="54">
        <f t="shared" si="11"/>
        <v>0</v>
      </c>
      <c r="CE39" s="54">
        <f t="shared" si="11"/>
        <v>0</v>
      </c>
    </row>
    <row r="40" spans="1:83" x14ac:dyDescent="0.25">
      <c r="A40" s="128" t="str">
        <f>A$16</f>
        <v>lot2</v>
      </c>
      <c r="B40" s="61">
        <f t="shared" ref="B40:Q48" si="14">B16*B28</f>
        <v>0</v>
      </c>
      <c r="C40" s="61">
        <f t="shared" si="14"/>
        <v>0</v>
      </c>
      <c r="D40" s="61">
        <f t="shared" si="14"/>
        <v>0</v>
      </c>
      <c r="E40" s="61">
        <f t="shared" si="14"/>
        <v>0</v>
      </c>
      <c r="F40" s="61">
        <f t="shared" si="14"/>
        <v>0</v>
      </c>
      <c r="G40" s="61">
        <f t="shared" si="14"/>
        <v>0</v>
      </c>
      <c r="H40" s="61">
        <f t="shared" si="14"/>
        <v>0</v>
      </c>
      <c r="I40" s="61">
        <f t="shared" si="14"/>
        <v>0</v>
      </c>
      <c r="J40" s="61">
        <f t="shared" si="14"/>
        <v>0</v>
      </c>
      <c r="K40" s="61">
        <f t="shared" si="14"/>
        <v>0</v>
      </c>
      <c r="L40" s="61">
        <f t="shared" si="14"/>
        <v>0</v>
      </c>
      <c r="M40" s="61">
        <f t="shared" si="14"/>
        <v>0</v>
      </c>
      <c r="N40" s="61">
        <f t="shared" si="14"/>
        <v>0</v>
      </c>
      <c r="O40" s="61">
        <f t="shared" si="14"/>
        <v>0</v>
      </c>
      <c r="P40" s="61">
        <f t="shared" si="14"/>
        <v>0</v>
      </c>
      <c r="Q40" s="61">
        <f t="shared" si="14"/>
        <v>0</v>
      </c>
      <c r="R40" s="61">
        <f t="shared" si="13"/>
        <v>0</v>
      </c>
      <c r="S40" s="61">
        <f t="shared" si="13"/>
        <v>0</v>
      </c>
      <c r="T40" s="61">
        <f t="shared" si="13"/>
        <v>0</v>
      </c>
      <c r="U40" s="61">
        <f t="shared" si="13"/>
        <v>0</v>
      </c>
      <c r="V40" s="61">
        <f t="shared" si="13"/>
        <v>0</v>
      </c>
      <c r="W40" s="61">
        <f t="shared" si="13"/>
        <v>0</v>
      </c>
      <c r="X40" s="61">
        <f t="shared" si="13"/>
        <v>0</v>
      </c>
      <c r="Y40" s="61">
        <f t="shared" si="13"/>
        <v>0</v>
      </c>
      <c r="Z40" s="52"/>
      <c r="AB40" s="5"/>
      <c r="AC40" t="s">
        <v>398</v>
      </c>
      <c r="AE40" s="17">
        <v>24</v>
      </c>
      <c r="AG40" s="126">
        <f>HLOOKUP(AF$4,[1]Anx!$C$86:$CO$121,AE40)</f>
        <v>0</v>
      </c>
      <c r="AH40" s="61">
        <f t="shared" si="7"/>
        <v>0</v>
      </c>
      <c r="AI40" s="126">
        <f>Troupeau!E94</f>
        <v>0</v>
      </c>
      <c r="AK40" s="54">
        <f t="shared" si="3"/>
        <v>0</v>
      </c>
      <c r="AL40" s="54">
        <f t="shared" si="9"/>
        <v>0</v>
      </c>
      <c r="AM40" s="54">
        <f t="shared" si="9"/>
        <v>0</v>
      </c>
      <c r="AN40" s="54">
        <f t="shared" si="8"/>
        <v>0</v>
      </c>
      <c r="AO40" s="54">
        <f t="shared" si="8"/>
        <v>0</v>
      </c>
      <c r="AP40" s="54">
        <f t="shared" si="8"/>
        <v>0</v>
      </c>
      <c r="AQ40" s="54">
        <f t="shared" si="8"/>
        <v>0</v>
      </c>
      <c r="AR40" s="54">
        <f t="shared" si="8"/>
        <v>0</v>
      </c>
      <c r="AS40" s="54">
        <f t="shared" si="8"/>
        <v>0</v>
      </c>
      <c r="AT40" s="54">
        <f t="shared" si="8"/>
        <v>0</v>
      </c>
      <c r="AU40" s="54">
        <f t="shared" si="8"/>
        <v>0</v>
      </c>
      <c r="AV40" s="54">
        <f t="shared" si="8"/>
        <v>0</v>
      </c>
      <c r="AW40" s="54">
        <f t="shared" si="8"/>
        <v>0</v>
      </c>
      <c r="AX40" s="54">
        <f t="shared" si="8"/>
        <v>0</v>
      </c>
      <c r="AY40" s="54">
        <f t="shared" si="8"/>
        <v>0</v>
      </c>
      <c r="AZ40" s="54">
        <f t="shared" si="8"/>
        <v>0</v>
      </c>
      <c r="BA40" s="54">
        <f t="shared" si="8"/>
        <v>0</v>
      </c>
      <c r="BB40" s="54">
        <f t="shared" si="8"/>
        <v>0</v>
      </c>
      <c r="BC40" s="54">
        <f t="shared" si="8"/>
        <v>0</v>
      </c>
      <c r="BD40" s="54">
        <f t="shared" si="12"/>
        <v>0</v>
      </c>
      <c r="BE40" s="54">
        <f t="shared" si="12"/>
        <v>0</v>
      </c>
      <c r="BF40" s="54">
        <f t="shared" si="12"/>
        <v>0</v>
      </c>
      <c r="BG40" s="54">
        <f t="shared" si="12"/>
        <v>0</v>
      </c>
      <c r="BH40" s="54">
        <f t="shared" si="12"/>
        <v>0</v>
      </c>
      <c r="BI40" s="54">
        <f t="shared" si="12"/>
        <v>0</v>
      </c>
      <c r="BJ40" s="54">
        <f t="shared" si="12"/>
        <v>0</v>
      </c>
      <c r="BK40" s="54">
        <f t="shared" si="12"/>
        <v>0</v>
      </c>
      <c r="BL40" s="54">
        <f t="shared" si="12"/>
        <v>0</v>
      </c>
      <c r="BM40" s="54">
        <f t="shared" si="12"/>
        <v>0</v>
      </c>
      <c r="BN40" s="54">
        <f t="shared" si="12"/>
        <v>0</v>
      </c>
      <c r="BO40" s="54">
        <f t="shared" si="12"/>
        <v>0</v>
      </c>
      <c r="BP40" s="54">
        <f t="shared" si="12"/>
        <v>0</v>
      </c>
      <c r="BQ40" s="54">
        <f t="shared" si="12"/>
        <v>0</v>
      </c>
      <c r="BR40" s="54">
        <f t="shared" si="12"/>
        <v>0</v>
      </c>
      <c r="BS40" s="54">
        <f t="shared" si="12"/>
        <v>0</v>
      </c>
      <c r="BT40" s="54">
        <f t="shared" si="10"/>
        <v>0</v>
      </c>
      <c r="BU40" s="54">
        <f t="shared" si="10"/>
        <v>0</v>
      </c>
      <c r="BV40" s="54">
        <f t="shared" si="10"/>
        <v>0</v>
      </c>
      <c r="BW40" s="54">
        <f t="shared" si="11"/>
        <v>0</v>
      </c>
      <c r="BX40" s="54">
        <f t="shared" si="11"/>
        <v>0</v>
      </c>
      <c r="BY40" s="54">
        <f t="shared" si="11"/>
        <v>0</v>
      </c>
      <c r="BZ40" s="54">
        <f t="shared" si="11"/>
        <v>0</v>
      </c>
      <c r="CA40" s="54">
        <f t="shared" si="11"/>
        <v>0</v>
      </c>
      <c r="CB40" s="54">
        <f t="shared" si="11"/>
        <v>0</v>
      </c>
      <c r="CC40" s="54">
        <f t="shared" si="11"/>
        <v>0</v>
      </c>
      <c r="CD40" s="54">
        <f t="shared" si="11"/>
        <v>0</v>
      </c>
      <c r="CE40" s="54">
        <f t="shared" si="11"/>
        <v>0</v>
      </c>
    </row>
    <row r="41" spans="1:83" x14ac:dyDescent="0.25">
      <c r="A41" s="128" t="str">
        <f>A$17</f>
        <v>lot3</v>
      </c>
      <c r="B41" s="61">
        <f t="shared" si="14"/>
        <v>0</v>
      </c>
      <c r="C41" s="61">
        <f t="shared" si="13"/>
        <v>0</v>
      </c>
      <c r="D41" s="61">
        <f t="shared" si="13"/>
        <v>0</v>
      </c>
      <c r="E41" s="61">
        <f t="shared" si="13"/>
        <v>0</v>
      </c>
      <c r="F41" s="61">
        <f t="shared" si="13"/>
        <v>0</v>
      </c>
      <c r="G41" s="61">
        <f t="shared" si="13"/>
        <v>0</v>
      </c>
      <c r="H41" s="61">
        <f t="shared" si="13"/>
        <v>0</v>
      </c>
      <c r="I41" s="61">
        <f t="shared" si="13"/>
        <v>0</v>
      </c>
      <c r="J41" s="61">
        <f t="shared" si="13"/>
        <v>0</v>
      </c>
      <c r="K41" s="61">
        <f t="shared" si="13"/>
        <v>0</v>
      </c>
      <c r="L41" s="61">
        <f t="shared" si="13"/>
        <v>0</v>
      </c>
      <c r="M41" s="61">
        <f t="shared" si="13"/>
        <v>0</v>
      </c>
      <c r="N41" s="61">
        <f t="shared" si="13"/>
        <v>0</v>
      </c>
      <c r="O41" s="61">
        <f t="shared" si="13"/>
        <v>0</v>
      </c>
      <c r="P41" s="61">
        <f t="shared" si="13"/>
        <v>0</v>
      </c>
      <c r="Q41" s="61">
        <f t="shared" si="13"/>
        <v>0</v>
      </c>
      <c r="R41" s="61">
        <f t="shared" si="13"/>
        <v>0</v>
      </c>
      <c r="S41" s="61">
        <f t="shared" si="13"/>
        <v>0</v>
      </c>
      <c r="T41" s="61">
        <f t="shared" si="13"/>
        <v>0</v>
      </c>
      <c r="U41" s="61">
        <f t="shared" si="13"/>
        <v>0</v>
      </c>
      <c r="V41" s="61">
        <f t="shared" si="13"/>
        <v>0</v>
      </c>
      <c r="W41" s="61">
        <f t="shared" si="13"/>
        <v>0</v>
      </c>
      <c r="X41" s="61">
        <f t="shared" si="13"/>
        <v>0</v>
      </c>
      <c r="Y41" s="61">
        <f t="shared" si="13"/>
        <v>0</v>
      </c>
      <c r="Z41" s="52"/>
      <c r="AB41" s="5"/>
      <c r="AC41" t="s">
        <v>399</v>
      </c>
      <c r="AE41" s="17">
        <v>25</v>
      </c>
      <c r="AG41" s="126">
        <f>HLOOKUP(AF$4,[1]Anx!$C$86:$CO$121,AE41)</f>
        <v>0</v>
      </c>
      <c r="AH41" s="61">
        <f t="shared" si="7"/>
        <v>0</v>
      </c>
      <c r="AI41" s="126">
        <f>Troupeau!E95</f>
        <v>0</v>
      </c>
      <c r="AK41" s="54">
        <f t="shared" si="3"/>
        <v>0</v>
      </c>
      <c r="AL41" s="54">
        <f t="shared" si="9"/>
        <v>0</v>
      </c>
      <c r="AM41" s="54">
        <f t="shared" si="9"/>
        <v>0</v>
      </c>
      <c r="AN41" s="54">
        <f t="shared" si="8"/>
        <v>0</v>
      </c>
      <c r="AO41" s="54">
        <f t="shared" si="8"/>
        <v>0</v>
      </c>
      <c r="AP41" s="54">
        <f t="shared" si="8"/>
        <v>0</v>
      </c>
      <c r="AQ41" s="54">
        <f t="shared" si="8"/>
        <v>0</v>
      </c>
      <c r="AR41" s="54">
        <f t="shared" si="8"/>
        <v>0</v>
      </c>
      <c r="AS41" s="54">
        <f t="shared" si="8"/>
        <v>0</v>
      </c>
      <c r="AT41" s="54">
        <f t="shared" si="8"/>
        <v>0</v>
      </c>
      <c r="AU41" s="54">
        <f t="shared" si="8"/>
        <v>0</v>
      </c>
      <c r="AV41" s="54">
        <f t="shared" si="8"/>
        <v>0</v>
      </c>
      <c r="AW41" s="54">
        <f t="shared" si="8"/>
        <v>0</v>
      </c>
      <c r="AX41" s="54">
        <f t="shared" si="8"/>
        <v>0</v>
      </c>
      <c r="AY41" s="54">
        <f t="shared" si="8"/>
        <v>0</v>
      </c>
      <c r="AZ41" s="54">
        <f t="shared" si="8"/>
        <v>0</v>
      </c>
      <c r="BA41" s="54">
        <f t="shared" si="8"/>
        <v>0</v>
      </c>
      <c r="BB41" s="54">
        <f t="shared" si="8"/>
        <v>0</v>
      </c>
      <c r="BC41" s="54">
        <f t="shared" si="8"/>
        <v>0</v>
      </c>
      <c r="BD41" s="54">
        <f t="shared" si="12"/>
        <v>0</v>
      </c>
      <c r="BE41" s="54">
        <f t="shared" si="12"/>
        <v>0</v>
      </c>
      <c r="BF41" s="54">
        <f t="shared" si="12"/>
        <v>0</v>
      </c>
      <c r="BG41" s="54">
        <f t="shared" si="12"/>
        <v>0</v>
      </c>
      <c r="BH41" s="54">
        <f t="shared" si="12"/>
        <v>0</v>
      </c>
      <c r="BI41" s="54">
        <f t="shared" si="12"/>
        <v>0</v>
      </c>
      <c r="BJ41" s="54">
        <f t="shared" si="12"/>
        <v>0</v>
      </c>
      <c r="BK41" s="54">
        <f t="shared" si="12"/>
        <v>0</v>
      </c>
      <c r="BL41" s="54">
        <f t="shared" si="12"/>
        <v>0</v>
      </c>
      <c r="BM41" s="54">
        <f t="shared" si="12"/>
        <v>0</v>
      </c>
      <c r="BN41" s="54">
        <f t="shared" si="12"/>
        <v>0</v>
      </c>
      <c r="BO41" s="54">
        <f t="shared" si="12"/>
        <v>0</v>
      </c>
      <c r="BP41" s="54">
        <f t="shared" si="12"/>
        <v>0</v>
      </c>
      <c r="BQ41" s="54">
        <f t="shared" si="12"/>
        <v>0</v>
      </c>
      <c r="BR41" s="54">
        <f t="shared" si="12"/>
        <v>0</v>
      </c>
      <c r="BS41" s="54">
        <f t="shared" si="12"/>
        <v>0</v>
      </c>
      <c r="BT41" s="54">
        <f t="shared" si="10"/>
        <v>0</v>
      </c>
      <c r="BU41" s="54">
        <f t="shared" si="10"/>
        <v>0</v>
      </c>
      <c r="BV41" s="54">
        <f t="shared" si="10"/>
        <v>0</v>
      </c>
      <c r="BW41" s="54">
        <f t="shared" si="11"/>
        <v>0</v>
      </c>
      <c r="BX41" s="54">
        <f t="shared" si="11"/>
        <v>0</v>
      </c>
      <c r="BY41" s="54">
        <f t="shared" si="11"/>
        <v>0</v>
      </c>
      <c r="BZ41" s="54">
        <f t="shared" si="11"/>
        <v>0</v>
      </c>
      <c r="CA41" s="54">
        <f t="shared" si="11"/>
        <v>0</v>
      </c>
      <c r="CB41" s="54">
        <f t="shared" si="11"/>
        <v>0</v>
      </c>
      <c r="CC41" s="54">
        <f t="shared" si="11"/>
        <v>0</v>
      </c>
      <c r="CD41" s="54">
        <f t="shared" si="11"/>
        <v>0</v>
      </c>
      <c r="CE41" s="54">
        <f t="shared" si="11"/>
        <v>0</v>
      </c>
    </row>
    <row r="42" spans="1:83" x14ac:dyDescent="0.25">
      <c r="A42" s="127" t="str">
        <f>A$18</f>
        <v>lot4</v>
      </c>
      <c r="B42" s="61">
        <f t="shared" si="14"/>
        <v>0</v>
      </c>
      <c r="C42" s="61">
        <f t="shared" si="13"/>
        <v>0</v>
      </c>
      <c r="D42" s="61">
        <f t="shared" si="13"/>
        <v>0</v>
      </c>
      <c r="E42" s="61">
        <f t="shared" si="13"/>
        <v>0</v>
      </c>
      <c r="F42" s="61">
        <f t="shared" si="13"/>
        <v>0</v>
      </c>
      <c r="G42" s="61">
        <f t="shared" si="13"/>
        <v>0</v>
      </c>
      <c r="H42" s="61">
        <f t="shared" si="13"/>
        <v>0</v>
      </c>
      <c r="I42" s="61">
        <f t="shared" si="13"/>
        <v>0</v>
      </c>
      <c r="J42" s="61">
        <f t="shared" si="13"/>
        <v>0</v>
      </c>
      <c r="K42" s="61">
        <f t="shared" si="13"/>
        <v>0</v>
      </c>
      <c r="L42" s="61">
        <f t="shared" si="13"/>
        <v>0</v>
      </c>
      <c r="M42" s="61">
        <f t="shared" si="13"/>
        <v>0</v>
      </c>
      <c r="N42" s="61">
        <f t="shared" si="13"/>
        <v>0</v>
      </c>
      <c r="O42" s="61">
        <f t="shared" si="13"/>
        <v>0</v>
      </c>
      <c r="P42" s="61">
        <f t="shared" si="13"/>
        <v>0</v>
      </c>
      <c r="Q42" s="61">
        <f t="shared" si="13"/>
        <v>0</v>
      </c>
      <c r="R42" s="61">
        <f t="shared" si="13"/>
        <v>0</v>
      </c>
      <c r="S42" s="61">
        <f t="shared" si="13"/>
        <v>0</v>
      </c>
      <c r="T42" s="61">
        <f t="shared" si="13"/>
        <v>0</v>
      </c>
      <c r="U42" s="61">
        <f t="shared" si="13"/>
        <v>0</v>
      </c>
      <c r="V42" s="61">
        <f t="shared" si="13"/>
        <v>0</v>
      </c>
      <c r="W42" s="61">
        <f t="shared" si="13"/>
        <v>0</v>
      </c>
      <c r="X42" s="61">
        <f t="shared" si="13"/>
        <v>0</v>
      </c>
      <c r="Y42" s="61">
        <f t="shared" si="13"/>
        <v>0</v>
      </c>
      <c r="Z42" s="52"/>
      <c r="AB42" s="5"/>
      <c r="AC42" t="s">
        <v>400</v>
      </c>
      <c r="AE42" s="17">
        <v>26</v>
      </c>
      <c r="AG42" s="126">
        <f>HLOOKUP(AF$4,[1]Anx!$C$86:$CO$121,AE42)</f>
        <v>0</v>
      </c>
      <c r="AH42" s="61">
        <f t="shared" si="7"/>
        <v>0</v>
      </c>
      <c r="AI42" s="126">
        <f>Troupeau!E96</f>
        <v>0</v>
      </c>
      <c r="AK42" s="54">
        <f t="shared" si="3"/>
        <v>0</v>
      </c>
      <c r="AL42" s="54">
        <f t="shared" si="9"/>
        <v>0</v>
      </c>
      <c r="AM42" s="54">
        <f t="shared" si="9"/>
        <v>0</v>
      </c>
      <c r="AN42" s="54">
        <f t="shared" si="8"/>
        <v>0</v>
      </c>
      <c r="AO42" s="54">
        <f t="shared" si="8"/>
        <v>0</v>
      </c>
      <c r="AP42" s="54">
        <f t="shared" si="8"/>
        <v>0</v>
      </c>
      <c r="AQ42" s="54">
        <f t="shared" si="8"/>
        <v>0</v>
      </c>
      <c r="AR42" s="54">
        <f t="shared" si="8"/>
        <v>0</v>
      </c>
      <c r="AS42" s="54">
        <f t="shared" si="8"/>
        <v>0</v>
      </c>
      <c r="AT42" s="54">
        <f t="shared" si="8"/>
        <v>0</v>
      </c>
      <c r="AU42" s="54">
        <f t="shared" si="8"/>
        <v>0</v>
      </c>
      <c r="AV42" s="54">
        <f t="shared" si="8"/>
        <v>0</v>
      </c>
      <c r="AW42" s="54">
        <f t="shared" si="8"/>
        <v>0</v>
      </c>
      <c r="AX42" s="54">
        <f t="shared" si="8"/>
        <v>0</v>
      </c>
      <c r="AY42" s="54">
        <f t="shared" si="8"/>
        <v>0</v>
      </c>
      <c r="AZ42" s="54">
        <f t="shared" si="8"/>
        <v>0</v>
      </c>
      <c r="BA42" s="54">
        <f t="shared" si="8"/>
        <v>0</v>
      </c>
      <c r="BB42" s="54">
        <f t="shared" si="8"/>
        <v>0</v>
      </c>
      <c r="BC42" s="54">
        <f t="shared" si="8"/>
        <v>0</v>
      </c>
      <c r="BD42" s="54">
        <f t="shared" si="12"/>
        <v>0</v>
      </c>
      <c r="BE42" s="54">
        <f t="shared" si="12"/>
        <v>0</v>
      </c>
      <c r="BF42" s="54">
        <f t="shared" si="12"/>
        <v>0</v>
      </c>
      <c r="BG42" s="54">
        <f t="shared" si="12"/>
        <v>0</v>
      </c>
      <c r="BH42" s="54">
        <f t="shared" si="12"/>
        <v>0</v>
      </c>
      <c r="BI42" s="54">
        <f t="shared" si="12"/>
        <v>0</v>
      </c>
      <c r="BJ42" s="54">
        <f t="shared" si="12"/>
        <v>0</v>
      </c>
      <c r="BK42" s="54">
        <f t="shared" si="12"/>
        <v>0</v>
      </c>
      <c r="BL42" s="54">
        <f t="shared" si="12"/>
        <v>0</v>
      </c>
      <c r="BM42" s="54">
        <f t="shared" si="12"/>
        <v>0</v>
      </c>
      <c r="BN42" s="54">
        <f t="shared" si="12"/>
        <v>0</v>
      </c>
      <c r="BO42" s="54">
        <f t="shared" si="12"/>
        <v>0</v>
      </c>
      <c r="BP42" s="54">
        <f t="shared" si="12"/>
        <v>0</v>
      </c>
      <c r="BQ42" s="54">
        <f t="shared" si="12"/>
        <v>0</v>
      </c>
      <c r="BR42" s="54">
        <f t="shared" si="12"/>
        <v>0</v>
      </c>
      <c r="BS42" s="54">
        <f t="shared" si="12"/>
        <v>0</v>
      </c>
      <c r="BT42" s="54">
        <f t="shared" si="10"/>
        <v>0</v>
      </c>
      <c r="BU42" s="54">
        <f t="shared" si="10"/>
        <v>0</v>
      </c>
      <c r="BV42" s="54">
        <f t="shared" si="10"/>
        <v>0</v>
      </c>
      <c r="BW42" s="54">
        <f t="shared" si="11"/>
        <v>0</v>
      </c>
      <c r="BX42" s="54">
        <f t="shared" si="11"/>
        <v>0</v>
      </c>
      <c r="BY42" s="54">
        <f t="shared" si="11"/>
        <v>0</v>
      </c>
      <c r="BZ42" s="54">
        <f t="shared" si="11"/>
        <v>0</v>
      </c>
      <c r="CA42" s="54">
        <f t="shared" si="11"/>
        <v>0</v>
      </c>
      <c r="CB42" s="54">
        <f t="shared" si="11"/>
        <v>0</v>
      </c>
      <c r="CC42" s="54">
        <f t="shared" si="11"/>
        <v>0</v>
      </c>
      <c r="CD42" s="54">
        <f t="shared" si="11"/>
        <v>0</v>
      </c>
      <c r="CE42" s="54">
        <f t="shared" si="11"/>
        <v>0</v>
      </c>
    </row>
    <row r="43" spans="1:83" x14ac:dyDescent="0.25">
      <c r="A43" s="128" t="str">
        <f>A$19</f>
        <v>lot5</v>
      </c>
      <c r="B43" s="61">
        <f t="shared" si="14"/>
        <v>0</v>
      </c>
      <c r="C43" s="61">
        <f t="shared" si="13"/>
        <v>0</v>
      </c>
      <c r="D43" s="61">
        <f t="shared" si="13"/>
        <v>0</v>
      </c>
      <c r="E43" s="61">
        <f t="shared" si="13"/>
        <v>0</v>
      </c>
      <c r="F43" s="61">
        <f t="shared" si="13"/>
        <v>0</v>
      </c>
      <c r="G43" s="61">
        <f t="shared" si="13"/>
        <v>0</v>
      </c>
      <c r="H43" s="61">
        <f t="shared" si="13"/>
        <v>0</v>
      </c>
      <c r="I43" s="61">
        <f t="shared" si="13"/>
        <v>0</v>
      </c>
      <c r="J43" s="61">
        <f t="shared" si="13"/>
        <v>0</v>
      </c>
      <c r="K43" s="61">
        <f t="shared" si="13"/>
        <v>0</v>
      </c>
      <c r="L43" s="61">
        <f t="shared" si="13"/>
        <v>0</v>
      </c>
      <c r="M43" s="61">
        <f t="shared" si="13"/>
        <v>0</v>
      </c>
      <c r="N43" s="61">
        <f t="shared" si="13"/>
        <v>0</v>
      </c>
      <c r="O43" s="61">
        <f t="shared" si="13"/>
        <v>0</v>
      </c>
      <c r="P43" s="61">
        <f t="shared" si="13"/>
        <v>0</v>
      </c>
      <c r="Q43" s="61">
        <f t="shared" si="13"/>
        <v>0</v>
      </c>
      <c r="R43" s="61">
        <f t="shared" si="13"/>
        <v>0</v>
      </c>
      <c r="S43" s="61">
        <f t="shared" si="13"/>
        <v>0</v>
      </c>
      <c r="T43" s="61">
        <f t="shared" si="13"/>
        <v>0</v>
      </c>
      <c r="U43" s="61">
        <f t="shared" si="13"/>
        <v>0</v>
      </c>
      <c r="V43" s="61">
        <f t="shared" si="13"/>
        <v>0</v>
      </c>
      <c r="W43" s="61">
        <f t="shared" si="13"/>
        <v>0</v>
      </c>
      <c r="X43" s="61">
        <f t="shared" si="13"/>
        <v>0</v>
      </c>
      <c r="Y43" s="61">
        <f t="shared" si="13"/>
        <v>0</v>
      </c>
      <c r="Z43" s="52"/>
      <c r="AB43" s="5"/>
      <c r="AC43" t="s">
        <v>401</v>
      </c>
      <c r="AE43" s="17">
        <v>27</v>
      </c>
      <c r="AG43" s="126">
        <f>HLOOKUP(AF$4,[1]Anx!$C$86:$CO$121,AE43)</f>
        <v>0</v>
      </c>
      <c r="AH43" s="61">
        <f t="shared" si="7"/>
        <v>0</v>
      </c>
      <c r="AI43" s="126">
        <f>Troupeau!E97</f>
        <v>0</v>
      </c>
      <c r="AK43" s="54">
        <f t="shared" si="3"/>
        <v>0</v>
      </c>
      <c r="AL43" s="54">
        <f t="shared" si="9"/>
        <v>0</v>
      </c>
      <c r="AM43" s="54">
        <f t="shared" si="9"/>
        <v>0</v>
      </c>
      <c r="AN43" s="54">
        <f t="shared" si="8"/>
        <v>0</v>
      </c>
      <c r="AO43" s="54">
        <f t="shared" si="8"/>
        <v>0</v>
      </c>
      <c r="AP43" s="54">
        <f t="shared" si="8"/>
        <v>0</v>
      </c>
      <c r="AQ43" s="54">
        <f t="shared" si="8"/>
        <v>0</v>
      </c>
      <c r="AR43" s="54">
        <f t="shared" si="8"/>
        <v>0</v>
      </c>
      <c r="AS43" s="54">
        <f t="shared" si="8"/>
        <v>0</v>
      </c>
      <c r="AT43" s="54">
        <f t="shared" si="8"/>
        <v>0</v>
      </c>
      <c r="AU43" s="54">
        <f t="shared" si="8"/>
        <v>0</v>
      </c>
      <c r="AV43" s="54">
        <f t="shared" si="8"/>
        <v>0</v>
      </c>
      <c r="AW43" s="54">
        <f t="shared" si="8"/>
        <v>0</v>
      </c>
      <c r="AX43" s="54">
        <f t="shared" si="8"/>
        <v>0</v>
      </c>
      <c r="AY43" s="54">
        <f t="shared" si="8"/>
        <v>0</v>
      </c>
      <c r="AZ43" s="54">
        <f t="shared" si="8"/>
        <v>0</v>
      </c>
      <c r="BA43" s="54">
        <f t="shared" si="8"/>
        <v>0</v>
      </c>
      <c r="BB43" s="54">
        <f t="shared" si="8"/>
        <v>0</v>
      </c>
      <c r="BC43" s="54">
        <f t="shared" si="8"/>
        <v>0</v>
      </c>
      <c r="BD43" s="54">
        <f t="shared" si="12"/>
        <v>0</v>
      </c>
      <c r="BE43" s="54">
        <f t="shared" si="12"/>
        <v>0</v>
      </c>
      <c r="BF43" s="54">
        <f t="shared" si="12"/>
        <v>0</v>
      </c>
      <c r="BG43" s="54">
        <f t="shared" si="12"/>
        <v>0</v>
      </c>
      <c r="BH43" s="54">
        <f t="shared" si="12"/>
        <v>0</v>
      </c>
      <c r="BI43" s="54">
        <f t="shared" si="12"/>
        <v>0</v>
      </c>
      <c r="BJ43" s="54">
        <f t="shared" si="12"/>
        <v>0</v>
      </c>
      <c r="BK43" s="54">
        <f t="shared" si="12"/>
        <v>0</v>
      </c>
      <c r="BL43" s="54">
        <f t="shared" si="12"/>
        <v>0</v>
      </c>
      <c r="BM43" s="54">
        <f t="shared" si="12"/>
        <v>0</v>
      </c>
      <c r="BN43" s="54">
        <f t="shared" si="12"/>
        <v>0</v>
      </c>
      <c r="BO43" s="54">
        <f t="shared" si="12"/>
        <v>0</v>
      </c>
      <c r="BP43" s="54">
        <f t="shared" si="12"/>
        <v>0</v>
      </c>
      <c r="BQ43" s="54">
        <f t="shared" si="12"/>
        <v>0</v>
      </c>
      <c r="BR43" s="54">
        <f t="shared" si="12"/>
        <v>0</v>
      </c>
      <c r="BS43" s="54">
        <f t="shared" si="12"/>
        <v>0</v>
      </c>
      <c r="BT43" s="54">
        <f t="shared" si="10"/>
        <v>0</v>
      </c>
      <c r="BU43" s="54">
        <f t="shared" si="10"/>
        <v>0</v>
      </c>
      <c r="BV43" s="54">
        <f t="shared" si="10"/>
        <v>0</v>
      </c>
      <c r="BW43" s="54">
        <f t="shared" si="11"/>
        <v>0</v>
      </c>
      <c r="BX43" s="54">
        <f t="shared" si="11"/>
        <v>0</v>
      </c>
      <c r="BY43" s="54">
        <f t="shared" si="11"/>
        <v>0</v>
      </c>
      <c r="BZ43" s="54">
        <f t="shared" si="11"/>
        <v>0</v>
      </c>
      <c r="CA43" s="54">
        <f t="shared" si="11"/>
        <v>0</v>
      </c>
      <c r="CB43" s="54">
        <f t="shared" si="11"/>
        <v>0</v>
      </c>
      <c r="CC43" s="54">
        <f t="shared" si="11"/>
        <v>0</v>
      </c>
      <c r="CD43" s="54">
        <f t="shared" si="11"/>
        <v>0</v>
      </c>
      <c r="CE43" s="54">
        <f t="shared" si="11"/>
        <v>0</v>
      </c>
    </row>
    <row r="44" spans="1:83" x14ac:dyDescent="0.25">
      <c r="A44" s="127" t="str">
        <f>A$20</f>
        <v>lot6</v>
      </c>
      <c r="B44" s="61">
        <f t="shared" si="14"/>
        <v>0</v>
      </c>
      <c r="C44" s="61">
        <f t="shared" si="13"/>
        <v>0</v>
      </c>
      <c r="D44" s="61">
        <f t="shared" si="13"/>
        <v>0</v>
      </c>
      <c r="E44" s="61">
        <f t="shared" si="13"/>
        <v>0</v>
      </c>
      <c r="F44" s="61">
        <f t="shared" si="13"/>
        <v>0</v>
      </c>
      <c r="G44" s="61">
        <f t="shared" si="13"/>
        <v>0</v>
      </c>
      <c r="H44" s="61">
        <f t="shared" si="13"/>
        <v>0</v>
      </c>
      <c r="I44" s="61">
        <f t="shared" si="13"/>
        <v>0</v>
      </c>
      <c r="J44" s="61">
        <f t="shared" si="13"/>
        <v>0</v>
      </c>
      <c r="K44" s="61">
        <f t="shared" si="13"/>
        <v>0</v>
      </c>
      <c r="L44" s="61">
        <f t="shared" si="13"/>
        <v>0</v>
      </c>
      <c r="M44" s="61">
        <f t="shared" si="13"/>
        <v>0</v>
      </c>
      <c r="N44" s="61">
        <f t="shared" si="13"/>
        <v>0</v>
      </c>
      <c r="O44" s="61">
        <f t="shared" si="13"/>
        <v>0</v>
      </c>
      <c r="P44" s="61">
        <f t="shared" si="13"/>
        <v>0</v>
      </c>
      <c r="Q44" s="61">
        <f t="shared" si="13"/>
        <v>0</v>
      </c>
      <c r="R44" s="61">
        <f t="shared" si="13"/>
        <v>0</v>
      </c>
      <c r="S44" s="61">
        <f t="shared" si="13"/>
        <v>0</v>
      </c>
      <c r="T44" s="61">
        <f t="shared" si="13"/>
        <v>0</v>
      </c>
      <c r="U44" s="61">
        <f t="shared" si="13"/>
        <v>0</v>
      </c>
      <c r="V44" s="61">
        <f t="shared" si="13"/>
        <v>0</v>
      </c>
      <c r="W44" s="61">
        <f t="shared" si="13"/>
        <v>0</v>
      </c>
      <c r="X44" s="61">
        <f t="shared" si="13"/>
        <v>0</v>
      </c>
      <c r="Y44" s="61">
        <f t="shared" si="13"/>
        <v>0</v>
      </c>
      <c r="Z44" s="52"/>
      <c r="AB44" s="5"/>
      <c r="AC44" t="s">
        <v>402</v>
      </c>
      <c r="AE44" s="17">
        <v>28</v>
      </c>
      <c r="AG44" s="126">
        <f>HLOOKUP(AF$4,[1]Anx!$C$86:$CO$121,AE44)</f>
        <v>0</v>
      </c>
      <c r="AH44" s="61">
        <f t="shared" si="7"/>
        <v>0</v>
      </c>
      <c r="AI44" s="126">
        <f>Troupeau!E98</f>
        <v>0</v>
      </c>
      <c r="AK44" s="54">
        <f t="shared" si="3"/>
        <v>0</v>
      </c>
      <c r="AL44" s="54">
        <f t="shared" si="9"/>
        <v>0</v>
      </c>
      <c r="AM44" s="54">
        <f t="shared" si="9"/>
        <v>0</v>
      </c>
      <c r="AN44" s="54">
        <f t="shared" si="8"/>
        <v>0</v>
      </c>
      <c r="AO44" s="54">
        <f t="shared" si="8"/>
        <v>0</v>
      </c>
      <c r="AP44" s="54">
        <f t="shared" si="8"/>
        <v>0</v>
      </c>
      <c r="AQ44" s="54">
        <f t="shared" si="8"/>
        <v>0</v>
      </c>
      <c r="AR44" s="54">
        <f t="shared" si="8"/>
        <v>0</v>
      </c>
      <c r="AS44" s="54">
        <f t="shared" si="8"/>
        <v>0</v>
      </c>
      <c r="AT44" s="54">
        <f t="shared" si="8"/>
        <v>0</v>
      </c>
      <c r="AU44" s="54">
        <f t="shared" si="8"/>
        <v>0</v>
      </c>
      <c r="AV44" s="54">
        <f t="shared" si="8"/>
        <v>0</v>
      </c>
      <c r="AW44" s="54">
        <f t="shared" si="8"/>
        <v>0</v>
      </c>
      <c r="AX44" s="54">
        <f t="shared" si="8"/>
        <v>0</v>
      </c>
      <c r="AY44" s="54">
        <f t="shared" si="8"/>
        <v>0</v>
      </c>
      <c r="AZ44" s="54">
        <f t="shared" si="8"/>
        <v>0</v>
      </c>
      <c r="BA44" s="54">
        <f t="shared" si="8"/>
        <v>0</v>
      </c>
      <c r="BB44" s="54">
        <f t="shared" si="8"/>
        <v>0</v>
      </c>
      <c r="BC44" s="54">
        <f t="shared" si="8"/>
        <v>0</v>
      </c>
      <c r="BD44" s="54">
        <f t="shared" si="12"/>
        <v>0</v>
      </c>
      <c r="BE44" s="54">
        <f t="shared" si="12"/>
        <v>0</v>
      </c>
      <c r="BF44" s="54">
        <f t="shared" si="12"/>
        <v>0</v>
      </c>
      <c r="BG44" s="54">
        <f t="shared" si="12"/>
        <v>0</v>
      </c>
      <c r="BH44" s="54">
        <f t="shared" si="12"/>
        <v>0</v>
      </c>
      <c r="BI44" s="54">
        <f t="shared" si="12"/>
        <v>0</v>
      </c>
      <c r="BJ44" s="54">
        <f t="shared" si="12"/>
        <v>0</v>
      </c>
      <c r="BK44" s="54">
        <f t="shared" si="12"/>
        <v>0</v>
      </c>
      <c r="BL44" s="54">
        <f t="shared" si="12"/>
        <v>0</v>
      </c>
      <c r="BM44" s="54">
        <f t="shared" si="12"/>
        <v>0</v>
      </c>
      <c r="BN44" s="54">
        <f t="shared" si="12"/>
        <v>0</v>
      </c>
      <c r="BO44" s="54">
        <f t="shared" si="12"/>
        <v>0</v>
      </c>
      <c r="BP44" s="54">
        <f t="shared" si="12"/>
        <v>0</v>
      </c>
      <c r="BQ44" s="54">
        <f t="shared" si="12"/>
        <v>0</v>
      </c>
      <c r="BR44" s="54">
        <f t="shared" si="12"/>
        <v>0</v>
      </c>
      <c r="BS44" s="54">
        <f t="shared" si="12"/>
        <v>0</v>
      </c>
      <c r="BT44" s="54">
        <f t="shared" si="10"/>
        <v>0</v>
      </c>
      <c r="BU44" s="54">
        <f t="shared" si="10"/>
        <v>0</v>
      </c>
      <c r="BV44" s="54">
        <f t="shared" si="10"/>
        <v>0</v>
      </c>
      <c r="BW44" s="54">
        <f t="shared" si="11"/>
        <v>0</v>
      </c>
      <c r="BX44" s="54">
        <f t="shared" si="11"/>
        <v>0</v>
      </c>
      <c r="BY44" s="54">
        <f t="shared" si="11"/>
        <v>0</v>
      </c>
      <c r="BZ44" s="54">
        <f t="shared" si="11"/>
        <v>0</v>
      </c>
      <c r="CA44" s="54">
        <f t="shared" si="11"/>
        <v>0</v>
      </c>
      <c r="CB44" s="54">
        <f t="shared" si="11"/>
        <v>0</v>
      </c>
      <c r="CC44" s="54">
        <f t="shared" si="11"/>
        <v>0</v>
      </c>
      <c r="CD44" s="54">
        <f t="shared" si="11"/>
        <v>0</v>
      </c>
      <c r="CE44" s="54">
        <f t="shared" si="11"/>
        <v>0</v>
      </c>
    </row>
    <row r="45" spans="1:83" x14ac:dyDescent="0.25">
      <c r="A45" s="128" t="str">
        <f>A$21</f>
        <v>lot7</v>
      </c>
      <c r="B45" s="61">
        <f t="shared" si="14"/>
        <v>0</v>
      </c>
      <c r="C45" s="61">
        <f t="shared" si="13"/>
        <v>0</v>
      </c>
      <c r="D45" s="61">
        <f t="shared" si="13"/>
        <v>0</v>
      </c>
      <c r="E45" s="61">
        <f t="shared" si="13"/>
        <v>0</v>
      </c>
      <c r="F45" s="61">
        <f t="shared" si="13"/>
        <v>0</v>
      </c>
      <c r="G45" s="61">
        <f t="shared" si="13"/>
        <v>0</v>
      </c>
      <c r="H45" s="61">
        <f t="shared" si="13"/>
        <v>0</v>
      </c>
      <c r="I45" s="61">
        <f t="shared" si="13"/>
        <v>0</v>
      </c>
      <c r="J45" s="61">
        <f t="shared" si="13"/>
        <v>0</v>
      </c>
      <c r="K45" s="61">
        <f t="shared" si="13"/>
        <v>0</v>
      </c>
      <c r="L45" s="61">
        <f t="shared" si="13"/>
        <v>0</v>
      </c>
      <c r="M45" s="61">
        <f t="shared" si="13"/>
        <v>0</v>
      </c>
      <c r="N45" s="61">
        <f t="shared" si="13"/>
        <v>0</v>
      </c>
      <c r="O45" s="61">
        <f t="shared" si="13"/>
        <v>0</v>
      </c>
      <c r="P45" s="61">
        <f t="shared" si="13"/>
        <v>0</v>
      </c>
      <c r="Q45" s="61">
        <f t="shared" si="13"/>
        <v>0</v>
      </c>
      <c r="R45" s="61">
        <f t="shared" si="13"/>
        <v>0</v>
      </c>
      <c r="S45" s="61">
        <f t="shared" si="13"/>
        <v>0</v>
      </c>
      <c r="T45" s="61">
        <f t="shared" si="13"/>
        <v>0</v>
      </c>
      <c r="U45" s="61">
        <f t="shared" si="13"/>
        <v>0</v>
      </c>
      <c r="V45" s="61">
        <f t="shared" si="13"/>
        <v>0</v>
      </c>
      <c r="W45" s="61">
        <f t="shared" si="13"/>
        <v>0</v>
      </c>
      <c r="X45" s="61">
        <f t="shared" si="13"/>
        <v>0</v>
      </c>
      <c r="Y45" s="61">
        <f t="shared" si="13"/>
        <v>0</v>
      </c>
      <c r="Z45" s="52"/>
      <c r="AB45" s="5"/>
      <c r="AC45" t="s">
        <v>403</v>
      </c>
      <c r="AE45" s="17">
        <v>29</v>
      </c>
      <c r="AG45" s="126">
        <f>HLOOKUP(AF$4,[1]Anx!$C$86:$CO$121,AE45)</f>
        <v>0</v>
      </c>
      <c r="AH45" s="61">
        <f t="shared" si="7"/>
        <v>0</v>
      </c>
      <c r="AI45" s="126">
        <f>Troupeau!E99</f>
        <v>0</v>
      </c>
      <c r="AK45" s="54">
        <f t="shared" si="3"/>
        <v>0</v>
      </c>
      <c r="AL45" s="54">
        <f t="shared" si="9"/>
        <v>0</v>
      </c>
      <c r="AM45" s="54">
        <f t="shared" si="9"/>
        <v>0</v>
      </c>
      <c r="AN45" s="54">
        <f t="shared" si="8"/>
        <v>0</v>
      </c>
      <c r="AO45" s="54">
        <f t="shared" si="8"/>
        <v>0</v>
      </c>
      <c r="AP45" s="54">
        <f t="shared" si="8"/>
        <v>0</v>
      </c>
      <c r="AQ45" s="54">
        <f t="shared" si="8"/>
        <v>0</v>
      </c>
      <c r="AR45" s="54">
        <f t="shared" si="8"/>
        <v>0</v>
      </c>
      <c r="AS45" s="54">
        <f t="shared" si="8"/>
        <v>0</v>
      </c>
      <c r="AT45" s="54">
        <f t="shared" si="8"/>
        <v>0</v>
      </c>
      <c r="AU45" s="54">
        <f t="shared" si="8"/>
        <v>0</v>
      </c>
      <c r="AV45" s="54">
        <f t="shared" si="8"/>
        <v>0</v>
      </c>
      <c r="AW45" s="54">
        <f t="shared" si="8"/>
        <v>0</v>
      </c>
      <c r="AX45" s="54">
        <f t="shared" si="8"/>
        <v>0</v>
      </c>
      <c r="AY45" s="54">
        <f t="shared" si="8"/>
        <v>0</v>
      </c>
      <c r="AZ45" s="54">
        <f t="shared" si="8"/>
        <v>0</v>
      </c>
      <c r="BA45" s="54">
        <f t="shared" si="8"/>
        <v>0</v>
      </c>
      <c r="BB45" s="54">
        <f t="shared" si="8"/>
        <v>0</v>
      </c>
      <c r="BC45" s="54">
        <f t="shared" si="8"/>
        <v>0</v>
      </c>
      <c r="BD45" s="54">
        <f t="shared" si="12"/>
        <v>0</v>
      </c>
      <c r="BE45" s="54">
        <f t="shared" si="12"/>
        <v>0</v>
      </c>
      <c r="BF45" s="54">
        <f t="shared" si="12"/>
        <v>0</v>
      </c>
      <c r="BG45" s="54">
        <f t="shared" si="12"/>
        <v>0</v>
      </c>
      <c r="BH45" s="54">
        <f t="shared" si="12"/>
        <v>0</v>
      </c>
      <c r="BI45" s="54">
        <f t="shared" si="12"/>
        <v>0</v>
      </c>
      <c r="BJ45" s="54">
        <f t="shared" si="12"/>
        <v>0</v>
      </c>
      <c r="BK45" s="54">
        <f t="shared" si="12"/>
        <v>0</v>
      </c>
      <c r="BL45" s="54">
        <f t="shared" si="12"/>
        <v>0</v>
      </c>
      <c r="BM45" s="54">
        <f t="shared" si="12"/>
        <v>0</v>
      </c>
      <c r="BN45" s="54">
        <f t="shared" si="12"/>
        <v>0</v>
      </c>
      <c r="BO45" s="54">
        <f t="shared" si="12"/>
        <v>0</v>
      </c>
      <c r="BP45" s="54">
        <f t="shared" si="12"/>
        <v>0</v>
      </c>
      <c r="BQ45" s="54">
        <f t="shared" si="12"/>
        <v>0</v>
      </c>
      <c r="BR45" s="54">
        <f t="shared" si="12"/>
        <v>0</v>
      </c>
      <c r="BS45" s="54">
        <f t="shared" si="12"/>
        <v>0</v>
      </c>
      <c r="BT45" s="54">
        <f t="shared" si="10"/>
        <v>0</v>
      </c>
      <c r="BU45" s="54">
        <f t="shared" si="10"/>
        <v>0</v>
      </c>
      <c r="BV45" s="54">
        <f t="shared" si="10"/>
        <v>0</v>
      </c>
      <c r="BW45" s="54">
        <f t="shared" si="11"/>
        <v>0</v>
      </c>
      <c r="BX45" s="54">
        <f t="shared" si="11"/>
        <v>0</v>
      </c>
      <c r="BY45" s="54">
        <f t="shared" si="11"/>
        <v>0</v>
      </c>
      <c r="BZ45" s="54">
        <f t="shared" si="11"/>
        <v>0</v>
      </c>
      <c r="CA45" s="54">
        <f t="shared" si="11"/>
        <v>0</v>
      </c>
      <c r="CB45" s="54">
        <f t="shared" si="11"/>
        <v>0</v>
      </c>
      <c r="CC45" s="54">
        <f t="shared" si="11"/>
        <v>0</v>
      </c>
      <c r="CD45" s="54">
        <f t="shared" si="11"/>
        <v>0</v>
      </c>
      <c r="CE45" s="54">
        <f t="shared" si="11"/>
        <v>0</v>
      </c>
    </row>
    <row r="46" spans="1:83" x14ac:dyDescent="0.25">
      <c r="A46" s="128" t="str">
        <f>A$22</f>
        <v>lot8</v>
      </c>
      <c r="B46" s="61">
        <f t="shared" si="14"/>
        <v>0</v>
      </c>
      <c r="C46" s="61">
        <f t="shared" si="13"/>
        <v>0</v>
      </c>
      <c r="D46" s="61">
        <f t="shared" si="13"/>
        <v>0</v>
      </c>
      <c r="E46" s="61">
        <f t="shared" si="13"/>
        <v>0</v>
      </c>
      <c r="F46" s="61">
        <f t="shared" si="13"/>
        <v>0</v>
      </c>
      <c r="G46" s="61">
        <f t="shared" si="13"/>
        <v>0</v>
      </c>
      <c r="H46" s="61">
        <f t="shared" si="13"/>
        <v>0</v>
      </c>
      <c r="I46" s="61">
        <f t="shared" si="13"/>
        <v>0</v>
      </c>
      <c r="J46" s="61">
        <f t="shared" si="13"/>
        <v>0</v>
      </c>
      <c r="K46" s="61">
        <f t="shared" si="13"/>
        <v>0</v>
      </c>
      <c r="L46" s="61">
        <f t="shared" si="13"/>
        <v>0</v>
      </c>
      <c r="M46" s="61">
        <f t="shared" si="13"/>
        <v>0</v>
      </c>
      <c r="N46" s="61">
        <f t="shared" si="13"/>
        <v>0</v>
      </c>
      <c r="O46" s="61">
        <f t="shared" si="13"/>
        <v>0</v>
      </c>
      <c r="P46" s="61">
        <f t="shared" si="13"/>
        <v>0</v>
      </c>
      <c r="Q46" s="61">
        <f t="shared" si="13"/>
        <v>0</v>
      </c>
      <c r="R46" s="61">
        <f t="shared" si="13"/>
        <v>0</v>
      </c>
      <c r="S46" s="61">
        <f t="shared" si="13"/>
        <v>0</v>
      </c>
      <c r="T46" s="61">
        <f t="shared" si="13"/>
        <v>0</v>
      </c>
      <c r="U46" s="61">
        <f t="shared" si="13"/>
        <v>0</v>
      </c>
      <c r="V46" s="61">
        <f t="shared" si="13"/>
        <v>0</v>
      </c>
      <c r="W46" s="61">
        <f t="shared" si="13"/>
        <v>0</v>
      </c>
      <c r="X46" s="61">
        <f t="shared" si="13"/>
        <v>0</v>
      </c>
      <c r="Y46" s="61">
        <f t="shared" si="13"/>
        <v>0</v>
      </c>
      <c r="Z46" s="52"/>
      <c r="AB46" s="5"/>
      <c r="AC46" t="s">
        <v>404</v>
      </c>
      <c r="AE46" s="17">
        <v>30</v>
      </c>
      <c r="AG46" s="126">
        <f>HLOOKUP(AF$4,[1]Anx!$C$86:$CO$121,AE46)</f>
        <v>0</v>
      </c>
      <c r="AH46" s="61">
        <f t="shared" si="7"/>
        <v>0</v>
      </c>
      <c r="AI46" s="126">
        <f>Troupeau!E100</f>
        <v>0</v>
      </c>
      <c r="AK46" s="54">
        <f t="shared" si="3"/>
        <v>0</v>
      </c>
      <c r="AL46" s="54">
        <f t="shared" si="9"/>
        <v>0</v>
      </c>
      <c r="AM46" s="54">
        <f t="shared" si="9"/>
        <v>0</v>
      </c>
      <c r="AN46" s="54">
        <f t="shared" si="8"/>
        <v>0</v>
      </c>
      <c r="AO46" s="54">
        <f t="shared" si="8"/>
        <v>0</v>
      </c>
      <c r="AP46" s="54">
        <f t="shared" si="8"/>
        <v>0</v>
      </c>
      <c r="AQ46" s="54">
        <f t="shared" si="8"/>
        <v>0</v>
      </c>
      <c r="AR46" s="54">
        <f t="shared" si="8"/>
        <v>0</v>
      </c>
      <c r="AS46" s="54">
        <f t="shared" si="8"/>
        <v>0</v>
      </c>
      <c r="AT46" s="54">
        <f t="shared" si="8"/>
        <v>0</v>
      </c>
      <c r="AU46" s="54">
        <f t="shared" si="8"/>
        <v>0</v>
      </c>
      <c r="AV46" s="54">
        <f t="shared" si="8"/>
        <v>0</v>
      </c>
      <c r="AW46" s="54">
        <f t="shared" si="8"/>
        <v>0</v>
      </c>
      <c r="AX46" s="54">
        <f t="shared" si="8"/>
        <v>0</v>
      </c>
      <c r="AY46" s="54">
        <f t="shared" si="8"/>
        <v>0</v>
      </c>
      <c r="AZ46" s="54">
        <f t="shared" si="8"/>
        <v>0</v>
      </c>
      <c r="BA46" s="54">
        <f t="shared" si="8"/>
        <v>0</v>
      </c>
      <c r="BB46" s="54">
        <f t="shared" si="8"/>
        <v>0</v>
      </c>
      <c r="BC46" s="54">
        <f t="shared" si="8"/>
        <v>0</v>
      </c>
      <c r="BD46" s="54">
        <f t="shared" si="12"/>
        <v>0</v>
      </c>
      <c r="BE46" s="54">
        <f t="shared" si="12"/>
        <v>0</v>
      </c>
      <c r="BF46" s="54">
        <f t="shared" si="12"/>
        <v>0</v>
      </c>
      <c r="BG46" s="54">
        <f t="shared" si="12"/>
        <v>0</v>
      </c>
      <c r="BH46" s="54">
        <f t="shared" si="12"/>
        <v>0</v>
      </c>
      <c r="BI46" s="54">
        <f t="shared" si="12"/>
        <v>0</v>
      </c>
      <c r="BJ46" s="54">
        <f t="shared" si="12"/>
        <v>0</v>
      </c>
      <c r="BK46" s="54">
        <f t="shared" si="12"/>
        <v>0</v>
      </c>
      <c r="BL46" s="54">
        <f t="shared" si="12"/>
        <v>0</v>
      </c>
      <c r="BM46" s="54">
        <f t="shared" si="12"/>
        <v>0</v>
      </c>
      <c r="BN46" s="54">
        <f t="shared" si="12"/>
        <v>0</v>
      </c>
      <c r="BO46" s="54">
        <f t="shared" si="12"/>
        <v>0</v>
      </c>
      <c r="BP46" s="54">
        <f t="shared" si="12"/>
        <v>0</v>
      </c>
      <c r="BQ46" s="54">
        <f t="shared" si="12"/>
        <v>0</v>
      </c>
      <c r="BR46" s="54">
        <f t="shared" si="12"/>
        <v>0</v>
      </c>
      <c r="BS46" s="54">
        <f t="shared" si="12"/>
        <v>0</v>
      </c>
      <c r="BT46" s="54">
        <f t="shared" si="10"/>
        <v>0</v>
      </c>
      <c r="BU46" s="54">
        <f t="shared" si="10"/>
        <v>0</v>
      </c>
      <c r="BV46" s="54">
        <f t="shared" si="10"/>
        <v>0</v>
      </c>
      <c r="BW46" s="54">
        <f t="shared" si="11"/>
        <v>0</v>
      </c>
      <c r="BX46" s="54">
        <f t="shared" si="11"/>
        <v>0</v>
      </c>
      <c r="BY46" s="54">
        <f t="shared" si="11"/>
        <v>0</v>
      </c>
      <c r="BZ46" s="54">
        <f t="shared" si="11"/>
        <v>0</v>
      </c>
      <c r="CA46" s="54">
        <f t="shared" si="11"/>
        <v>0</v>
      </c>
      <c r="CB46" s="54">
        <f t="shared" si="11"/>
        <v>0</v>
      </c>
      <c r="CC46" s="54">
        <f t="shared" si="11"/>
        <v>0</v>
      </c>
      <c r="CD46" s="54">
        <f t="shared" si="11"/>
        <v>0</v>
      </c>
      <c r="CE46" s="54">
        <f t="shared" si="11"/>
        <v>0</v>
      </c>
    </row>
    <row r="47" spans="1:83" x14ac:dyDescent="0.25">
      <c r="A47" s="127" t="str">
        <f>A$23</f>
        <v>lot9</v>
      </c>
      <c r="B47" s="61">
        <f t="shared" si="14"/>
        <v>0</v>
      </c>
      <c r="C47" s="61">
        <f t="shared" si="13"/>
        <v>0</v>
      </c>
      <c r="D47" s="61">
        <f t="shared" si="13"/>
        <v>0</v>
      </c>
      <c r="E47" s="61">
        <f t="shared" si="13"/>
        <v>0</v>
      </c>
      <c r="F47" s="61">
        <f t="shared" si="13"/>
        <v>0</v>
      </c>
      <c r="G47" s="61">
        <f t="shared" si="13"/>
        <v>0</v>
      </c>
      <c r="H47" s="61">
        <f t="shared" si="13"/>
        <v>0</v>
      </c>
      <c r="I47" s="61">
        <f t="shared" si="13"/>
        <v>0</v>
      </c>
      <c r="J47" s="61">
        <f t="shared" si="13"/>
        <v>0</v>
      </c>
      <c r="K47" s="61">
        <f t="shared" si="13"/>
        <v>0</v>
      </c>
      <c r="L47" s="61">
        <f t="shared" si="13"/>
        <v>0</v>
      </c>
      <c r="M47" s="61">
        <f t="shared" si="13"/>
        <v>0</v>
      </c>
      <c r="N47" s="61">
        <f t="shared" si="13"/>
        <v>0</v>
      </c>
      <c r="O47" s="61">
        <f t="shared" si="13"/>
        <v>0</v>
      </c>
      <c r="P47" s="61">
        <f t="shared" si="13"/>
        <v>0</v>
      </c>
      <c r="Q47" s="61">
        <f t="shared" si="13"/>
        <v>0</v>
      </c>
      <c r="R47" s="61">
        <f t="shared" si="13"/>
        <v>0</v>
      </c>
      <c r="S47" s="61">
        <f t="shared" si="13"/>
        <v>0</v>
      </c>
      <c r="T47" s="61">
        <f t="shared" si="13"/>
        <v>0</v>
      </c>
      <c r="U47" s="61">
        <f t="shared" si="13"/>
        <v>0</v>
      </c>
      <c r="V47" s="61">
        <f t="shared" si="13"/>
        <v>0</v>
      </c>
      <c r="W47" s="61">
        <f t="shared" si="13"/>
        <v>0</v>
      </c>
      <c r="X47" s="61">
        <f t="shared" si="13"/>
        <v>0</v>
      </c>
      <c r="Y47" s="61">
        <f t="shared" si="13"/>
        <v>0</v>
      </c>
      <c r="Z47" s="52"/>
      <c r="AB47" s="5"/>
      <c r="AC47" t="s">
        <v>405</v>
      </c>
      <c r="AE47" s="17">
        <v>31</v>
      </c>
      <c r="AG47" s="126">
        <f>HLOOKUP(AF$4,[1]Anx!$C$86:$CO$121,AE47)</f>
        <v>0</v>
      </c>
      <c r="AH47" s="61">
        <f t="shared" si="7"/>
        <v>0</v>
      </c>
      <c r="AI47" s="126">
        <f>Troupeau!E101</f>
        <v>0</v>
      </c>
      <c r="AK47" s="54">
        <f t="shared" si="3"/>
        <v>0</v>
      </c>
      <c r="AL47" s="54">
        <f t="shared" si="9"/>
        <v>0</v>
      </c>
      <c r="AM47" s="54">
        <f t="shared" si="9"/>
        <v>0</v>
      </c>
      <c r="AN47" s="54">
        <f t="shared" si="8"/>
        <v>0</v>
      </c>
      <c r="AO47" s="54">
        <f t="shared" si="8"/>
        <v>0</v>
      </c>
      <c r="AP47" s="54">
        <f t="shared" si="8"/>
        <v>0</v>
      </c>
      <c r="AQ47" s="54">
        <f t="shared" si="8"/>
        <v>0</v>
      </c>
      <c r="AR47" s="54">
        <f t="shared" si="8"/>
        <v>0</v>
      </c>
      <c r="AS47" s="54">
        <f t="shared" si="8"/>
        <v>0</v>
      </c>
      <c r="AT47" s="54">
        <f t="shared" si="8"/>
        <v>0</v>
      </c>
      <c r="AU47" s="54">
        <f t="shared" si="8"/>
        <v>0</v>
      </c>
      <c r="AV47" s="54">
        <f t="shared" si="8"/>
        <v>0</v>
      </c>
      <c r="AW47" s="54">
        <f t="shared" si="8"/>
        <v>0</v>
      </c>
      <c r="AX47" s="54">
        <f t="shared" si="8"/>
        <v>0</v>
      </c>
      <c r="AY47" s="54">
        <f t="shared" si="8"/>
        <v>0</v>
      </c>
      <c r="AZ47" s="54">
        <f t="shared" si="8"/>
        <v>0</v>
      </c>
      <c r="BA47" s="54">
        <f t="shared" si="8"/>
        <v>0</v>
      </c>
      <c r="BB47" s="54">
        <f t="shared" si="8"/>
        <v>0</v>
      </c>
      <c r="BC47" s="54">
        <f t="shared" si="8"/>
        <v>0</v>
      </c>
      <c r="BD47" s="54">
        <f t="shared" si="12"/>
        <v>0</v>
      </c>
      <c r="BE47" s="54">
        <f t="shared" si="12"/>
        <v>0</v>
      </c>
      <c r="BF47" s="54">
        <f t="shared" si="12"/>
        <v>0</v>
      </c>
      <c r="BG47" s="54">
        <f t="shared" si="12"/>
        <v>0</v>
      </c>
      <c r="BH47" s="54">
        <f t="shared" si="12"/>
        <v>0</v>
      </c>
      <c r="BI47" s="54">
        <f t="shared" si="12"/>
        <v>0</v>
      </c>
      <c r="BJ47" s="54">
        <f t="shared" si="12"/>
        <v>0</v>
      </c>
      <c r="BK47" s="54">
        <f t="shared" si="12"/>
        <v>0</v>
      </c>
      <c r="BL47" s="54">
        <f t="shared" si="12"/>
        <v>0</v>
      </c>
      <c r="BM47" s="54">
        <f t="shared" si="12"/>
        <v>0</v>
      </c>
      <c r="BN47" s="54">
        <f t="shared" si="12"/>
        <v>0</v>
      </c>
      <c r="BO47" s="54">
        <f t="shared" si="12"/>
        <v>0</v>
      </c>
      <c r="BP47" s="54">
        <f t="shared" si="12"/>
        <v>0</v>
      </c>
      <c r="BQ47" s="54">
        <f t="shared" si="12"/>
        <v>0</v>
      </c>
      <c r="BR47" s="54">
        <f t="shared" si="12"/>
        <v>0</v>
      </c>
      <c r="BS47" s="54">
        <f t="shared" si="12"/>
        <v>0</v>
      </c>
      <c r="BT47" s="54">
        <f t="shared" si="10"/>
        <v>0</v>
      </c>
      <c r="BU47" s="54">
        <f t="shared" si="10"/>
        <v>0</v>
      </c>
      <c r="BV47" s="54">
        <f t="shared" si="10"/>
        <v>0</v>
      </c>
      <c r="BW47" s="54">
        <f t="shared" si="11"/>
        <v>0</v>
      </c>
      <c r="BX47" s="54">
        <f t="shared" si="11"/>
        <v>0</v>
      </c>
      <c r="BY47" s="54">
        <f t="shared" si="11"/>
        <v>0</v>
      </c>
      <c r="BZ47" s="54">
        <f t="shared" si="11"/>
        <v>0</v>
      </c>
      <c r="CA47" s="54">
        <f t="shared" si="11"/>
        <v>0</v>
      </c>
      <c r="CB47" s="54">
        <f t="shared" si="11"/>
        <v>0</v>
      </c>
      <c r="CC47" s="54">
        <f t="shared" si="11"/>
        <v>0</v>
      </c>
      <c r="CD47" s="54">
        <f t="shared" si="11"/>
        <v>0</v>
      </c>
      <c r="CE47" s="54">
        <f t="shared" si="11"/>
        <v>0</v>
      </c>
    </row>
    <row r="48" spans="1:83" x14ac:dyDescent="0.25">
      <c r="A48" s="128" t="str">
        <f>A$24</f>
        <v>lot10</v>
      </c>
      <c r="B48" s="61">
        <f t="shared" si="14"/>
        <v>0</v>
      </c>
      <c r="C48" s="61">
        <f t="shared" si="13"/>
        <v>0</v>
      </c>
      <c r="D48" s="61">
        <f t="shared" si="13"/>
        <v>0</v>
      </c>
      <c r="E48" s="61">
        <f t="shared" si="13"/>
        <v>0</v>
      </c>
      <c r="F48" s="61">
        <f t="shared" si="13"/>
        <v>0</v>
      </c>
      <c r="G48" s="61">
        <f t="shared" si="13"/>
        <v>0</v>
      </c>
      <c r="H48" s="61">
        <f t="shared" si="13"/>
        <v>0</v>
      </c>
      <c r="I48" s="61">
        <f t="shared" si="13"/>
        <v>0</v>
      </c>
      <c r="J48" s="61">
        <f t="shared" si="13"/>
        <v>0</v>
      </c>
      <c r="K48" s="61">
        <f t="shared" si="13"/>
        <v>0</v>
      </c>
      <c r="L48" s="61">
        <f t="shared" si="13"/>
        <v>0</v>
      </c>
      <c r="M48" s="61">
        <f t="shared" si="13"/>
        <v>0</v>
      </c>
      <c r="N48" s="61">
        <f t="shared" si="13"/>
        <v>0</v>
      </c>
      <c r="O48" s="61">
        <f t="shared" si="13"/>
        <v>0</v>
      </c>
      <c r="P48" s="61">
        <f t="shared" si="13"/>
        <v>0</v>
      </c>
      <c r="Q48" s="61">
        <f t="shared" si="13"/>
        <v>0</v>
      </c>
      <c r="R48" s="61">
        <f t="shared" si="13"/>
        <v>0</v>
      </c>
      <c r="S48" s="61">
        <f t="shared" si="13"/>
        <v>0</v>
      </c>
      <c r="T48" s="61">
        <f t="shared" si="13"/>
        <v>0</v>
      </c>
      <c r="U48" s="61">
        <f t="shared" si="13"/>
        <v>0</v>
      </c>
      <c r="V48" s="61">
        <f t="shared" si="13"/>
        <v>0</v>
      </c>
      <c r="W48" s="61">
        <f t="shared" si="13"/>
        <v>0</v>
      </c>
      <c r="X48" s="61">
        <f t="shared" si="13"/>
        <v>0</v>
      </c>
      <c r="Y48" s="61">
        <f t="shared" si="13"/>
        <v>0</v>
      </c>
      <c r="Z48" s="52"/>
      <c r="AB48" s="5"/>
      <c r="AC48" t="s">
        <v>406</v>
      </c>
      <c r="AE48" s="17">
        <v>32</v>
      </c>
      <c r="AG48" s="126">
        <f>HLOOKUP(AF$4,[1]Anx!$C$86:$CO$121,AE48)</f>
        <v>0</v>
      </c>
      <c r="AH48" s="61">
        <f t="shared" si="7"/>
        <v>0</v>
      </c>
      <c r="AI48" s="126">
        <f>Troupeau!E102</f>
        <v>0</v>
      </c>
      <c r="AK48" s="54">
        <f t="shared" si="3"/>
        <v>0</v>
      </c>
      <c r="AL48" s="54">
        <f t="shared" si="9"/>
        <v>0</v>
      </c>
      <c r="AM48" s="54">
        <f t="shared" si="9"/>
        <v>0</v>
      </c>
      <c r="AN48" s="54">
        <f t="shared" si="8"/>
        <v>0</v>
      </c>
      <c r="AO48" s="54">
        <f t="shared" si="8"/>
        <v>0</v>
      </c>
      <c r="AP48" s="54">
        <f t="shared" si="8"/>
        <v>0</v>
      </c>
      <c r="AQ48" s="54">
        <f t="shared" si="8"/>
        <v>0</v>
      </c>
      <c r="AR48" s="54">
        <f t="shared" si="8"/>
        <v>0</v>
      </c>
      <c r="AS48" s="54">
        <f t="shared" si="8"/>
        <v>0</v>
      </c>
      <c r="AT48" s="54">
        <f t="shared" si="8"/>
        <v>0</v>
      </c>
      <c r="AU48" s="54">
        <f t="shared" si="8"/>
        <v>0</v>
      </c>
      <c r="AV48" s="54">
        <f t="shared" si="8"/>
        <v>0</v>
      </c>
      <c r="AW48" s="54">
        <f t="shared" si="8"/>
        <v>0</v>
      </c>
      <c r="AX48" s="54">
        <f t="shared" si="8"/>
        <v>0</v>
      </c>
      <c r="AY48" s="54">
        <f t="shared" si="8"/>
        <v>0</v>
      </c>
      <c r="AZ48" s="54">
        <f t="shared" si="8"/>
        <v>0</v>
      </c>
      <c r="BA48" s="54">
        <f t="shared" si="8"/>
        <v>0</v>
      </c>
      <c r="BB48" s="54">
        <f t="shared" si="8"/>
        <v>0</v>
      </c>
      <c r="BC48" s="54">
        <f t="shared" si="8"/>
        <v>0</v>
      </c>
      <c r="BD48" s="54">
        <f t="shared" si="12"/>
        <v>0</v>
      </c>
      <c r="BE48" s="54">
        <f t="shared" si="12"/>
        <v>0</v>
      </c>
      <c r="BF48" s="54">
        <f t="shared" si="12"/>
        <v>0</v>
      </c>
      <c r="BG48" s="54">
        <f t="shared" si="12"/>
        <v>0</v>
      </c>
      <c r="BH48" s="54">
        <f t="shared" si="12"/>
        <v>0</v>
      </c>
      <c r="BI48" s="54">
        <f t="shared" si="12"/>
        <v>0</v>
      </c>
      <c r="BJ48" s="54">
        <f t="shared" si="12"/>
        <v>0</v>
      </c>
      <c r="BK48" s="54">
        <f t="shared" si="12"/>
        <v>0</v>
      </c>
      <c r="BL48" s="54">
        <f t="shared" si="12"/>
        <v>0</v>
      </c>
      <c r="BM48" s="54">
        <f t="shared" si="12"/>
        <v>0</v>
      </c>
      <c r="BN48" s="54">
        <f t="shared" si="12"/>
        <v>0</v>
      </c>
      <c r="BO48" s="54">
        <f t="shared" si="12"/>
        <v>0</v>
      </c>
      <c r="BP48" s="54">
        <f t="shared" si="12"/>
        <v>0</v>
      </c>
      <c r="BQ48" s="54">
        <f t="shared" si="12"/>
        <v>0</v>
      </c>
      <c r="BR48" s="54">
        <f t="shared" si="12"/>
        <v>0</v>
      </c>
      <c r="BS48" s="54">
        <f t="shared" si="12"/>
        <v>0</v>
      </c>
      <c r="BT48" s="54">
        <f t="shared" si="10"/>
        <v>0</v>
      </c>
      <c r="BU48" s="54">
        <f t="shared" si="10"/>
        <v>0</v>
      </c>
      <c r="BV48" s="54">
        <f t="shared" si="10"/>
        <v>0</v>
      </c>
      <c r="BW48" s="54">
        <f t="shared" si="11"/>
        <v>0</v>
      </c>
      <c r="BX48" s="54">
        <f t="shared" si="11"/>
        <v>0</v>
      </c>
      <c r="BY48" s="54">
        <f t="shared" si="11"/>
        <v>0</v>
      </c>
      <c r="BZ48" s="54">
        <f t="shared" si="11"/>
        <v>0</v>
      </c>
      <c r="CA48" s="54">
        <f t="shared" si="11"/>
        <v>0</v>
      </c>
      <c r="CB48" s="54">
        <f t="shared" si="11"/>
        <v>0</v>
      </c>
      <c r="CC48" s="54">
        <f t="shared" si="11"/>
        <v>0</v>
      </c>
      <c r="CD48" s="54">
        <f t="shared" si="11"/>
        <v>0</v>
      </c>
      <c r="CE48" s="54">
        <f t="shared" si="11"/>
        <v>0</v>
      </c>
    </row>
    <row r="49" spans="1:83" s="2" customFormat="1" x14ac:dyDescent="0.25">
      <c r="A49" s="55" t="s">
        <v>171</v>
      </c>
      <c r="B49" s="62">
        <f>SUM(B39:B48)</f>
        <v>0</v>
      </c>
      <c r="C49" s="62">
        <f t="shared" ref="C49:Y49" si="15">SUM(C39:C48)</f>
        <v>0</v>
      </c>
      <c r="D49" s="62">
        <f t="shared" si="15"/>
        <v>0</v>
      </c>
      <c r="E49" s="62">
        <f t="shared" si="15"/>
        <v>0</v>
      </c>
      <c r="F49" s="62">
        <f t="shared" si="15"/>
        <v>0</v>
      </c>
      <c r="G49" s="62">
        <f t="shared" si="15"/>
        <v>0</v>
      </c>
      <c r="H49" s="62">
        <f t="shared" si="15"/>
        <v>0</v>
      </c>
      <c r="I49" s="62">
        <f t="shared" si="15"/>
        <v>0</v>
      </c>
      <c r="J49" s="62">
        <f t="shared" si="15"/>
        <v>0</v>
      </c>
      <c r="K49" s="62">
        <f t="shared" si="15"/>
        <v>0</v>
      </c>
      <c r="L49" s="62">
        <f t="shared" si="15"/>
        <v>0</v>
      </c>
      <c r="M49" s="62">
        <f t="shared" si="15"/>
        <v>0</v>
      </c>
      <c r="N49" s="62">
        <f t="shared" si="15"/>
        <v>0</v>
      </c>
      <c r="O49" s="62">
        <f t="shared" si="15"/>
        <v>0</v>
      </c>
      <c r="P49" s="62">
        <f t="shared" si="15"/>
        <v>0</v>
      </c>
      <c r="Q49" s="62">
        <f t="shared" si="15"/>
        <v>0</v>
      </c>
      <c r="R49" s="62">
        <f t="shared" si="15"/>
        <v>0</v>
      </c>
      <c r="S49" s="62">
        <f t="shared" si="15"/>
        <v>0</v>
      </c>
      <c r="T49" s="62">
        <f t="shared" si="15"/>
        <v>0</v>
      </c>
      <c r="U49" s="62">
        <f t="shared" si="15"/>
        <v>0</v>
      </c>
      <c r="V49" s="62">
        <f t="shared" si="15"/>
        <v>0</v>
      </c>
      <c r="W49" s="62">
        <f t="shared" si="15"/>
        <v>0</v>
      </c>
      <c r="X49" s="62">
        <f t="shared" si="15"/>
        <v>0</v>
      </c>
      <c r="Y49" s="62">
        <f t="shared" si="15"/>
        <v>0</v>
      </c>
      <c r="Z49" s="23"/>
      <c r="AA49" s="46">
        <f>AVERAGE(B49:Y49)</f>
        <v>0</v>
      </c>
      <c r="AB49" t="s">
        <v>191</v>
      </c>
      <c r="AC49" t="s">
        <v>407</v>
      </c>
      <c r="AE49" s="17">
        <v>33</v>
      </c>
      <c r="AG49" s="126">
        <f>HLOOKUP(AF$4,[1]Anx!$C$86:$CO$121,AE49)</f>
        <v>0</v>
      </c>
      <c r="AH49" s="61">
        <f t="shared" si="7"/>
        <v>0</v>
      </c>
      <c r="AI49" s="126">
        <f>Troupeau!E103</f>
        <v>0</v>
      </c>
      <c r="AK49" s="54">
        <f t="shared" si="3"/>
        <v>0</v>
      </c>
      <c r="AL49" s="54">
        <f t="shared" si="9"/>
        <v>0</v>
      </c>
      <c r="AM49" s="54">
        <f t="shared" si="9"/>
        <v>0</v>
      </c>
      <c r="AN49" s="54">
        <f t="shared" si="8"/>
        <v>0</v>
      </c>
      <c r="AO49" s="54">
        <f t="shared" si="8"/>
        <v>0</v>
      </c>
      <c r="AP49" s="54">
        <f t="shared" si="8"/>
        <v>0</v>
      </c>
      <c r="AQ49" s="54">
        <f t="shared" si="8"/>
        <v>0</v>
      </c>
      <c r="AR49" s="54">
        <f t="shared" si="8"/>
        <v>0</v>
      </c>
      <c r="AS49" s="54">
        <f t="shared" si="8"/>
        <v>0</v>
      </c>
      <c r="AT49" s="54">
        <f t="shared" si="8"/>
        <v>0</v>
      </c>
      <c r="AU49" s="54">
        <f t="shared" si="8"/>
        <v>0</v>
      </c>
      <c r="AV49" s="54">
        <f t="shared" si="8"/>
        <v>0</v>
      </c>
      <c r="AW49" s="54">
        <f t="shared" si="8"/>
        <v>0</v>
      </c>
      <c r="AX49" s="54">
        <f t="shared" si="8"/>
        <v>0</v>
      </c>
      <c r="AY49" s="54">
        <f t="shared" si="8"/>
        <v>0</v>
      </c>
      <c r="AZ49" s="54">
        <f t="shared" si="8"/>
        <v>0</v>
      </c>
      <c r="BA49" s="54">
        <f t="shared" si="8"/>
        <v>0</v>
      </c>
      <c r="BB49" s="54">
        <f t="shared" ref="AN49:BC52" si="16">IF($AH49=BB$17,ROUND($AI49/1000,1),0)</f>
        <v>0</v>
      </c>
      <c r="BC49" s="54">
        <f t="shared" si="16"/>
        <v>0</v>
      </c>
      <c r="BD49" s="54">
        <f t="shared" si="12"/>
        <v>0</v>
      </c>
      <c r="BE49" s="54">
        <f t="shared" si="12"/>
        <v>0</v>
      </c>
      <c r="BF49" s="54">
        <f t="shared" si="12"/>
        <v>0</v>
      </c>
      <c r="BG49" s="54">
        <f t="shared" si="12"/>
        <v>0</v>
      </c>
      <c r="BH49" s="54">
        <f t="shared" si="12"/>
        <v>0</v>
      </c>
      <c r="BI49" s="54">
        <f t="shared" si="12"/>
        <v>0</v>
      </c>
      <c r="BJ49" s="54">
        <f t="shared" si="12"/>
        <v>0</v>
      </c>
      <c r="BK49" s="54">
        <f t="shared" si="12"/>
        <v>0</v>
      </c>
      <c r="BL49" s="54">
        <f t="shared" si="12"/>
        <v>0</v>
      </c>
      <c r="BM49" s="54">
        <f t="shared" si="12"/>
        <v>0</v>
      </c>
      <c r="BN49" s="54">
        <f t="shared" si="12"/>
        <v>0</v>
      </c>
      <c r="BO49" s="54">
        <f t="shared" si="12"/>
        <v>0</v>
      </c>
      <c r="BP49" s="54">
        <f t="shared" si="12"/>
        <v>0</v>
      </c>
      <c r="BQ49" s="54">
        <f t="shared" si="12"/>
        <v>0</v>
      </c>
      <c r="BR49" s="54">
        <f t="shared" si="12"/>
        <v>0</v>
      </c>
      <c r="BS49" s="54">
        <f t="shared" si="12"/>
        <v>0</v>
      </c>
      <c r="BT49" s="54">
        <f t="shared" si="10"/>
        <v>0</v>
      </c>
      <c r="BU49" s="54">
        <f t="shared" si="10"/>
        <v>0</v>
      </c>
      <c r="BV49" s="54">
        <f t="shared" si="10"/>
        <v>0</v>
      </c>
      <c r="BW49" s="54">
        <f t="shared" si="11"/>
        <v>0</v>
      </c>
      <c r="BX49" s="54">
        <f t="shared" si="11"/>
        <v>0</v>
      </c>
      <c r="BY49" s="54">
        <f t="shared" si="11"/>
        <v>0</v>
      </c>
      <c r="BZ49" s="54">
        <f t="shared" si="11"/>
        <v>0</v>
      </c>
      <c r="CA49" s="54">
        <f t="shared" si="11"/>
        <v>0</v>
      </c>
      <c r="CB49" s="54">
        <f t="shared" si="11"/>
        <v>0</v>
      </c>
      <c r="CC49" s="54">
        <f t="shared" si="11"/>
        <v>0</v>
      </c>
      <c r="CD49" s="54">
        <f t="shared" si="11"/>
        <v>0</v>
      </c>
      <c r="CE49" s="54">
        <f t="shared" si="11"/>
        <v>0</v>
      </c>
    </row>
    <row r="50" spans="1:83" s="5" customFormat="1" x14ac:dyDescent="0.25"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AC50" t="s">
        <v>408</v>
      </c>
      <c r="AE50" s="17">
        <v>34</v>
      </c>
      <c r="AG50" s="126">
        <f>HLOOKUP(AF$4,[1]Anx!$C$86:$CO$121,AE50)</f>
        <v>0</v>
      </c>
      <c r="AH50" s="61">
        <f t="shared" si="7"/>
        <v>0</v>
      </c>
      <c r="AI50" s="126">
        <f>Troupeau!E104</f>
        <v>0</v>
      </c>
      <c r="AK50" s="54">
        <f t="shared" si="3"/>
        <v>0</v>
      </c>
      <c r="AL50" s="54">
        <f t="shared" si="9"/>
        <v>0</v>
      </c>
      <c r="AM50" s="54">
        <f t="shared" si="9"/>
        <v>0</v>
      </c>
      <c r="AN50" s="54">
        <f t="shared" si="16"/>
        <v>0</v>
      </c>
      <c r="AO50" s="54">
        <f t="shared" si="16"/>
        <v>0</v>
      </c>
      <c r="AP50" s="54">
        <f t="shared" si="16"/>
        <v>0</v>
      </c>
      <c r="AQ50" s="54">
        <f t="shared" si="16"/>
        <v>0</v>
      </c>
      <c r="AR50" s="54">
        <f t="shared" si="16"/>
        <v>0</v>
      </c>
      <c r="AS50" s="54">
        <f t="shared" si="16"/>
        <v>0</v>
      </c>
      <c r="AT50" s="54">
        <f t="shared" si="16"/>
        <v>0</v>
      </c>
      <c r="AU50" s="54">
        <f t="shared" si="16"/>
        <v>0</v>
      </c>
      <c r="AV50" s="54">
        <f t="shared" si="16"/>
        <v>0</v>
      </c>
      <c r="AW50" s="54">
        <f t="shared" si="16"/>
        <v>0</v>
      </c>
      <c r="AX50" s="54">
        <f t="shared" si="16"/>
        <v>0</v>
      </c>
      <c r="AY50" s="54">
        <f t="shared" si="16"/>
        <v>0</v>
      </c>
      <c r="AZ50" s="54">
        <f t="shared" si="16"/>
        <v>0</v>
      </c>
      <c r="BA50" s="54">
        <f t="shared" si="16"/>
        <v>0</v>
      </c>
      <c r="BB50" s="54">
        <f t="shared" si="16"/>
        <v>0</v>
      </c>
      <c r="BC50" s="54">
        <f t="shared" si="16"/>
        <v>0</v>
      </c>
      <c r="BD50" s="54">
        <f t="shared" si="12"/>
        <v>0</v>
      </c>
      <c r="BE50" s="54">
        <f t="shared" si="12"/>
        <v>0</v>
      </c>
      <c r="BF50" s="54">
        <f t="shared" si="12"/>
        <v>0</v>
      </c>
      <c r="BG50" s="54">
        <f t="shared" si="12"/>
        <v>0</v>
      </c>
      <c r="BH50" s="54">
        <f t="shared" si="12"/>
        <v>0</v>
      </c>
      <c r="BI50" s="54">
        <f t="shared" si="12"/>
        <v>0</v>
      </c>
      <c r="BJ50" s="54">
        <f t="shared" si="12"/>
        <v>0</v>
      </c>
      <c r="BK50" s="54">
        <f t="shared" si="12"/>
        <v>0</v>
      </c>
      <c r="BL50" s="54">
        <f t="shared" si="12"/>
        <v>0</v>
      </c>
      <c r="BM50" s="54">
        <f t="shared" si="12"/>
        <v>0</v>
      </c>
      <c r="BN50" s="54">
        <f t="shared" si="12"/>
        <v>0</v>
      </c>
      <c r="BO50" s="54">
        <f t="shared" si="12"/>
        <v>0</v>
      </c>
      <c r="BP50" s="54">
        <f t="shared" si="12"/>
        <v>0</v>
      </c>
      <c r="BQ50" s="54">
        <f t="shared" si="12"/>
        <v>0</v>
      </c>
      <c r="BR50" s="54">
        <f t="shared" si="12"/>
        <v>0</v>
      </c>
      <c r="BS50" s="54">
        <f t="shared" si="12"/>
        <v>0</v>
      </c>
      <c r="BT50" s="54">
        <f t="shared" si="10"/>
        <v>0</v>
      </c>
      <c r="BU50" s="54">
        <f t="shared" si="10"/>
        <v>0</v>
      </c>
      <c r="BV50" s="54">
        <f t="shared" si="10"/>
        <v>0</v>
      </c>
      <c r="BW50" s="54">
        <f t="shared" si="11"/>
        <v>0</v>
      </c>
      <c r="BX50" s="54">
        <f t="shared" si="11"/>
        <v>0</v>
      </c>
      <c r="BY50" s="54">
        <f t="shared" si="11"/>
        <v>0</v>
      </c>
      <c r="BZ50" s="54">
        <f t="shared" si="11"/>
        <v>0</v>
      </c>
      <c r="CA50" s="54">
        <f t="shared" si="11"/>
        <v>0</v>
      </c>
      <c r="CB50" s="54">
        <f t="shared" si="11"/>
        <v>0</v>
      </c>
      <c r="CC50" s="54">
        <f t="shared" si="11"/>
        <v>0</v>
      </c>
      <c r="CD50" s="54">
        <f t="shared" si="11"/>
        <v>0</v>
      </c>
      <c r="CE50" s="54">
        <f t="shared" si="11"/>
        <v>0</v>
      </c>
    </row>
    <row r="51" spans="1:83" x14ac:dyDescent="0.25">
      <c r="A51" s="2" t="s">
        <v>175</v>
      </c>
      <c r="AC51" t="s">
        <v>409</v>
      </c>
      <c r="AE51" s="17">
        <v>35</v>
      </c>
      <c r="AG51" s="126">
        <f>HLOOKUP(AF$4,[1]Anx!$C$86:$CO$121,AE51)</f>
        <v>0</v>
      </c>
      <c r="AH51" s="61">
        <f t="shared" si="7"/>
        <v>0</v>
      </c>
      <c r="AI51" s="126">
        <f>Troupeau!E105</f>
        <v>0</v>
      </c>
      <c r="AK51" s="54">
        <f t="shared" si="3"/>
        <v>0</v>
      </c>
      <c r="AL51" s="54">
        <f t="shared" si="9"/>
        <v>0</v>
      </c>
      <c r="AM51" s="54">
        <f t="shared" si="9"/>
        <v>0</v>
      </c>
      <c r="AN51" s="54">
        <f t="shared" si="16"/>
        <v>0</v>
      </c>
      <c r="AO51" s="54">
        <f t="shared" si="16"/>
        <v>0</v>
      </c>
      <c r="AP51" s="54">
        <f t="shared" si="16"/>
        <v>0</v>
      </c>
      <c r="AQ51" s="54">
        <f t="shared" si="16"/>
        <v>0</v>
      </c>
      <c r="AR51" s="54">
        <f t="shared" si="16"/>
        <v>0</v>
      </c>
      <c r="AS51" s="54">
        <f t="shared" si="16"/>
        <v>0</v>
      </c>
      <c r="AT51" s="54">
        <f t="shared" si="16"/>
        <v>0</v>
      </c>
      <c r="AU51" s="54">
        <f t="shared" si="16"/>
        <v>0</v>
      </c>
      <c r="AV51" s="54">
        <f t="shared" si="16"/>
        <v>0</v>
      </c>
      <c r="AW51" s="54">
        <f t="shared" si="16"/>
        <v>0</v>
      </c>
      <c r="AX51" s="54">
        <f t="shared" si="16"/>
        <v>0</v>
      </c>
      <c r="AY51" s="54">
        <f t="shared" si="16"/>
        <v>0</v>
      </c>
      <c r="AZ51" s="54">
        <f t="shared" si="16"/>
        <v>0</v>
      </c>
      <c r="BA51" s="54">
        <f t="shared" si="16"/>
        <v>0</v>
      </c>
      <c r="BB51" s="54">
        <f t="shared" si="16"/>
        <v>0</v>
      </c>
      <c r="BC51" s="54">
        <f t="shared" si="16"/>
        <v>0</v>
      </c>
      <c r="BD51" s="54">
        <f t="shared" si="12"/>
        <v>0</v>
      </c>
      <c r="BE51" s="54">
        <f t="shared" si="12"/>
        <v>0</v>
      </c>
      <c r="BF51" s="54">
        <f t="shared" si="12"/>
        <v>0</v>
      </c>
      <c r="BG51" s="54">
        <f t="shared" si="12"/>
        <v>0</v>
      </c>
      <c r="BH51" s="54">
        <f t="shared" si="12"/>
        <v>0</v>
      </c>
      <c r="BI51" s="54">
        <f t="shared" si="12"/>
        <v>0</v>
      </c>
      <c r="BJ51" s="54">
        <f t="shared" si="12"/>
        <v>0</v>
      </c>
      <c r="BK51" s="54">
        <f t="shared" si="12"/>
        <v>0</v>
      </c>
      <c r="BL51" s="54">
        <f t="shared" si="12"/>
        <v>0</v>
      </c>
      <c r="BM51" s="54">
        <f t="shared" si="12"/>
        <v>0</v>
      </c>
      <c r="BN51" s="54">
        <f t="shared" si="12"/>
        <v>0</v>
      </c>
      <c r="BO51" s="54">
        <f t="shared" si="12"/>
        <v>0</v>
      </c>
      <c r="BP51" s="54">
        <f t="shared" si="12"/>
        <v>0</v>
      </c>
      <c r="BQ51" s="54">
        <f t="shared" si="12"/>
        <v>0</v>
      </c>
      <c r="BR51" s="54">
        <f t="shared" si="12"/>
        <v>0</v>
      </c>
      <c r="BS51" s="54">
        <f t="shared" si="12"/>
        <v>0</v>
      </c>
      <c r="BT51" s="54">
        <f t="shared" si="10"/>
        <v>0</v>
      </c>
      <c r="BU51" s="54">
        <f t="shared" si="10"/>
        <v>0</v>
      </c>
      <c r="BV51" s="54">
        <f t="shared" si="10"/>
        <v>0</v>
      </c>
      <c r="BW51" s="54">
        <f t="shared" si="11"/>
        <v>0</v>
      </c>
      <c r="BX51" s="54">
        <f t="shared" si="11"/>
        <v>0</v>
      </c>
      <c r="BY51" s="54">
        <f t="shared" si="11"/>
        <v>0</v>
      </c>
      <c r="BZ51" s="54">
        <f t="shared" si="11"/>
        <v>0</v>
      </c>
      <c r="CA51" s="54">
        <f t="shared" si="11"/>
        <v>0</v>
      </c>
      <c r="CB51" s="54">
        <f t="shared" si="11"/>
        <v>0</v>
      </c>
      <c r="CC51" s="54">
        <f t="shared" si="11"/>
        <v>0</v>
      </c>
      <c r="CD51" s="54">
        <f t="shared" si="11"/>
        <v>0</v>
      </c>
      <c r="CE51" s="54">
        <f t="shared" si="11"/>
        <v>0</v>
      </c>
    </row>
    <row r="52" spans="1:83" x14ac:dyDescent="0.25">
      <c r="A52" s="127" t="str">
        <f>A$15</f>
        <v>lot1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52"/>
      <c r="AC52" t="s">
        <v>410</v>
      </c>
      <c r="AE52" s="17">
        <v>36</v>
      </c>
      <c r="AG52" s="126">
        <f>HLOOKUP(AF$4,[1]Anx!$C$86:$CO$121,AE52)</f>
        <v>0</v>
      </c>
      <c r="AH52" s="61">
        <f t="shared" si="7"/>
        <v>0</v>
      </c>
      <c r="AI52" s="126">
        <f>Troupeau!E106</f>
        <v>0</v>
      </c>
      <c r="AK52" s="54">
        <f t="shared" si="3"/>
        <v>0</v>
      </c>
      <c r="AL52" s="54">
        <f t="shared" si="9"/>
        <v>0</v>
      </c>
      <c r="AM52" s="54">
        <f t="shared" si="9"/>
        <v>0</v>
      </c>
      <c r="AN52" s="54">
        <f t="shared" si="16"/>
        <v>0</v>
      </c>
      <c r="AO52" s="54">
        <f t="shared" si="16"/>
        <v>0</v>
      </c>
      <c r="AP52" s="54">
        <f t="shared" si="16"/>
        <v>0</v>
      </c>
      <c r="AQ52" s="54">
        <f t="shared" si="16"/>
        <v>0</v>
      </c>
      <c r="AR52" s="54">
        <f t="shared" si="16"/>
        <v>0</v>
      </c>
      <c r="AS52" s="54">
        <f t="shared" si="16"/>
        <v>0</v>
      </c>
      <c r="AT52" s="54">
        <f t="shared" si="16"/>
        <v>0</v>
      </c>
      <c r="AU52" s="54">
        <f t="shared" si="16"/>
        <v>0</v>
      </c>
      <c r="AV52" s="54">
        <f t="shared" si="16"/>
        <v>0</v>
      </c>
      <c r="AW52" s="54">
        <f t="shared" si="16"/>
        <v>0</v>
      </c>
      <c r="AX52" s="54">
        <f t="shared" si="16"/>
        <v>0</v>
      </c>
      <c r="AY52" s="54">
        <f t="shared" si="16"/>
        <v>0</v>
      </c>
      <c r="AZ52" s="54">
        <f t="shared" si="16"/>
        <v>0</v>
      </c>
      <c r="BA52" s="54">
        <f t="shared" si="16"/>
        <v>0</v>
      </c>
      <c r="BB52" s="54">
        <f t="shared" si="16"/>
        <v>0</v>
      </c>
      <c r="BC52" s="54">
        <f t="shared" si="16"/>
        <v>0</v>
      </c>
      <c r="BD52" s="54">
        <f t="shared" si="12"/>
        <v>0</v>
      </c>
      <c r="BE52" s="54">
        <f t="shared" si="12"/>
        <v>0</v>
      </c>
      <c r="BF52" s="54">
        <f t="shared" si="12"/>
        <v>0</v>
      </c>
      <c r="BG52" s="54">
        <f t="shared" si="12"/>
        <v>0</v>
      </c>
      <c r="BH52" s="54">
        <f t="shared" si="12"/>
        <v>0</v>
      </c>
      <c r="BI52" s="54">
        <f t="shared" si="12"/>
        <v>0</v>
      </c>
      <c r="BJ52" s="54">
        <f t="shared" si="12"/>
        <v>0</v>
      </c>
      <c r="BK52" s="54">
        <f t="shared" si="12"/>
        <v>0</v>
      </c>
      <c r="BL52" s="54">
        <f t="shared" si="12"/>
        <v>0</v>
      </c>
      <c r="BM52" s="54">
        <f t="shared" si="12"/>
        <v>0</v>
      </c>
      <c r="BN52" s="54">
        <f t="shared" si="12"/>
        <v>0</v>
      </c>
      <c r="BO52" s="54">
        <f t="shared" si="12"/>
        <v>0</v>
      </c>
      <c r="BP52" s="54">
        <f t="shared" si="12"/>
        <v>0</v>
      </c>
      <c r="BQ52" s="54">
        <f t="shared" si="12"/>
        <v>0</v>
      </c>
      <c r="BR52" s="54">
        <f t="shared" si="12"/>
        <v>0</v>
      </c>
      <c r="BS52" s="54">
        <f t="shared" si="12"/>
        <v>0</v>
      </c>
      <c r="BT52" s="54">
        <f t="shared" si="10"/>
        <v>0</v>
      </c>
      <c r="BU52" s="54">
        <f t="shared" si="10"/>
        <v>0</v>
      </c>
      <c r="BV52" s="54">
        <f t="shared" si="10"/>
        <v>0</v>
      </c>
      <c r="BW52" s="54">
        <f t="shared" si="11"/>
        <v>0</v>
      </c>
      <c r="BX52" s="54">
        <f t="shared" si="11"/>
        <v>0</v>
      </c>
      <c r="BY52" s="54">
        <f t="shared" si="11"/>
        <v>0</v>
      </c>
      <c r="BZ52" s="54">
        <f t="shared" si="11"/>
        <v>0</v>
      </c>
      <c r="CA52" s="54">
        <f t="shared" si="11"/>
        <v>0</v>
      </c>
      <c r="CB52" s="54">
        <f t="shared" si="11"/>
        <v>0</v>
      </c>
      <c r="CC52" s="54">
        <f t="shared" si="11"/>
        <v>0</v>
      </c>
      <c r="CD52" s="54">
        <f t="shared" si="11"/>
        <v>0</v>
      </c>
      <c r="CE52" s="54">
        <f t="shared" si="11"/>
        <v>0</v>
      </c>
    </row>
    <row r="53" spans="1:83" x14ac:dyDescent="0.25">
      <c r="A53" s="128" t="str">
        <f>A$16</f>
        <v>lot2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52"/>
      <c r="AG53" s="5"/>
    </row>
    <row r="54" spans="1:83" x14ac:dyDescent="0.25">
      <c r="A54" s="128" t="str">
        <f>A$17</f>
        <v>lot3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52"/>
      <c r="AG54" s="5"/>
      <c r="AJ54" t="s">
        <v>13</v>
      </c>
      <c r="AK54" s="84">
        <f>SUM(AK18:AK52)</f>
        <v>0</v>
      </c>
      <c r="AL54" s="84">
        <f t="shared" ref="AL54:CE54" si="17">SUM(AL18:AL52)</f>
        <v>0</v>
      </c>
      <c r="AM54" s="84">
        <f t="shared" si="17"/>
        <v>0</v>
      </c>
      <c r="AN54" s="84">
        <f t="shared" si="17"/>
        <v>0</v>
      </c>
      <c r="AO54" s="84">
        <f t="shared" si="17"/>
        <v>0</v>
      </c>
      <c r="AP54" s="84">
        <f t="shared" si="17"/>
        <v>0</v>
      </c>
      <c r="AQ54" s="84">
        <f t="shared" si="17"/>
        <v>0</v>
      </c>
      <c r="AR54" s="84">
        <f t="shared" si="17"/>
        <v>0</v>
      </c>
      <c r="AS54" s="84">
        <f t="shared" si="17"/>
        <v>0</v>
      </c>
      <c r="AT54" s="84">
        <f t="shared" si="17"/>
        <v>0</v>
      </c>
      <c r="AU54" s="84">
        <f t="shared" si="17"/>
        <v>0</v>
      </c>
      <c r="AV54" s="84">
        <f t="shared" si="17"/>
        <v>0</v>
      </c>
      <c r="AW54" s="84">
        <f t="shared" si="17"/>
        <v>0</v>
      </c>
      <c r="AX54" s="84">
        <f t="shared" si="17"/>
        <v>0</v>
      </c>
      <c r="AY54" s="84">
        <f t="shared" si="17"/>
        <v>0</v>
      </c>
      <c r="AZ54" s="84">
        <f t="shared" si="17"/>
        <v>0</v>
      </c>
      <c r="BA54" s="84">
        <f t="shared" si="17"/>
        <v>0</v>
      </c>
      <c r="BB54" s="84">
        <f t="shared" si="17"/>
        <v>0</v>
      </c>
      <c r="BC54" s="84">
        <f t="shared" si="17"/>
        <v>0</v>
      </c>
      <c r="BD54" s="84">
        <f t="shared" si="17"/>
        <v>0</v>
      </c>
      <c r="BE54" s="84">
        <f t="shared" si="17"/>
        <v>0</v>
      </c>
      <c r="BF54" s="84">
        <f t="shared" si="17"/>
        <v>0</v>
      </c>
      <c r="BG54" s="84">
        <f t="shared" si="17"/>
        <v>0</v>
      </c>
      <c r="BH54" s="84">
        <f t="shared" si="17"/>
        <v>0</v>
      </c>
      <c r="BI54" s="84">
        <f t="shared" si="17"/>
        <v>0</v>
      </c>
      <c r="BJ54" s="84">
        <f t="shared" si="17"/>
        <v>0</v>
      </c>
      <c r="BK54" s="84">
        <f t="shared" si="17"/>
        <v>0</v>
      </c>
      <c r="BL54" s="84">
        <f t="shared" si="17"/>
        <v>0</v>
      </c>
      <c r="BM54" s="84">
        <f t="shared" si="17"/>
        <v>0</v>
      </c>
      <c r="BN54" s="84">
        <f t="shared" si="17"/>
        <v>0</v>
      </c>
      <c r="BO54" s="84">
        <f t="shared" si="17"/>
        <v>0</v>
      </c>
      <c r="BP54" s="84">
        <f t="shared" si="17"/>
        <v>0</v>
      </c>
      <c r="BQ54" s="84">
        <f t="shared" si="17"/>
        <v>0</v>
      </c>
      <c r="BR54" s="84">
        <f t="shared" si="17"/>
        <v>0</v>
      </c>
      <c r="BS54" s="84">
        <f t="shared" si="17"/>
        <v>0</v>
      </c>
      <c r="BT54" s="84">
        <f t="shared" si="17"/>
        <v>0</v>
      </c>
      <c r="BU54" s="84">
        <f t="shared" si="17"/>
        <v>0</v>
      </c>
      <c r="BV54" s="84">
        <f t="shared" si="17"/>
        <v>0</v>
      </c>
      <c r="BW54" s="84">
        <f t="shared" si="17"/>
        <v>0</v>
      </c>
      <c r="BX54" s="84">
        <f t="shared" si="17"/>
        <v>0</v>
      </c>
      <c r="BY54" s="84">
        <f t="shared" si="17"/>
        <v>0</v>
      </c>
      <c r="BZ54" s="84">
        <f t="shared" si="17"/>
        <v>0</v>
      </c>
      <c r="CA54" s="84">
        <f t="shared" si="17"/>
        <v>0</v>
      </c>
      <c r="CB54" s="84">
        <f t="shared" si="17"/>
        <v>0</v>
      </c>
      <c r="CC54" s="84">
        <f t="shared" si="17"/>
        <v>0</v>
      </c>
      <c r="CD54" s="84">
        <f t="shared" si="17"/>
        <v>0</v>
      </c>
      <c r="CE54" s="84">
        <f t="shared" si="17"/>
        <v>0</v>
      </c>
    </row>
    <row r="55" spans="1:83" x14ac:dyDescent="0.25">
      <c r="A55" s="127" t="str">
        <f>A$18</f>
        <v>lot4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52"/>
      <c r="AB55" s="2" t="s">
        <v>180</v>
      </c>
      <c r="AG55" s="5"/>
    </row>
    <row r="56" spans="1:83" x14ac:dyDescent="0.25">
      <c r="A56" s="128" t="str">
        <f>A$19</f>
        <v>lot5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52"/>
      <c r="AB56" t="s">
        <v>184</v>
      </c>
      <c r="AC56" t="s">
        <v>185</v>
      </c>
      <c r="AD56" s="61">
        <f>AA73*AF5/1000</f>
        <v>0</v>
      </c>
      <c r="AE56" s="87"/>
      <c r="AF56" t="s">
        <v>190</v>
      </c>
      <c r="AG56" s="5"/>
    </row>
    <row r="57" spans="1:83" x14ac:dyDescent="0.25">
      <c r="A57" s="127" t="str">
        <f>A$20</f>
        <v>lot6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52"/>
      <c r="AB57" t="s">
        <v>186</v>
      </c>
      <c r="AC57" t="s">
        <v>187</v>
      </c>
      <c r="AD57" s="61">
        <f>AD59*AD60/1000</f>
        <v>0</v>
      </c>
      <c r="AE57" s="87"/>
      <c r="AF57" t="s">
        <v>190</v>
      </c>
      <c r="AG57" s="5"/>
    </row>
    <row r="58" spans="1:83" x14ac:dyDescent="0.25">
      <c r="A58" s="128" t="str">
        <f>A$21</f>
        <v>lot7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52"/>
      <c r="AD58" s="82"/>
      <c r="AE58" s="88"/>
      <c r="AG58" s="5"/>
    </row>
    <row r="59" spans="1:83" x14ac:dyDescent="0.25">
      <c r="A59" s="128" t="str">
        <f>A$22</f>
        <v>lot8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52"/>
      <c r="AB59" t="s">
        <v>188</v>
      </c>
      <c r="AD59" s="60"/>
      <c r="AE59" s="87"/>
      <c r="AG59" s="5"/>
    </row>
    <row r="60" spans="1:83" x14ac:dyDescent="0.25">
      <c r="A60" s="127" t="str">
        <f>A$23</f>
        <v>lot9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52"/>
      <c r="AB60" t="s">
        <v>189</v>
      </c>
      <c r="AD60" s="60"/>
      <c r="AE60" s="87"/>
      <c r="AG60" s="5"/>
    </row>
    <row r="61" spans="1:83" x14ac:dyDescent="0.25">
      <c r="A61" s="128" t="str">
        <f>A$24</f>
        <v>lot10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52"/>
      <c r="AB61" s="15" t="s">
        <v>226</v>
      </c>
      <c r="AD61" s="80"/>
      <c r="AE61" s="88"/>
      <c r="AG61" s="5"/>
    </row>
    <row r="62" spans="1:83" s="5" customFormat="1" x14ac:dyDescent="0.25">
      <c r="A62" s="55" t="s">
        <v>178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52"/>
      <c r="AE62" s="86"/>
    </row>
    <row r="63" spans="1:83" s="5" customFormat="1" hidden="1" x14ac:dyDescent="0.25">
      <c r="A63" s="38" t="str">
        <f>A$15</f>
        <v>lot1</v>
      </c>
      <c r="B63" s="61">
        <f t="shared" ref="B63:Y72" si="18">B39*B52*B$3</f>
        <v>0</v>
      </c>
      <c r="C63" s="61">
        <f t="shared" si="18"/>
        <v>0</v>
      </c>
      <c r="D63" s="61">
        <f t="shared" si="18"/>
        <v>0</v>
      </c>
      <c r="E63" s="61">
        <f t="shared" si="18"/>
        <v>0</v>
      </c>
      <c r="F63" s="61">
        <f t="shared" si="18"/>
        <v>0</v>
      </c>
      <c r="G63" s="61">
        <f t="shared" si="18"/>
        <v>0</v>
      </c>
      <c r="H63" s="61">
        <f t="shared" si="18"/>
        <v>0</v>
      </c>
      <c r="I63" s="61">
        <f t="shared" si="18"/>
        <v>0</v>
      </c>
      <c r="J63" s="61">
        <f t="shared" si="18"/>
        <v>0</v>
      </c>
      <c r="K63" s="61">
        <f t="shared" si="18"/>
        <v>0</v>
      </c>
      <c r="L63" s="61">
        <f t="shared" si="18"/>
        <v>0</v>
      </c>
      <c r="M63" s="61">
        <f t="shared" si="18"/>
        <v>0</v>
      </c>
      <c r="N63" s="61">
        <f t="shared" si="18"/>
        <v>0</v>
      </c>
      <c r="O63" s="61">
        <f t="shared" si="18"/>
        <v>0</v>
      </c>
      <c r="P63" s="61">
        <f t="shared" si="18"/>
        <v>0</v>
      </c>
      <c r="Q63" s="61">
        <f t="shared" si="18"/>
        <v>0</v>
      </c>
      <c r="R63" s="61">
        <f t="shared" si="18"/>
        <v>0</v>
      </c>
      <c r="S63" s="61">
        <f t="shared" si="18"/>
        <v>0</v>
      </c>
      <c r="T63" s="61">
        <f t="shared" si="18"/>
        <v>0</v>
      </c>
      <c r="U63" s="61">
        <f t="shared" si="18"/>
        <v>0</v>
      </c>
      <c r="V63" s="61">
        <f t="shared" si="18"/>
        <v>0</v>
      </c>
      <c r="W63" s="61">
        <f t="shared" si="18"/>
        <v>0</v>
      </c>
      <c r="X63" s="61">
        <f t="shared" si="18"/>
        <v>0</v>
      </c>
      <c r="Y63" s="61">
        <f t="shared" si="18"/>
        <v>0</v>
      </c>
      <c r="Z63" s="52"/>
      <c r="AE63" s="86"/>
    </row>
    <row r="64" spans="1:83" s="5" customFormat="1" hidden="1" x14ac:dyDescent="0.25">
      <c r="A64" s="38" t="str">
        <f>A$16</f>
        <v>lot2</v>
      </c>
      <c r="B64" s="61">
        <f t="shared" si="18"/>
        <v>0</v>
      </c>
      <c r="C64" s="61">
        <f t="shared" si="18"/>
        <v>0</v>
      </c>
      <c r="D64" s="61">
        <f t="shared" si="18"/>
        <v>0</v>
      </c>
      <c r="E64" s="61">
        <f t="shared" si="18"/>
        <v>0</v>
      </c>
      <c r="F64" s="61">
        <f t="shared" si="18"/>
        <v>0</v>
      </c>
      <c r="G64" s="61">
        <f t="shared" si="18"/>
        <v>0</v>
      </c>
      <c r="H64" s="61">
        <f t="shared" si="18"/>
        <v>0</v>
      </c>
      <c r="I64" s="61">
        <f t="shared" si="18"/>
        <v>0</v>
      </c>
      <c r="J64" s="61">
        <f t="shared" si="18"/>
        <v>0</v>
      </c>
      <c r="K64" s="61">
        <f t="shared" si="18"/>
        <v>0</v>
      </c>
      <c r="L64" s="61">
        <f t="shared" si="18"/>
        <v>0</v>
      </c>
      <c r="M64" s="61">
        <f t="shared" si="18"/>
        <v>0</v>
      </c>
      <c r="N64" s="61">
        <f t="shared" si="18"/>
        <v>0</v>
      </c>
      <c r="O64" s="61">
        <f t="shared" si="18"/>
        <v>0</v>
      </c>
      <c r="P64" s="61">
        <f t="shared" si="18"/>
        <v>0</v>
      </c>
      <c r="Q64" s="61">
        <f t="shared" si="18"/>
        <v>0</v>
      </c>
      <c r="R64" s="61">
        <f t="shared" si="18"/>
        <v>0</v>
      </c>
      <c r="S64" s="61">
        <f t="shared" si="18"/>
        <v>0</v>
      </c>
      <c r="T64" s="61">
        <f t="shared" si="18"/>
        <v>0</v>
      </c>
      <c r="U64" s="61">
        <f t="shared" si="18"/>
        <v>0</v>
      </c>
      <c r="V64" s="61">
        <f t="shared" si="18"/>
        <v>0</v>
      </c>
      <c r="W64" s="61">
        <f t="shared" si="18"/>
        <v>0</v>
      </c>
      <c r="X64" s="61">
        <f t="shared" si="18"/>
        <v>0</v>
      </c>
      <c r="Y64" s="61">
        <f t="shared" si="18"/>
        <v>0</v>
      </c>
      <c r="Z64" s="52"/>
      <c r="AE64" s="86"/>
    </row>
    <row r="65" spans="1:33" s="5" customFormat="1" hidden="1" x14ac:dyDescent="0.25">
      <c r="A65" s="38" t="str">
        <f>A$17</f>
        <v>lot3</v>
      </c>
      <c r="B65" s="61">
        <f t="shared" si="18"/>
        <v>0</v>
      </c>
      <c r="C65" s="61">
        <f t="shared" si="18"/>
        <v>0</v>
      </c>
      <c r="D65" s="61">
        <f t="shared" si="18"/>
        <v>0</v>
      </c>
      <c r="E65" s="61">
        <f t="shared" si="18"/>
        <v>0</v>
      </c>
      <c r="F65" s="61">
        <f t="shared" si="18"/>
        <v>0</v>
      </c>
      <c r="G65" s="61">
        <f t="shared" si="18"/>
        <v>0</v>
      </c>
      <c r="H65" s="61">
        <f t="shared" si="18"/>
        <v>0</v>
      </c>
      <c r="I65" s="61">
        <f t="shared" si="18"/>
        <v>0</v>
      </c>
      <c r="J65" s="61">
        <f t="shared" si="18"/>
        <v>0</v>
      </c>
      <c r="K65" s="61">
        <f t="shared" si="18"/>
        <v>0</v>
      </c>
      <c r="L65" s="61">
        <f t="shared" si="18"/>
        <v>0</v>
      </c>
      <c r="M65" s="61">
        <f t="shared" si="18"/>
        <v>0</v>
      </c>
      <c r="N65" s="61">
        <f t="shared" si="18"/>
        <v>0</v>
      </c>
      <c r="O65" s="61">
        <f t="shared" si="18"/>
        <v>0</v>
      </c>
      <c r="P65" s="61">
        <f t="shared" si="18"/>
        <v>0</v>
      </c>
      <c r="Q65" s="61">
        <f t="shared" si="18"/>
        <v>0</v>
      </c>
      <c r="R65" s="61">
        <f t="shared" si="18"/>
        <v>0</v>
      </c>
      <c r="S65" s="61">
        <f t="shared" si="18"/>
        <v>0</v>
      </c>
      <c r="T65" s="61">
        <f t="shared" si="18"/>
        <v>0</v>
      </c>
      <c r="U65" s="61">
        <f t="shared" si="18"/>
        <v>0</v>
      </c>
      <c r="V65" s="61">
        <f t="shared" si="18"/>
        <v>0</v>
      </c>
      <c r="W65" s="61">
        <f t="shared" si="18"/>
        <v>0</v>
      </c>
      <c r="X65" s="61">
        <f t="shared" si="18"/>
        <v>0</v>
      </c>
      <c r="Y65" s="61">
        <f t="shared" si="18"/>
        <v>0</v>
      </c>
      <c r="Z65" s="52"/>
      <c r="AE65" s="86"/>
    </row>
    <row r="66" spans="1:33" s="5" customFormat="1" hidden="1" x14ac:dyDescent="0.25">
      <c r="A66" s="38" t="str">
        <f>A$18</f>
        <v>lot4</v>
      </c>
      <c r="B66" s="61">
        <f t="shared" si="18"/>
        <v>0</v>
      </c>
      <c r="C66" s="61">
        <f t="shared" si="18"/>
        <v>0</v>
      </c>
      <c r="D66" s="61">
        <f t="shared" si="18"/>
        <v>0</v>
      </c>
      <c r="E66" s="61">
        <f t="shared" si="18"/>
        <v>0</v>
      </c>
      <c r="F66" s="61">
        <f t="shared" si="18"/>
        <v>0</v>
      </c>
      <c r="G66" s="61">
        <f t="shared" si="18"/>
        <v>0</v>
      </c>
      <c r="H66" s="61">
        <f t="shared" si="18"/>
        <v>0</v>
      </c>
      <c r="I66" s="61">
        <f t="shared" si="18"/>
        <v>0</v>
      </c>
      <c r="J66" s="61">
        <f t="shared" si="18"/>
        <v>0</v>
      </c>
      <c r="K66" s="61">
        <f t="shared" si="18"/>
        <v>0</v>
      </c>
      <c r="L66" s="61">
        <f t="shared" si="18"/>
        <v>0</v>
      </c>
      <c r="M66" s="61">
        <f t="shared" si="18"/>
        <v>0</v>
      </c>
      <c r="N66" s="61">
        <f t="shared" si="18"/>
        <v>0</v>
      </c>
      <c r="O66" s="61">
        <f t="shared" si="18"/>
        <v>0</v>
      </c>
      <c r="P66" s="61">
        <f t="shared" si="18"/>
        <v>0</v>
      </c>
      <c r="Q66" s="61">
        <f t="shared" si="18"/>
        <v>0</v>
      </c>
      <c r="R66" s="61">
        <f t="shared" si="18"/>
        <v>0</v>
      </c>
      <c r="S66" s="61">
        <f t="shared" si="18"/>
        <v>0</v>
      </c>
      <c r="T66" s="61">
        <f t="shared" si="18"/>
        <v>0</v>
      </c>
      <c r="U66" s="61">
        <f t="shared" si="18"/>
        <v>0</v>
      </c>
      <c r="V66" s="61">
        <f t="shared" si="18"/>
        <v>0</v>
      </c>
      <c r="W66" s="61">
        <f t="shared" si="18"/>
        <v>0</v>
      </c>
      <c r="X66" s="61">
        <f t="shared" si="18"/>
        <v>0</v>
      </c>
      <c r="Y66" s="61">
        <f t="shared" si="18"/>
        <v>0</v>
      </c>
      <c r="Z66" s="52"/>
      <c r="AE66" s="86"/>
    </row>
    <row r="67" spans="1:33" s="5" customFormat="1" hidden="1" x14ac:dyDescent="0.25">
      <c r="A67" s="38" t="str">
        <f>A$19</f>
        <v>lot5</v>
      </c>
      <c r="B67" s="61">
        <f t="shared" si="18"/>
        <v>0</v>
      </c>
      <c r="C67" s="61">
        <f t="shared" si="18"/>
        <v>0</v>
      </c>
      <c r="D67" s="61">
        <f t="shared" si="18"/>
        <v>0</v>
      </c>
      <c r="E67" s="61">
        <f t="shared" si="18"/>
        <v>0</v>
      </c>
      <c r="F67" s="61">
        <f t="shared" si="18"/>
        <v>0</v>
      </c>
      <c r="G67" s="61">
        <f t="shared" si="18"/>
        <v>0</v>
      </c>
      <c r="H67" s="61">
        <f t="shared" si="18"/>
        <v>0</v>
      </c>
      <c r="I67" s="61">
        <f t="shared" si="18"/>
        <v>0</v>
      </c>
      <c r="J67" s="61">
        <f t="shared" si="18"/>
        <v>0</v>
      </c>
      <c r="K67" s="61">
        <f t="shared" si="18"/>
        <v>0</v>
      </c>
      <c r="L67" s="61">
        <f t="shared" si="18"/>
        <v>0</v>
      </c>
      <c r="M67" s="61">
        <f t="shared" si="18"/>
        <v>0</v>
      </c>
      <c r="N67" s="61">
        <f t="shared" si="18"/>
        <v>0</v>
      </c>
      <c r="O67" s="61">
        <f t="shared" si="18"/>
        <v>0</v>
      </c>
      <c r="P67" s="61">
        <f t="shared" si="18"/>
        <v>0</v>
      </c>
      <c r="Q67" s="61">
        <f t="shared" si="18"/>
        <v>0</v>
      </c>
      <c r="R67" s="61">
        <f t="shared" si="18"/>
        <v>0</v>
      </c>
      <c r="S67" s="61">
        <f t="shared" si="18"/>
        <v>0</v>
      </c>
      <c r="T67" s="61">
        <f t="shared" si="18"/>
        <v>0</v>
      </c>
      <c r="U67" s="61">
        <f t="shared" si="18"/>
        <v>0</v>
      </c>
      <c r="V67" s="61">
        <f t="shared" si="18"/>
        <v>0</v>
      </c>
      <c r="W67" s="61">
        <f t="shared" si="18"/>
        <v>0</v>
      </c>
      <c r="X67" s="61">
        <f t="shared" si="18"/>
        <v>0</v>
      </c>
      <c r="Y67" s="61">
        <f t="shared" si="18"/>
        <v>0</v>
      </c>
      <c r="Z67" s="52"/>
      <c r="AE67" s="86"/>
    </row>
    <row r="68" spans="1:33" s="5" customFormat="1" hidden="1" x14ac:dyDescent="0.25">
      <c r="A68" s="38" t="str">
        <f>A$20</f>
        <v>lot6</v>
      </c>
      <c r="B68" s="61">
        <f t="shared" si="18"/>
        <v>0</v>
      </c>
      <c r="C68" s="61">
        <f t="shared" si="18"/>
        <v>0</v>
      </c>
      <c r="D68" s="61">
        <f t="shared" si="18"/>
        <v>0</v>
      </c>
      <c r="E68" s="61">
        <f t="shared" si="18"/>
        <v>0</v>
      </c>
      <c r="F68" s="61">
        <f t="shared" si="18"/>
        <v>0</v>
      </c>
      <c r="G68" s="61">
        <f t="shared" si="18"/>
        <v>0</v>
      </c>
      <c r="H68" s="61">
        <f t="shared" si="18"/>
        <v>0</v>
      </c>
      <c r="I68" s="61">
        <f t="shared" si="18"/>
        <v>0</v>
      </c>
      <c r="J68" s="61">
        <f t="shared" si="18"/>
        <v>0</v>
      </c>
      <c r="K68" s="61">
        <f t="shared" si="18"/>
        <v>0</v>
      </c>
      <c r="L68" s="61">
        <f t="shared" si="18"/>
        <v>0</v>
      </c>
      <c r="M68" s="61">
        <f t="shared" si="18"/>
        <v>0</v>
      </c>
      <c r="N68" s="61">
        <f t="shared" si="18"/>
        <v>0</v>
      </c>
      <c r="O68" s="61">
        <f t="shared" si="18"/>
        <v>0</v>
      </c>
      <c r="P68" s="61">
        <f t="shared" si="18"/>
        <v>0</v>
      </c>
      <c r="Q68" s="61">
        <f t="shared" si="18"/>
        <v>0</v>
      </c>
      <c r="R68" s="61">
        <f t="shared" si="18"/>
        <v>0</v>
      </c>
      <c r="S68" s="61">
        <f t="shared" si="18"/>
        <v>0</v>
      </c>
      <c r="T68" s="61">
        <f t="shared" si="18"/>
        <v>0</v>
      </c>
      <c r="U68" s="61">
        <f t="shared" si="18"/>
        <v>0</v>
      </c>
      <c r="V68" s="61">
        <f t="shared" si="18"/>
        <v>0</v>
      </c>
      <c r="W68" s="61">
        <f t="shared" si="18"/>
        <v>0</v>
      </c>
      <c r="X68" s="61">
        <f t="shared" si="18"/>
        <v>0</v>
      </c>
      <c r="Y68" s="61">
        <f t="shared" si="18"/>
        <v>0</v>
      </c>
      <c r="Z68" s="52"/>
      <c r="AE68" s="86"/>
    </row>
    <row r="69" spans="1:33" s="5" customFormat="1" hidden="1" x14ac:dyDescent="0.25">
      <c r="A69" s="38" t="str">
        <f>A$21</f>
        <v>lot7</v>
      </c>
      <c r="B69" s="61">
        <f t="shared" si="18"/>
        <v>0</v>
      </c>
      <c r="C69" s="61">
        <f t="shared" si="18"/>
        <v>0</v>
      </c>
      <c r="D69" s="61">
        <f t="shared" si="18"/>
        <v>0</v>
      </c>
      <c r="E69" s="61">
        <f t="shared" si="18"/>
        <v>0</v>
      </c>
      <c r="F69" s="61">
        <f t="shared" si="18"/>
        <v>0</v>
      </c>
      <c r="G69" s="61">
        <f t="shared" si="18"/>
        <v>0</v>
      </c>
      <c r="H69" s="61">
        <f t="shared" si="18"/>
        <v>0</v>
      </c>
      <c r="I69" s="61">
        <f t="shared" si="18"/>
        <v>0</v>
      </c>
      <c r="J69" s="61">
        <f t="shared" si="18"/>
        <v>0</v>
      </c>
      <c r="K69" s="61">
        <f t="shared" si="18"/>
        <v>0</v>
      </c>
      <c r="L69" s="61">
        <f t="shared" si="18"/>
        <v>0</v>
      </c>
      <c r="M69" s="61">
        <f t="shared" si="18"/>
        <v>0</v>
      </c>
      <c r="N69" s="61">
        <f t="shared" si="18"/>
        <v>0</v>
      </c>
      <c r="O69" s="61">
        <f t="shared" si="18"/>
        <v>0</v>
      </c>
      <c r="P69" s="61">
        <f t="shared" si="18"/>
        <v>0</v>
      </c>
      <c r="Q69" s="61">
        <f t="shared" si="18"/>
        <v>0</v>
      </c>
      <c r="R69" s="61">
        <f t="shared" si="18"/>
        <v>0</v>
      </c>
      <c r="S69" s="61">
        <f t="shared" si="18"/>
        <v>0</v>
      </c>
      <c r="T69" s="61">
        <f t="shared" si="18"/>
        <v>0</v>
      </c>
      <c r="U69" s="61">
        <f t="shared" si="18"/>
        <v>0</v>
      </c>
      <c r="V69" s="61">
        <f t="shared" si="18"/>
        <v>0</v>
      </c>
      <c r="W69" s="61">
        <f t="shared" si="18"/>
        <v>0</v>
      </c>
      <c r="X69" s="61">
        <f t="shared" si="18"/>
        <v>0</v>
      </c>
      <c r="Y69" s="61">
        <f t="shared" si="18"/>
        <v>0</v>
      </c>
      <c r="Z69" s="52"/>
      <c r="AE69" s="86"/>
    </row>
    <row r="70" spans="1:33" s="5" customFormat="1" hidden="1" x14ac:dyDescent="0.25">
      <c r="A70" s="38" t="str">
        <f>A$22</f>
        <v>lot8</v>
      </c>
      <c r="B70" s="61">
        <f t="shared" si="18"/>
        <v>0</v>
      </c>
      <c r="C70" s="61">
        <f t="shared" si="18"/>
        <v>0</v>
      </c>
      <c r="D70" s="61">
        <f t="shared" si="18"/>
        <v>0</v>
      </c>
      <c r="E70" s="61">
        <f t="shared" si="18"/>
        <v>0</v>
      </c>
      <c r="F70" s="61">
        <f t="shared" si="18"/>
        <v>0</v>
      </c>
      <c r="G70" s="61">
        <f t="shared" si="18"/>
        <v>0</v>
      </c>
      <c r="H70" s="61">
        <f t="shared" si="18"/>
        <v>0</v>
      </c>
      <c r="I70" s="61">
        <f t="shared" si="18"/>
        <v>0</v>
      </c>
      <c r="J70" s="61">
        <f t="shared" si="18"/>
        <v>0</v>
      </c>
      <c r="K70" s="61">
        <f t="shared" si="18"/>
        <v>0</v>
      </c>
      <c r="L70" s="61">
        <f t="shared" si="18"/>
        <v>0</v>
      </c>
      <c r="M70" s="61">
        <f t="shared" si="18"/>
        <v>0</v>
      </c>
      <c r="N70" s="61">
        <f t="shared" si="18"/>
        <v>0</v>
      </c>
      <c r="O70" s="61">
        <f t="shared" si="18"/>
        <v>0</v>
      </c>
      <c r="P70" s="61">
        <f t="shared" si="18"/>
        <v>0</v>
      </c>
      <c r="Q70" s="61">
        <f t="shared" si="18"/>
        <v>0</v>
      </c>
      <c r="R70" s="61">
        <f t="shared" si="18"/>
        <v>0</v>
      </c>
      <c r="S70" s="61">
        <f t="shared" si="18"/>
        <v>0</v>
      </c>
      <c r="T70" s="61">
        <f t="shared" si="18"/>
        <v>0</v>
      </c>
      <c r="U70" s="61">
        <f t="shared" si="18"/>
        <v>0</v>
      </c>
      <c r="V70" s="61">
        <f t="shared" si="18"/>
        <v>0</v>
      </c>
      <c r="W70" s="61">
        <f t="shared" si="18"/>
        <v>0</v>
      </c>
      <c r="X70" s="61">
        <f t="shared" si="18"/>
        <v>0</v>
      </c>
      <c r="Y70" s="61">
        <f t="shared" si="18"/>
        <v>0</v>
      </c>
      <c r="Z70" s="52"/>
      <c r="AE70" s="86"/>
    </row>
    <row r="71" spans="1:33" s="5" customFormat="1" hidden="1" x14ac:dyDescent="0.25">
      <c r="A71" s="38" t="str">
        <f>A$23</f>
        <v>lot9</v>
      </c>
      <c r="B71" s="61">
        <f t="shared" si="18"/>
        <v>0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8"/>
        <v>0</v>
      </c>
      <c r="G71" s="61">
        <f t="shared" si="18"/>
        <v>0</v>
      </c>
      <c r="H71" s="61">
        <f t="shared" si="18"/>
        <v>0</v>
      </c>
      <c r="I71" s="61">
        <f t="shared" si="18"/>
        <v>0</v>
      </c>
      <c r="J71" s="61">
        <f t="shared" si="18"/>
        <v>0</v>
      </c>
      <c r="K71" s="61">
        <f t="shared" si="18"/>
        <v>0</v>
      </c>
      <c r="L71" s="61">
        <f t="shared" si="18"/>
        <v>0</v>
      </c>
      <c r="M71" s="61">
        <f t="shared" si="18"/>
        <v>0</v>
      </c>
      <c r="N71" s="61">
        <f t="shared" si="18"/>
        <v>0</v>
      </c>
      <c r="O71" s="61">
        <f t="shared" si="18"/>
        <v>0</v>
      </c>
      <c r="P71" s="61">
        <f t="shared" si="18"/>
        <v>0</v>
      </c>
      <c r="Q71" s="61">
        <f t="shared" si="18"/>
        <v>0</v>
      </c>
      <c r="R71" s="61">
        <f t="shared" si="18"/>
        <v>0</v>
      </c>
      <c r="S71" s="61">
        <f t="shared" si="18"/>
        <v>0</v>
      </c>
      <c r="T71" s="61">
        <f t="shared" si="18"/>
        <v>0</v>
      </c>
      <c r="U71" s="61">
        <f t="shared" si="18"/>
        <v>0</v>
      </c>
      <c r="V71" s="61">
        <f t="shared" si="18"/>
        <v>0</v>
      </c>
      <c r="W71" s="61">
        <f t="shared" si="18"/>
        <v>0</v>
      </c>
      <c r="X71" s="61">
        <f t="shared" si="18"/>
        <v>0</v>
      </c>
      <c r="Y71" s="61">
        <f t="shared" si="18"/>
        <v>0</v>
      </c>
      <c r="Z71" s="52"/>
      <c r="AE71" s="86"/>
    </row>
    <row r="72" spans="1:33" s="5" customFormat="1" hidden="1" x14ac:dyDescent="0.25">
      <c r="A72" s="38" t="str">
        <f>A$24</f>
        <v>lot10</v>
      </c>
      <c r="B72" s="61">
        <f t="shared" si="18"/>
        <v>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8"/>
        <v>0</v>
      </c>
      <c r="G72" s="61">
        <f t="shared" si="18"/>
        <v>0</v>
      </c>
      <c r="H72" s="61">
        <f t="shared" si="18"/>
        <v>0</v>
      </c>
      <c r="I72" s="61">
        <f t="shared" si="18"/>
        <v>0</v>
      </c>
      <c r="J72" s="61">
        <f t="shared" si="18"/>
        <v>0</v>
      </c>
      <c r="K72" s="61">
        <f t="shared" si="18"/>
        <v>0</v>
      </c>
      <c r="L72" s="61">
        <f t="shared" si="18"/>
        <v>0</v>
      </c>
      <c r="M72" s="61">
        <f t="shared" si="18"/>
        <v>0</v>
      </c>
      <c r="N72" s="61">
        <f t="shared" si="18"/>
        <v>0</v>
      </c>
      <c r="O72" s="61">
        <f t="shared" si="18"/>
        <v>0</v>
      </c>
      <c r="P72" s="61">
        <f t="shared" si="18"/>
        <v>0</v>
      </c>
      <c r="Q72" s="61">
        <f t="shared" si="18"/>
        <v>0</v>
      </c>
      <c r="R72" s="61">
        <f t="shared" si="18"/>
        <v>0</v>
      </c>
      <c r="S72" s="61">
        <f t="shared" si="18"/>
        <v>0</v>
      </c>
      <c r="T72" s="61">
        <f t="shared" si="18"/>
        <v>0</v>
      </c>
      <c r="U72" s="61">
        <f t="shared" si="18"/>
        <v>0</v>
      </c>
      <c r="V72" s="61">
        <f t="shared" si="18"/>
        <v>0</v>
      </c>
      <c r="W72" s="61">
        <f t="shared" si="18"/>
        <v>0</v>
      </c>
      <c r="X72" s="61">
        <f t="shared" si="18"/>
        <v>0</v>
      </c>
      <c r="Y72" s="61">
        <f t="shared" si="18"/>
        <v>0</v>
      </c>
      <c r="Z72" s="52"/>
      <c r="AE72" s="86"/>
    </row>
    <row r="73" spans="1:33" s="5" customFormat="1" x14ac:dyDescent="0.25">
      <c r="A73" s="52" t="s">
        <v>179</v>
      </c>
      <c r="B73" s="64">
        <f>ROUND(SUM(B63:B72),0)</f>
        <v>0</v>
      </c>
      <c r="C73" s="64">
        <f t="shared" ref="C73:Y73" si="19">ROUND(SUM(C63:C72),0)</f>
        <v>0</v>
      </c>
      <c r="D73" s="64">
        <f t="shared" si="19"/>
        <v>0</v>
      </c>
      <c r="E73" s="64">
        <f t="shared" si="19"/>
        <v>0</v>
      </c>
      <c r="F73" s="64">
        <f t="shared" si="19"/>
        <v>0</v>
      </c>
      <c r="G73" s="64">
        <f t="shared" si="19"/>
        <v>0</v>
      </c>
      <c r="H73" s="64">
        <f t="shared" si="19"/>
        <v>0</v>
      </c>
      <c r="I73" s="64">
        <f t="shared" si="19"/>
        <v>0</v>
      </c>
      <c r="J73" s="64">
        <f t="shared" si="19"/>
        <v>0</v>
      </c>
      <c r="K73" s="64">
        <f t="shared" si="19"/>
        <v>0</v>
      </c>
      <c r="L73" s="64">
        <f t="shared" si="19"/>
        <v>0</v>
      </c>
      <c r="M73" s="64">
        <f t="shared" si="19"/>
        <v>0</v>
      </c>
      <c r="N73" s="64">
        <f t="shared" si="19"/>
        <v>0</v>
      </c>
      <c r="O73" s="64">
        <f t="shared" si="19"/>
        <v>0</v>
      </c>
      <c r="P73" s="64">
        <f t="shared" si="19"/>
        <v>0</v>
      </c>
      <c r="Q73" s="64">
        <f t="shared" si="19"/>
        <v>0</v>
      </c>
      <c r="R73" s="64">
        <f t="shared" si="19"/>
        <v>0</v>
      </c>
      <c r="S73" s="64">
        <f t="shared" si="19"/>
        <v>0</v>
      </c>
      <c r="T73" s="64">
        <f t="shared" si="19"/>
        <v>0</v>
      </c>
      <c r="U73" s="64">
        <f t="shared" si="19"/>
        <v>0</v>
      </c>
      <c r="V73" s="64">
        <f t="shared" si="19"/>
        <v>0</v>
      </c>
      <c r="W73" s="64">
        <f t="shared" si="19"/>
        <v>0</v>
      </c>
      <c r="X73" s="64">
        <f t="shared" si="19"/>
        <v>0</v>
      </c>
      <c r="Y73" s="64">
        <f t="shared" si="19"/>
        <v>0</v>
      </c>
      <c r="Z73" s="52"/>
      <c r="AA73" s="56">
        <f>ROUND(SUM(B73:Y73),0)</f>
        <v>0</v>
      </c>
      <c r="AB73" s="52" t="s">
        <v>178</v>
      </c>
      <c r="AE73" s="86"/>
    </row>
    <row r="74" spans="1:33" s="5" customFormat="1" x14ac:dyDescent="0.25">
      <c r="A74" s="52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52"/>
      <c r="AA74" s="55"/>
      <c r="AB74" s="52"/>
      <c r="AE74" s="86"/>
    </row>
    <row r="75" spans="1:33" x14ac:dyDescent="0.25">
      <c r="A75" s="2" t="s">
        <v>209</v>
      </c>
      <c r="AG75" s="5"/>
    </row>
    <row r="76" spans="1:33" x14ac:dyDescent="0.25">
      <c r="A76" s="127" t="str">
        <f>A$15</f>
        <v>lot1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/>
      <c r="AG76" s="5"/>
    </row>
    <row r="77" spans="1:33" x14ac:dyDescent="0.25">
      <c r="A77" s="128" t="str">
        <f>A$16</f>
        <v>lot2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AG77" s="5"/>
    </row>
    <row r="78" spans="1:33" x14ac:dyDescent="0.25">
      <c r="A78" s="128" t="str">
        <f>A$17</f>
        <v>lot3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AG78" s="5"/>
    </row>
    <row r="79" spans="1:33" x14ac:dyDescent="0.25">
      <c r="A79" s="127" t="str">
        <f>A$18</f>
        <v>lot4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AG79" s="5"/>
    </row>
    <row r="80" spans="1:33" x14ac:dyDescent="0.25">
      <c r="A80" s="128" t="str">
        <f>A$19</f>
        <v>lot5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AG80" s="5"/>
    </row>
    <row r="81" spans="1:33" x14ac:dyDescent="0.25">
      <c r="A81" s="127" t="str">
        <f>A$20</f>
        <v>lot6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AG81" s="5"/>
    </row>
    <row r="82" spans="1:33" x14ac:dyDescent="0.25">
      <c r="A82" s="128" t="str">
        <f>A$21</f>
        <v>lot7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</row>
    <row r="83" spans="1:33" x14ac:dyDescent="0.25">
      <c r="A83" s="128" t="str">
        <f>A$22</f>
        <v>lot8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</row>
    <row r="84" spans="1:33" x14ac:dyDescent="0.25">
      <c r="A84" s="127" t="str">
        <f>A$23</f>
        <v>lot9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1:33" x14ac:dyDescent="0.25">
      <c r="A85" s="128" t="str">
        <f>A$24</f>
        <v>lot10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1:33" s="5" customFormat="1" x14ac:dyDescent="0.25">
      <c r="A86" s="52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52"/>
      <c r="AA86" s="55"/>
      <c r="AB86" s="52"/>
      <c r="AE86" s="86"/>
      <c r="AG86"/>
    </row>
    <row r="87" spans="1:33" x14ac:dyDescent="0.25">
      <c r="A87" s="2" t="s">
        <v>192</v>
      </c>
    </row>
    <row r="88" spans="1:33" x14ac:dyDescent="0.25">
      <c r="A88" s="127" t="str">
        <f>A$15</f>
        <v>lot1</v>
      </c>
      <c r="B88" s="60">
        <v>1</v>
      </c>
      <c r="C88" s="60">
        <v>1</v>
      </c>
      <c r="D88" s="60">
        <v>1</v>
      </c>
      <c r="E88" s="60">
        <v>1</v>
      </c>
      <c r="F88" s="60">
        <v>1</v>
      </c>
      <c r="G88" s="60">
        <v>1</v>
      </c>
      <c r="H88" s="60">
        <v>1</v>
      </c>
      <c r="I88" s="60">
        <v>1</v>
      </c>
      <c r="J88" s="60">
        <v>1</v>
      </c>
      <c r="K88" s="60">
        <v>1</v>
      </c>
      <c r="L88" s="60">
        <v>1</v>
      </c>
      <c r="M88" s="60">
        <v>1</v>
      </c>
      <c r="N88" s="60">
        <v>1</v>
      </c>
      <c r="O88" s="60">
        <v>1</v>
      </c>
      <c r="P88" s="60">
        <v>1</v>
      </c>
      <c r="Q88" s="60">
        <v>1</v>
      </c>
      <c r="R88" s="60">
        <v>1</v>
      </c>
      <c r="S88" s="60">
        <v>1</v>
      </c>
      <c r="T88" s="60">
        <v>1</v>
      </c>
      <c r="U88" s="60">
        <v>1</v>
      </c>
      <c r="V88" s="60">
        <v>1</v>
      </c>
      <c r="W88" s="60">
        <v>1</v>
      </c>
      <c r="X88" s="60">
        <v>1</v>
      </c>
      <c r="Y88" s="60">
        <v>1</v>
      </c>
    </row>
    <row r="89" spans="1:33" x14ac:dyDescent="0.25">
      <c r="A89" s="128" t="str">
        <f>A$16</f>
        <v>lot2</v>
      </c>
      <c r="B89" s="60">
        <v>1</v>
      </c>
      <c r="C89" s="60">
        <v>1</v>
      </c>
      <c r="D89" s="60">
        <v>1</v>
      </c>
      <c r="E89" s="60">
        <v>1</v>
      </c>
      <c r="F89" s="60">
        <v>1</v>
      </c>
      <c r="G89" s="60">
        <v>1</v>
      </c>
      <c r="H89" s="60">
        <v>1</v>
      </c>
      <c r="I89" s="60">
        <v>1</v>
      </c>
      <c r="J89" s="60">
        <v>1</v>
      </c>
      <c r="K89" s="60">
        <v>1</v>
      </c>
      <c r="L89" s="60">
        <v>1</v>
      </c>
      <c r="M89" s="60">
        <v>1</v>
      </c>
      <c r="N89" s="60">
        <v>1</v>
      </c>
      <c r="O89" s="60">
        <v>1</v>
      </c>
      <c r="P89" s="60">
        <v>1</v>
      </c>
      <c r="Q89" s="60">
        <v>1</v>
      </c>
      <c r="R89" s="60">
        <v>1</v>
      </c>
      <c r="S89" s="60">
        <v>1</v>
      </c>
      <c r="T89" s="60">
        <v>1</v>
      </c>
      <c r="U89" s="60">
        <v>1</v>
      </c>
      <c r="V89" s="60">
        <v>1</v>
      </c>
      <c r="W89" s="60">
        <v>1</v>
      </c>
      <c r="X89" s="60">
        <v>1</v>
      </c>
      <c r="Y89" s="60">
        <v>1</v>
      </c>
    </row>
    <row r="90" spans="1:33" x14ac:dyDescent="0.25">
      <c r="A90" s="128" t="str">
        <f>A$17</f>
        <v>lot3</v>
      </c>
      <c r="B90" s="60">
        <v>1</v>
      </c>
      <c r="C90" s="60">
        <v>1</v>
      </c>
      <c r="D90" s="60">
        <v>1</v>
      </c>
      <c r="E90" s="60">
        <v>1</v>
      </c>
      <c r="F90" s="60">
        <v>1</v>
      </c>
      <c r="G90" s="60">
        <v>1</v>
      </c>
      <c r="H90" s="60">
        <v>1</v>
      </c>
      <c r="I90" s="60">
        <v>1</v>
      </c>
      <c r="J90" s="60">
        <v>1</v>
      </c>
      <c r="K90" s="60">
        <v>1</v>
      </c>
      <c r="L90" s="60">
        <v>1</v>
      </c>
      <c r="M90" s="60">
        <v>1</v>
      </c>
      <c r="N90" s="60">
        <v>1</v>
      </c>
      <c r="O90" s="60">
        <v>1</v>
      </c>
      <c r="P90" s="60">
        <v>1</v>
      </c>
      <c r="Q90" s="60">
        <v>1</v>
      </c>
      <c r="R90" s="60">
        <v>1</v>
      </c>
      <c r="S90" s="60">
        <v>1</v>
      </c>
      <c r="T90" s="60">
        <v>1</v>
      </c>
      <c r="U90" s="60">
        <v>1</v>
      </c>
      <c r="V90" s="60">
        <v>1</v>
      </c>
      <c r="W90" s="60">
        <v>1</v>
      </c>
      <c r="X90" s="60">
        <v>1</v>
      </c>
      <c r="Y90" s="60">
        <v>1</v>
      </c>
    </row>
    <row r="91" spans="1:33" x14ac:dyDescent="0.25">
      <c r="A91" s="127" t="str">
        <f>A$18</f>
        <v>lot4</v>
      </c>
      <c r="B91" s="60">
        <v>1</v>
      </c>
      <c r="C91" s="60">
        <v>1</v>
      </c>
      <c r="D91" s="60">
        <v>1</v>
      </c>
      <c r="E91" s="60">
        <v>1</v>
      </c>
      <c r="F91" s="60">
        <v>1</v>
      </c>
      <c r="G91" s="60">
        <v>1</v>
      </c>
      <c r="H91" s="60">
        <v>1</v>
      </c>
      <c r="I91" s="60">
        <v>1</v>
      </c>
      <c r="J91" s="60">
        <v>1</v>
      </c>
      <c r="K91" s="60">
        <v>1</v>
      </c>
      <c r="L91" s="60">
        <v>1</v>
      </c>
      <c r="M91" s="60">
        <v>1</v>
      </c>
      <c r="N91" s="60">
        <v>1</v>
      </c>
      <c r="O91" s="60">
        <v>1</v>
      </c>
      <c r="P91" s="60">
        <v>1</v>
      </c>
      <c r="Q91" s="60">
        <v>1</v>
      </c>
      <c r="R91" s="60">
        <v>1</v>
      </c>
      <c r="S91" s="60">
        <v>1</v>
      </c>
      <c r="T91" s="60">
        <v>1</v>
      </c>
      <c r="U91" s="60">
        <v>1</v>
      </c>
      <c r="V91" s="60">
        <v>1</v>
      </c>
      <c r="W91" s="60">
        <v>1</v>
      </c>
      <c r="X91" s="60">
        <v>1</v>
      </c>
      <c r="Y91" s="60">
        <v>1</v>
      </c>
    </row>
    <row r="92" spans="1:33" x14ac:dyDescent="0.25">
      <c r="A92" s="128" t="str">
        <f>A$19</f>
        <v>lot5</v>
      </c>
      <c r="B92" s="60">
        <v>1</v>
      </c>
      <c r="C92" s="60">
        <v>1</v>
      </c>
      <c r="D92" s="60">
        <v>1</v>
      </c>
      <c r="E92" s="60">
        <v>1</v>
      </c>
      <c r="F92" s="60">
        <v>1</v>
      </c>
      <c r="G92" s="60">
        <v>1</v>
      </c>
      <c r="H92" s="60">
        <v>1</v>
      </c>
      <c r="I92" s="60">
        <v>1</v>
      </c>
      <c r="J92" s="60">
        <v>1</v>
      </c>
      <c r="K92" s="60">
        <v>1</v>
      </c>
      <c r="L92" s="60">
        <v>1</v>
      </c>
      <c r="M92" s="60">
        <v>1</v>
      </c>
      <c r="N92" s="60">
        <v>1</v>
      </c>
      <c r="O92" s="60">
        <v>1</v>
      </c>
      <c r="P92" s="60">
        <v>1</v>
      </c>
      <c r="Q92" s="60">
        <v>1</v>
      </c>
      <c r="R92" s="60">
        <v>1</v>
      </c>
      <c r="S92" s="60">
        <v>1</v>
      </c>
      <c r="T92" s="60">
        <v>1</v>
      </c>
      <c r="U92" s="60">
        <v>1</v>
      </c>
      <c r="V92" s="60">
        <v>1</v>
      </c>
      <c r="W92" s="60">
        <v>1</v>
      </c>
      <c r="X92" s="60">
        <v>1</v>
      </c>
      <c r="Y92" s="60">
        <v>1</v>
      </c>
    </row>
    <row r="93" spans="1:33" x14ac:dyDescent="0.25">
      <c r="A93" s="127" t="str">
        <f>A$20</f>
        <v>lot6</v>
      </c>
      <c r="B93" s="60">
        <v>1</v>
      </c>
      <c r="C93" s="60">
        <v>1</v>
      </c>
      <c r="D93" s="60">
        <v>1</v>
      </c>
      <c r="E93" s="60">
        <v>1</v>
      </c>
      <c r="F93" s="60">
        <v>1</v>
      </c>
      <c r="G93" s="60">
        <v>1</v>
      </c>
      <c r="H93" s="60">
        <v>1</v>
      </c>
      <c r="I93" s="60">
        <v>1</v>
      </c>
      <c r="J93" s="60">
        <v>1</v>
      </c>
      <c r="K93" s="60">
        <v>1</v>
      </c>
      <c r="L93" s="60">
        <v>1</v>
      </c>
      <c r="M93" s="60">
        <v>1</v>
      </c>
      <c r="N93" s="60">
        <v>1</v>
      </c>
      <c r="O93" s="60">
        <v>1</v>
      </c>
      <c r="P93" s="60">
        <v>1</v>
      </c>
      <c r="Q93" s="60">
        <v>1</v>
      </c>
      <c r="R93" s="60">
        <v>1</v>
      </c>
      <c r="S93" s="60">
        <v>1</v>
      </c>
      <c r="T93" s="60">
        <v>1</v>
      </c>
      <c r="U93" s="60">
        <v>1</v>
      </c>
      <c r="V93" s="60">
        <v>1</v>
      </c>
      <c r="W93" s="60">
        <v>1</v>
      </c>
      <c r="X93" s="60">
        <v>1</v>
      </c>
      <c r="Y93" s="60">
        <v>1</v>
      </c>
    </row>
    <row r="94" spans="1:33" x14ac:dyDescent="0.25">
      <c r="A94" s="128" t="str">
        <f>A$21</f>
        <v>lot7</v>
      </c>
      <c r="B94" s="60">
        <v>1</v>
      </c>
      <c r="C94" s="60">
        <v>1</v>
      </c>
      <c r="D94" s="60">
        <v>1</v>
      </c>
      <c r="E94" s="60">
        <v>1</v>
      </c>
      <c r="F94" s="60">
        <v>1</v>
      </c>
      <c r="G94" s="60">
        <v>1</v>
      </c>
      <c r="H94" s="60">
        <v>1</v>
      </c>
      <c r="I94" s="60">
        <v>1</v>
      </c>
      <c r="J94" s="60">
        <v>1</v>
      </c>
      <c r="K94" s="60">
        <v>1</v>
      </c>
      <c r="L94" s="60">
        <v>1</v>
      </c>
      <c r="M94" s="60">
        <v>1</v>
      </c>
      <c r="N94" s="60">
        <v>1</v>
      </c>
      <c r="O94" s="60">
        <v>1</v>
      </c>
      <c r="P94" s="60">
        <v>1</v>
      </c>
      <c r="Q94" s="60">
        <v>1</v>
      </c>
      <c r="R94" s="60">
        <v>1</v>
      </c>
      <c r="S94" s="60">
        <v>1</v>
      </c>
      <c r="T94" s="60">
        <v>1</v>
      </c>
      <c r="U94" s="60">
        <v>1</v>
      </c>
      <c r="V94" s="60">
        <v>1</v>
      </c>
      <c r="W94" s="60">
        <v>1</v>
      </c>
      <c r="X94" s="60">
        <v>1</v>
      </c>
      <c r="Y94" s="60">
        <v>1</v>
      </c>
    </row>
    <row r="95" spans="1:33" x14ac:dyDescent="0.25">
      <c r="A95" s="128" t="str">
        <f>A$22</f>
        <v>lot8</v>
      </c>
      <c r="B95" s="60">
        <v>1</v>
      </c>
      <c r="C95" s="60">
        <v>1</v>
      </c>
      <c r="D95" s="60">
        <v>1</v>
      </c>
      <c r="E95" s="60">
        <v>1</v>
      </c>
      <c r="F95" s="60">
        <v>1</v>
      </c>
      <c r="G95" s="60">
        <v>1</v>
      </c>
      <c r="H95" s="60">
        <v>1</v>
      </c>
      <c r="I95" s="60">
        <v>1</v>
      </c>
      <c r="J95" s="60">
        <v>1</v>
      </c>
      <c r="K95" s="60">
        <v>1</v>
      </c>
      <c r="L95" s="60">
        <v>1</v>
      </c>
      <c r="M95" s="60">
        <v>1</v>
      </c>
      <c r="N95" s="60">
        <v>1</v>
      </c>
      <c r="O95" s="60">
        <v>1</v>
      </c>
      <c r="P95" s="60">
        <v>1</v>
      </c>
      <c r="Q95" s="60">
        <v>1</v>
      </c>
      <c r="R95" s="60">
        <v>1</v>
      </c>
      <c r="S95" s="60">
        <v>1</v>
      </c>
      <c r="T95" s="60">
        <v>1</v>
      </c>
      <c r="U95" s="60">
        <v>1</v>
      </c>
      <c r="V95" s="60">
        <v>1</v>
      </c>
      <c r="W95" s="60">
        <v>1</v>
      </c>
      <c r="X95" s="60">
        <v>1</v>
      </c>
      <c r="Y95" s="60">
        <v>1</v>
      </c>
    </row>
    <row r="96" spans="1:33" x14ac:dyDescent="0.25">
      <c r="A96" s="127" t="str">
        <f>A$23</f>
        <v>lot9</v>
      </c>
      <c r="B96" s="60">
        <v>1</v>
      </c>
      <c r="C96" s="60">
        <v>1</v>
      </c>
      <c r="D96" s="60">
        <v>1</v>
      </c>
      <c r="E96" s="60">
        <v>1</v>
      </c>
      <c r="F96" s="60">
        <v>1</v>
      </c>
      <c r="G96" s="60">
        <v>1</v>
      </c>
      <c r="H96" s="60">
        <v>1</v>
      </c>
      <c r="I96" s="60">
        <v>1</v>
      </c>
      <c r="J96" s="60">
        <v>1</v>
      </c>
      <c r="K96" s="60">
        <v>1</v>
      </c>
      <c r="L96" s="60">
        <v>1</v>
      </c>
      <c r="M96" s="60">
        <v>1</v>
      </c>
      <c r="N96" s="60">
        <v>1</v>
      </c>
      <c r="O96" s="60">
        <v>1</v>
      </c>
      <c r="P96" s="60">
        <v>1</v>
      </c>
      <c r="Q96" s="60">
        <v>1</v>
      </c>
      <c r="R96" s="60">
        <v>1</v>
      </c>
      <c r="S96" s="60">
        <v>1</v>
      </c>
      <c r="T96" s="60">
        <v>1</v>
      </c>
      <c r="U96" s="60">
        <v>1</v>
      </c>
      <c r="V96" s="60">
        <v>1</v>
      </c>
      <c r="W96" s="60">
        <v>1</v>
      </c>
      <c r="X96" s="60">
        <v>1</v>
      </c>
      <c r="Y96" s="60">
        <v>1</v>
      </c>
    </row>
    <row r="97" spans="1:33" x14ac:dyDescent="0.25">
      <c r="A97" s="128" t="str">
        <f>A$24</f>
        <v>lot10</v>
      </c>
      <c r="B97" s="60">
        <v>1</v>
      </c>
      <c r="C97" s="60">
        <v>1</v>
      </c>
      <c r="D97" s="60">
        <v>1</v>
      </c>
      <c r="E97" s="60">
        <v>1</v>
      </c>
      <c r="F97" s="60">
        <v>1</v>
      </c>
      <c r="G97" s="60">
        <v>1</v>
      </c>
      <c r="H97" s="60">
        <v>1</v>
      </c>
      <c r="I97" s="60">
        <v>1</v>
      </c>
      <c r="J97" s="60">
        <v>1</v>
      </c>
      <c r="K97" s="60">
        <v>1</v>
      </c>
      <c r="L97" s="60">
        <v>1</v>
      </c>
      <c r="M97" s="60">
        <v>1</v>
      </c>
      <c r="N97" s="60">
        <v>1</v>
      </c>
      <c r="O97" s="60">
        <v>1</v>
      </c>
      <c r="P97" s="60">
        <v>1</v>
      </c>
      <c r="Q97" s="60">
        <v>1</v>
      </c>
      <c r="R97" s="60">
        <v>1</v>
      </c>
      <c r="S97" s="60">
        <v>1</v>
      </c>
      <c r="T97" s="60">
        <v>1</v>
      </c>
      <c r="U97" s="60">
        <v>1</v>
      </c>
      <c r="V97" s="60">
        <v>1</v>
      </c>
      <c r="W97" s="60">
        <v>1</v>
      </c>
      <c r="X97" s="60">
        <v>1</v>
      </c>
      <c r="Y97" s="60">
        <v>1</v>
      </c>
    </row>
    <row r="98" spans="1:33" s="5" customFormat="1" x14ac:dyDescent="0.25">
      <c r="A98" s="23" t="s">
        <v>204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AE98" s="86"/>
      <c r="AG98"/>
    </row>
    <row r="99" spans="1:33" x14ac:dyDescent="0.25">
      <c r="A99" s="127" t="str">
        <f>A$15</f>
        <v>lot1</v>
      </c>
      <c r="B99" s="61">
        <f>VLOOKUP(B88,$AD$6:$AF$10,3)</f>
        <v>0</v>
      </c>
      <c r="C99" s="61">
        <f t="shared" ref="C99:Y99" si="20">VLOOKUP(C88,$AD$6:$AF$10,3)</f>
        <v>0</v>
      </c>
      <c r="D99" s="61">
        <f t="shared" si="20"/>
        <v>0</v>
      </c>
      <c r="E99" s="61">
        <f t="shared" si="20"/>
        <v>0</v>
      </c>
      <c r="F99" s="61">
        <f t="shared" si="20"/>
        <v>0</v>
      </c>
      <c r="G99" s="61">
        <f t="shared" si="20"/>
        <v>0</v>
      </c>
      <c r="H99" s="61">
        <f t="shared" si="20"/>
        <v>0</v>
      </c>
      <c r="I99" s="61">
        <f t="shared" si="20"/>
        <v>0</v>
      </c>
      <c r="J99" s="61">
        <f t="shared" si="20"/>
        <v>0</v>
      </c>
      <c r="K99" s="61">
        <f t="shared" si="20"/>
        <v>0</v>
      </c>
      <c r="L99" s="61">
        <f t="shared" si="20"/>
        <v>0</v>
      </c>
      <c r="M99" s="61">
        <f t="shared" si="20"/>
        <v>0</v>
      </c>
      <c r="N99" s="61">
        <f t="shared" si="20"/>
        <v>0</v>
      </c>
      <c r="O99" s="61">
        <f t="shared" si="20"/>
        <v>0</v>
      </c>
      <c r="P99" s="61">
        <f t="shared" si="20"/>
        <v>0</v>
      </c>
      <c r="Q99" s="61">
        <f t="shared" si="20"/>
        <v>0</v>
      </c>
      <c r="R99" s="61">
        <f t="shared" si="20"/>
        <v>0</v>
      </c>
      <c r="S99" s="61">
        <f t="shared" si="20"/>
        <v>0</v>
      </c>
      <c r="T99" s="61">
        <f t="shared" si="20"/>
        <v>0</v>
      </c>
      <c r="U99" s="61">
        <f t="shared" si="20"/>
        <v>0</v>
      </c>
      <c r="V99" s="61">
        <f t="shared" si="20"/>
        <v>0</v>
      </c>
      <c r="W99" s="61">
        <f t="shared" si="20"/>
        <v>0</v>
      </c>
      <c r="X99" s="61">
        <f t="shared" si="20"/>
        <v>0</v>
      </c>
      <c r="Y99" s="61">
        <f t="shared" si="20"/>
        <v>0</v>
      </c>
    </row>
    <row r="100" spans="1:33" x14ac:dyDescent="0.25">
      <c r="A100" s="128" t="str">
        <f>A$16</f>
        <v>lot2</v>
      </c>
      <c r="B100" s="61">
        <f t="shared" ref="B100:Y100" si="21">VLOOKUP(B89,$AD$6:$AF$10,3)</f>
        <v>0</v>
      </c>
      <c r="C100" s="61">
        <f t="shared" si="21"/>
        <v>0</v>
      </c>
      <c r="D100" s="61">
        <f t="shared" si="21"/>
        <v>0</v>
      </c>
      <c r="E100" s="61">
        <f t="shared" si="21"/>
        <v>0</v>
      </c>
      <c r="F100" s="61">
        <f t="shared" si="21"/>
        <v>0</v>
      </c>
      <c r="G100" s="61">
        <f t="shared" si="21"/>
        <v>0</v>
      </c>
      <c r="H100" s="61">
        <f t="shared" si="21"/>
        <v>0</v>
      </c>
      <c r="I100" s="61">
        <f t="shared" si="21"/>
        <v>0</v>
      </c>
      <c r="J100" s="61">
        <f t="shared" si="21"/>
        <v>0</v>
      </c>
      <c r="K100" s="61">
        <f t="shared" si="21"/>
        <v>0</v>
      </c>
      <c r="L100" s="61">
        <f t="shared" si="21"/>
        <v>0</v>
      </c>
      <c r="M100" s="61">
        <f t="shared" si="21"/>
        <v>0</v>
      </c>
      <c r="N100" s="61">
        <f t="shared" si="21"/>
        <v>0</v>
      </c>
      <c r="O100" s="61">
        <f t="shared" si="21"/>
        <v>0</v>
      </c>
      <c r="P100" s="61">
        <f t="shared" si="21"/>
        <v>0</v>
      </c>
      <c r="Q100" s="61">
        <f t="shared" si="21"/>
        <v>0</v>
      </c>
      <c r="R100" s="61">
        <f t="shared" si="21"/>
        <v>0</v>
      </c>
      <c r="S100" s="61">
        <f t="shared" si="21"/>
        <v>0</v>
      </c>
      <c r="T100" s="61">
        <f t="shared" si="21"/>
        <v>0</v>
      </c>
      <c r="U100" s="61">
        <f t="shared" si="21"/>
        <v>0</v>
      </c>
      <c r="V100" s="61">
        <f t="shared" si="21"/>
        <v>0</v>
      </c>
      <c r="W100" s="61">
        <f t="shared" si="21"/>
        <v>0</v>
      </c>
      <c r="X100" s="61">
        <f t="shared" si="21"/>
        <v>0</v>
      </c>
      <c r="Y100" s="61">
        <f t="shared" si="21"/>
        <v>0</v>
      </c>
    </row>
    <row r="101" spans="1:33" x14ac:dyDescent="0.25">
      <c r="A101" s="128" t="str">
        <f>A$17</f>
        <v>lot3</v>
      </c>
      <c r="B101" s="61">
        <f t="shared" ref="B101:Y101" si="22">VLOOKUP(B90,$AD$6:$AF$10,3)</f>
        <v>0</v>
      </c>
      <c r="C101" s="61">
        <f t="shared" si="22"/>
        <v>0</v>
      </c>
      <c r="D101" s="61">
        <f t="shared" si="22"/>
        <v>0</v>
      </c>
      <c r="E101" s="61">
        <f t="shared" si="22"/>
        <v>0</v>
      </c>
      <c r="F101" s="61">
        <f t="shared" si="22"/>
        <v>0</v>
      </c>
      <c r="G101" s="61">
        <f t="shared" si="22"/>
        <v>0</v>
      </c>
      <c r="H101" s="61">
        <f t="shared" si="22"/>
        <v>0</v>
      </c>
      <c r="I101" s="61">
        <f t="shared" si="22"/>
        <v>0</v>
      </c>
      <c r="J101" s="61">
        <f t="shared" si="22"/>
        <v>0</v>
      </c>
      <c r="K101" s="61">
        <f t="shared" si="22"/>
        <v>0</v>
      </c>
      <c r="L101" s="61">
        <f t="shared" si="22"/>
        <v>0</v>
      </c>
      <c r="M101" s="61">
        <f t="shared" si="22"/>
        <v>0</v>
      </c>
      <c r="N101" s="61">
        <f t="shared" si="22"/>
        <v>0</v>
      </c>
      <c r="O101" s="61">
        <f t="shared" si="22"/>
        <v>0</v>
      </c>
      <c r="P101" s="61">
        <f t="shared" si="22"/>
        <v>0</v>
      </c>
      <c r="Q101" s="61">
        <f t="shared" si="22"/>
        <v>0</v>
      </c>
      <c r="R101" s="61">
        <f t="shared" si="22"/>
        <v>0</v>
      </c>
      <c r="S101" s="61">
        <f t="shared" si="22"/>
        <v>0</v>
      </c>
      <c r="T101" s="61">
        <f t="shared" si="22"/>
        <v>0</v>
      </c>
      <c r="U101" s="61">
        <f t="shared" si="22"/>
        <v>0</v>
      </c>
      <c r="V101" s="61">
        <f t="shared" si="22"/>
        <v>0</v>
      </c>
      <c r="W101" s="61">
        <f t="shared" si="22"/>
        <v>0</v>
      </c>
      <c r="X101" s="61">
        <f t="shared" si="22"/>
        <v>0</v>
      </c>
      <c r="Y101" s="61">
        <f t="shared" si="22"/>
        <v>0</v>
      </c>
    </row>
    <row r="102" spans="1:33" x14ac:dyDescent="0.25">
      <c r="A102" s="127" t="str">
        <f>A$18</f>
        <v>lot4</v>
      </c>
      <c r="B102" s="61">
        <f t="shared" ref="B102:Y102" si="23">VLOOKUP(B91,$AD$6:$AF$10,3)</f>
        <v>0</v>
      </c>
      <c r="C102" s="61">
        <f t="shared" si="23"/>
        <v>0</v>
      </c>
      <c r="D102" s="61">
        <f t="shared" si="23"/>
        <v>0</v>
      </c>
      <c r="E102" s="61">
        <f t="shared" si="23"/>
        <v>0</v>
      </c>
      <c r="F102" s="61">
        <f t="shared" si="23"/>
        <v>0</v>
      </c>
      <c r="G102" s="61">
        <f t="shared" si="23"/>
        <v>0</v>
      </c>
      <c r="H102" s="61">
        <f t="shared" si="23"/>
        <v>0</v>
      </c>
      <c r="I102" s="61">
        <f t="shared" si="23"/>
        <v>0</v>
      </c>
      <c r="J102" s="61">
        <f t="shared" si="23"/>
        <v>0</v>
      </c>
      <c r="K102" s="61">
        <f t="shared" si="23"/>
        <v>0</v>
      </c>
      <c r="L102" s="61">
        <f t="shared" si="23"/>
        <v>0</v>
      </c>
      <c r="M102" s="61">
        <f t="shared" si="23"/>
        <v>0</v>
      </c>
      <c r="N102" s="61">
        <f t="shared" si="23"/>
        <v>0</v>
      </c>
      <c r="O102" s="61">
        <f t="shared" si="23"/>
        <v>0</v>
      </c>
      <c r="P102" s="61">
        <f t="shared" si="23"/>
        <v>0</v>
      </c>
      <c r="Q102" s="61">
        <f t="shared" si="23"/>
        <v>0</v>
      </c>
      <c r="R102" s="61">
        <f t="shared" si="23"/>
        <v>0</v>
      </c>
      <c r="S102" s="61">
        <f t="shared" si="23"/>
        <v>0</v>
      </c>
      <c r="T102" s="61">
        <f t="shared" si="23"/>
        <v>0</v>
      </c>
      <c r="U102" s="61">
        <f t="shared" si="23"/>
        <v>0</v>
      </c>
      <c r="V102" s="61">
        <f t="shared" si="23"/>
        <v>0</v>
      </c>
      <c r="W102" s="61">
        <f t="shared" si="23"/>
        <v>0</v>
      </c>
      <c r="X102" s="61">
        <f t="shared" si="23"/>
        <v>0</v>
      </c>
      <c r="Y102" s="61">
        <f t="shared" si="23"/>
        <v>0</v>
      </c>
    </row>
    <row r="103" spans="1:33" x14ac:dyDescent="0.25">
      <c r="A103" s="128" t="str">
        <f>A$19</f>
        <v>lot5</v>
      </c>
      <c r="B103" s="61">
        <f t="shared" ref="B103:Y103" si="24">VLOOKUP(B92,$AD$6:$AF$10,3)</f>
        <v>0</v>
      </c>
      <c r="C103" s="61">
        <f t="shared" si="24"/>
        <v>0</v>
      </c>
      <c r="D103" s="61">
        <f t="shared" si="24"/>
        <v>0</v>
      </c>
      <c r="E103" s="61">
        <f t="shared" si="24"/>
        <v>0</v>
      </c>
      <c r="F103" s="61">
        <f t="shared" si="24"/>
        <v>0</v>
      </c>
      <c r="G103" s="61">
        <f t="shared" si="24"/>
        <v>0</v>
      </c>
      <c r="H103" s="61">
        <f t="shared" si="24"/>
        <v>0</v>
      </c>
      <c r="I103" s="61">
        <f t="shared" si="24"/>
        <v>0</v>
      </c>
      <c r="J103" s="61">
        <f t="shared" si="24"/>
        <v>0</v>
      </c>
      <c r="K103" s="61">
        <f t="shared" si="24"/>
        <v>0</v>
      </c>
      <c r="L103" s="61">
        <f t="shared" si="24"/>
        <v>0</v>
      </c>
      <c r="M103" s="61">
        <f t="shared" si="24"/>
        <v>0</v>
      </c>
      <c r="N103" s="61">
        <f t="shared" si="24"/>
        <v>0</v>
      </c>
      <c r="O103" s="61">
        <f t="shared" si="24"/>
        <v>0</v>
      </c>
      <c r="P103" s="61">
        <f t="shared" si="24"/>
        <v>0</v>
      </c>
      <c r="Q103" s="61">
        <f t="shared" si="24"/>
        <v>0</v>
      </c>
      <c r="R103" s="61">
        <f t="shared" si="24"/>
        <v>0</v>
      </c>
      <c r="S103" s="61">
        <f t="shared" si="24"/>
        <v>0</v>
      </c>
      <c r="T103" s="61">
        <f t="shared" si="24"/>
        <v>0</v>
      </c>
      <c r="U103" s="61">
        <f t="shared" si="24"/>
        <v>0</v>
      </c>
      <c r="V103" s="61">
        <f t="shared" si="24"/>
        <v>0</v>
      </c>
      <c r="W103" s="61">
        <f t="shared" si="24"/>
        <v>0</v>
      </c>
      <c r="X103" s="61">
        <f t="shared" si="24"/>
        <v>0</v>
      </c>
      <c r="Y103" s="61">
        <f t="shared" si="24"/>
        <v>0</v>
      </c>
    </row>
    <row r="104" spans="1:33" x14ac:dyDescent="0.25">
      <c r="A104" s="127" t="str">
        <f>A$20</f>
        <v>lot6</v>
      </c>
      <c r="B104" s="61">
        <f t="shared" ref="B104:Y104" si="25">VLOOKUP(B93,$AD$6:$AF$10,3)</f>
        <v>0</v>
      </c>
      <c r="C104" s="61">
        <f t="shared" si="25"/>
        <v>0</v>
      </c>
      <c r="D104" s="61">
        <f t="shared" si="25"/>
        <v>0</v>
      </c>
      <c r="E104" s="61">
        <f t="shared" si="25"/>
        <v>0</v>
      </c>
      <c r="F104" s="61">
        <f t="shared" si="25"/>
        <v>0</v>
      </c>
      <c r="G104" s="61">
        <f t="shared" si="25"/>
        <v>0</v>
      </c>
      <c r="H104" s="61">
        <f t="shared" si="25"/>
        <v>0</v>
      </c>
      <c r="I104" s="61">
        <f t="shared" si="25"/>
        <v>0</v>
      </c>
      <c r="J104" s="61">
        <f t="shared" si="25"/>
        <v>0</v>
      </c>
      <c r="K104" s="61">
        <f t="shared" si="25"/>
        <v>0</v>
      </c>
      <c r="L104" s="61">
        <f t="shared" si="25"/>
        <v>0</v>
      </c>
      <c r="M104" s="61">
        <f t="shared" si="25"/>
        <v>0</v>
      </c>
      <c r="N104" s="61">
        <f t="shared" si="25"/>
        <v>0</v>
      </c>
      <c r="O104" s="61">
        <f t="shared" si="25"/>
        <v>0</v>
      </c>
      <c r="P104" s="61">
        <f t="shared" si="25"/>
        <v>0</v>
      </c>
      <c r="Q104" s="61">
        <f t="shared" si="25"/>
        <v>0</v>
      </c>
      <c r="R104" s="61">
        <f t="shared" si="25"/>
        <v>0</v>
      </c>
      <c r="S104" s="61">
        <f t="shared" si="25"/>
        <v>0</v>
      </c>
      <c r="T104" s="61">
        <f t="shared" si="25"/>
        <v>0</v>
      </c>
      <c r="U104" s="61">
        <f t="shared" si="25"/>
        <v>0</v>
      </c>
      <c r="V104" s="61">
        <f t="shared" si="25"/>
        <v>0</v>
      </c>
      <c r="W104" s="61">
        <f t="shared" si="25"/>
        <v>0</v>
      </c>
      <c r="X104" s="61">
        <f t="shared" si="25"/>
        <v>0</v>
      </c>
      <c r="Y104" s="61">
        <f t="shared" si="25"/>
        <v>0</v>
      </c>
    </row>
    <row r="105" spans="1:33" x14ac:dyDescent="0.25">
      <c r="A105" s="128" t="str">
        <f>A$21</f>
        <v>lot7</v>
      </c>
      <c r="B105" s="61">
        <f t="shared" ref="B105:Y105" si="26">VLOOKUP(B94,$AD$6:$AF$10,3)</f>
        <v>0</v>
      </c>
      <c r="C105" s="61">
        <f t="shared" si="26"/>
        <v>0</v>
      </c>
      <c r="D105" s="61">
        <f t="shared" si="26"/>
        <v>0</v>
      </c>
      <c r="E105" s="61">
        <f t="shared" si="26"/>
        <v>0</v>
      </c>
      <c r="F105" s="61">
        <f t="shared" si="26"/>
        <v>0</v>
      </c>
      <c r="G105" s="61">
        <f t="shared" si="26"/>
        <v>0</v>
      </c>
      <c r="H105" s="61">
        <f t="shared" si="26"/>
        <v>0</v>
      </c>
      <c r="I105" s="61">
        <f t="shared" si="26"/>
        <v>0</v>
      </c>
      <c r="J105" s="61">
        <f t="shared" si="26"/>
        <v>0</v>
      </c>
      <c r="K105" s="61">
        <f t="shared" si="26"/>
        <v>0</v>
      </c>
      <c r="L105" s="61">
        <f t="shared" si="26"/>
        <v>0</v>
      </c>
      <c r="M105" s="61">
        <f t="shared" si="26"/>
        <v>0</v>
      </c>
      <c r="N105" s="61">
        <f t="shared" si="26"/>
        <v>0</v>
      </c>
      <c r="O105" s="61">
        <f t="shared" si="26"/>
        <v>0</v>
      </c>
      <c r="P105" s="61">
        <f t="shared" si="26"/>
        <v>0</v>
      </c>
      <c r="Q105" s="61">
        <f t="shared" si="26"/>
        <v>0</v>
      </c>
      <c r="R105" s="61">
        <f t="shared" si="26"/>
        <v>0</v>
      </c>
      <c r="S105" s="61">
        <f t="shared" si="26"/>
        <v>0</v>
      </c>
      <c r="T105" s="61">
        <f t="shared" si="26"/>
        <v>0</v>
      </c>
      <c r="U105" s="61">
        <f t="shared" si="26"/>
        <v>0</v>
      </c>
      <c r="V105" s="61">
        <f t="shared" si="26"/>
        <v>0</v>
      </c>
      <c r="W105" s="61">
        <f t="shared" si="26"/>
        <v>0</v>
      </c>
      <c r="X105" s="61">
        <f t="shared" si="26"/>
        <v>0</v>
      </c>
      <c r="Y105" s="61">
        <f t="shared" si="26"/>
        <v>0</v>
      </c>
    </row>
    <row r="106" spans="1:33" x14ac:dyDescent="0.25">
      <c r="A106" s="128" t="str">
        <f>A$22</f>
        <v>lot8</v>
      </c>
      <c r="B106" s="61">
        <f t="shared" ref="B106:Y106" si="27">VLOOKUP(B95,$AD$6:$AF$10,3)</f>
        <v>0</v>
      </c>
      <c r="C106" s="61">
        <f t="shared" si="27"/>
        <v>0</v>
      </c>
      <c r="D106" s="61">
        <f t="shared" si="27"/>
        <v>0</v>
      </c>
      <c r="E106" s="61">
        <f t="shared" si="27"/>
        <v>0</v>
      </c>
      <c r="F106" s="61">
        <f t="shared" si="27"/>
        <v>0</v>
      </c>
      <c r="G106" s="61">
        <f t="shared" si="27"/>
        <v>0</v>
      </c>
      <c r="H106" s="61">
        <f t="shared" si="27"/>
        <v>0</v>
      </c>
      <c r="I106" s="61">
        <f t="shared" si="27"/>
        <v>0</v>
      </c>
      <c r="J106" s="61">
        <f t="shared" si="27"/>
        <v>0</v>
      </c>
      <c r="K106" s="61">
        <f t="shared" si="27"/>
        <v>0</v>
      </c>
      <c r="L106" s="61">
        <f t="shared" si="27"/>
        <v>0</v>
      </c>
      <c r="M106" s="61">
        <f t="shared" si="27"/>
        <v>0</v>
      </c>
      <c r="N106" s="61">
        <f t="shared" si="27"/>
        <v>0</v>
      </c>
      <c r="O106" s="61">
        <f t="shared" si="27"/>
        <v>0</v>
      </c>
      <c r="P106" s="61">
        <f t="shared" si="27"/>
        <v>0</v>
      </c>
      <c r="Q106" s="61">
        <f t="shared" si="27"/>
        <v>0</v>
      </c>
      <c r="R106" s="61">
        <f t="shared" si="27"/>
        <v>0</v>
      </c>
      <c r="S106" s="61">
        <f t="shared" si="27"/>
        <v>0</v>
      </c>
      <c r="T106" s="61">
        <f t="shared" si="27"/>
        <v>0</v>
      </c>
      <c r="U106" s="61">
        <f t="shared" si="27"/>
        <v>0</v>
      </c>
      <c r="V106" s="61">
        <f t="shared" si="27"/>
        <v>0</v>
      </c>
      <c r="W106" s="61">
        <f t="shared" si="27"/>
        <v>0</v>
      </c>
      <c r="X106" s="61">
        <f t="shared" si="27"/>
        <v>0</v>
      </c>
      <c r="Y106" s="61">
        <f t="shared" si="27"/>
        <v>0</v>
      </c>
    </row>
    <row r="107" spans="1:33" x14ac:dyDescent="0.25">
      <c r="A107" s="127" t="str">
        <f>A$23</f>
        <v>lot9</v>
      </c>
      <c r="B107" s="61">
        <f t="shared" ref="B107:Y107" si="28">VLOOKUP(B96,$AD$6:$AF$10,3)</f>
        <v>0</v>
      </c>
      <c r="C107" s="61">
        <f t="shared" si="28"/>
        <v>0</v>
      </c>
      <c r="D107" s="61">
        <f t="shared" si="28"/>
        <v>0</v>
      </c>
      <c r="E107" s="61">
        <f t="shared" si="28"/>
        <v>0</v>
      </c>
      <c r="F107" s="61">
        <f t="shared" si="28"/>
        <v>0</v>
      </c>
      <c r="G107" s="61">
        <f t="shared" si="28"/>
        <v>0</v>
      </c>
      <c r="H107" s="61">
        <f t="shared" si="28"/>
        <v>0</v>
      </c>
      <c r="I107" s="61">
        <f t="shared" si="28"/>
        <v>0</v>
      </c>
      <c r="J107" s="61">
        <f t="shared" si="28"/>
        <v>0</v>
      </c>
      <c r="K107" s="61">
        <f t="shared" si="28"/>
        <v>0</v>
      </c>
      <c r="L107" s="61">
        <f t="shared" si="28"/>
        <v>0</v>
      </c>
      <c r="M107" s="61">
        <f t="shared" si="28"/>
        <v>0</v>
      </c>
      <c r="N107" s="61">
        <f t="shared" si="28"/>
        <v>0</v>
      </c>
      <c r="O107" s="61">
        <f t="shared" si="28"/>
        <v>0</v>
      </c>
      <c r="P107" s="61">
        <f t="shared" si="28"/>
        <v>0</v>
      </c>
      <c r="Q107" s="61">
        <f t="shared" si="28"/>
        <v>0</v>
      </c>
      <c r="R107" s="61">
        <f t="shared" si="28"/>
        <v>0</v>
      </c>
      <c r="S107" s="61">
        <f t="shared" si="28"/>
        <v>0</v>
      </c>
      <c r="T107" s="61">
        <f t="shared" si="28"/>
        <v>0</v>
      </c>
      <c r="U107" s="61">
        <f t="shared" si="28"/>
        <v>0</v>
      </c>
      <c r="V107" s="61">
        <f t="shared" si="28"/>
        <v>0</v>
      </c>
      <c r="W107" s="61">
        <f t="shared" si="28"/>
        <v>0</v>
      </c>
      <c r="X107" s="61">
        <f t="shared" si="28"/>
        <v>0</v>
      </c>
      <c r="Y107" s="61">
        <f t="shared" si="28"/>
        <v>0</v>
      </c>
    </row>
    <row r="108" spans="1:33" x14ac:dyDescent="0.25">
      <c r="A108" s="128" t="str">
        <f>A$24</f>
        <v>lot10</v>
      </c>
      <c r="B108" s="61">
        <f t="shared" ref="B108:Y108" si="29">VLOOKUP(B97,$AD$6:$AF$10,3)</f>
        <v>0</v>
      </c>
      <c r="C108" s="61">
        <f t="shared" si="29"/>
        <v>0</v>
      </c>
      <c r="D108" s="61">
        <f t="shared" si="29"/>
        <v>0</v>
      </c>
      <c r="E108" s="61">
        <f t="shared" si="29"/>
        <v>0</v>
      </c>
      <c r="F108" s="61">
        <f t="shared" si="29"/>
        <v>0</v>
      </c>
      <c r="G108" s="61">
        <f t="shared" si="29"/>
        <v>0</v>
      </c>
      <c r="H108" s="61">
        <f t="shared" si="29"/>
        <v>0</v>
      </c>
      <c r="I108" s="61">
        <f t="shared" si="29"/>
        <v>0</v>
      </c>
      <c r="J108" s="61">
        <f t="shared" si="29"/>
        <v>0</v>
      </c>
      <c r="K108" s="61">
        <f t="shared" si="29"/>
        <v>0</v>
      </c>
      <c r="L108" s="61">
        <f t="shared" si="29"/>
        <v>0</v>
      </c>
      <c r="M108" s="61">
        <f t="shared" si="29"/>
        <v>0</v>
      </c>
      <c r="N108" s="61">
        <f t="shared" si="29"/>
        <v>0</v>
      </c>
      <c r="O108" s="61">
        <f t="shared" si="29"/>
        <v>0</v>
      </c>
      <c r="P108" s="61">
        <f t="shared" si="29"/>
        <v>0</v>
      </c>
      <c r="Q108" s="61">
        <f t="shared" si="29"/>
        <v>0</v>
      </c>
      <c r="R108" s="61">
        <f t="shared" si="29"/>
        <v>0</v>
      </c>
      <c r="S108" s="61">
        <f t="shared" si="29"/>
        <v>0</v>
      </c>
      <c r="T108" s="61">
        <f t="shared" si="29"/>
        <v>0</v>
      </c>
      <c r="U108" s="61">
        <f t="shared" si="29"/>
        <v>0</v>
      </c>
      <c r="V108" s="61">
        <f t="shared" si="29"/>
        <v>0</v>
      </c>
      <c r="W108" s="61">
        <f t="shared" si="29"/>
        <v>0</v>
      </c>
      <c r="X108" s="61">
        <f t="shared" si="29"/>
        <v>0</v>
      </c>
      <c r="Y108" s="61">
        <f t="shared" si="29"/>
        <v>0</v>
      </c>
    </row>
    <row r="109" spans="1:33" s="5" customFormat="1" x14ac:dyDescent="0.25">
      <c r="A109" s="55" t="s">
        <v>205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AE109" s="86"/>
      <c r="AG109"/>
    </row>
    <row r="110" spans="1:33" x14ac:dyDescent="0.25">
      <c r="A110" s="127" t="str">
        <f>A$15</f>
        <v>lot1</v>
      </c>
      <c r="B110" s="61">
        <f t="shared" ref="B110:Y119" si="30">(B39*B$3*B99)/1000</f>
        <v>0</v>
      </c>
      <c r="C110" s="61">
        <f t="shared" si="30"/>
        <v>0</v>
      </c>
      <c r="D110" s="61">
        <f t="shared" si="30"/>
        <v>0</v>
      </c>
      <c r="E110" s="61">
        <f t="shared" si="30"/>
        <v>0</v>
      </c>
      <c r="F110" s="61">
        <f t="shared" si="30"/>
        <v>0</v>
      </c>
      <c r="G110" s="61">
        <f t="shared" si="30"/>
        <v>0</v>
      </c>
      <c r="H110" s="61">
        <f t="shared" si="30"/>
        <v>0</v>
      </c>
      <c r="I110" s="61">
        <f t="shared" si="30"/>
        <v>0</v>
      </c>
      <c r="J110" s="61">
        <f t="shared" si="30"/>
        <v>0</v>
      </c>
      <c r="K110" s="61">
        <f t="shared" si="30"/>
        <v>0</v>
      </c>
      <c r="L110" s="61">
        <f t="shared" si="30"/>
        <v>0</v>
      </c>
      <c r="M110" s="61">
        <f t="shared" si="30"/>
        <v>0</v>
      </c>
      <c r="N110" s="61">
        <f t="shared" si="30"/>
        <v>0</v>
      </c>
      <c r="O110" s="61">
        <f t="shared" si="30"/>
        <v>0</v>
      </c>
      <c r="P110" s="61">
        <f t="shared" si="30"/>
        <v>0</v>
      </c>
      <c r="Q110" s="61">
        <f t="shared" si="30"/>
        <v>0</v>
      </c>
      <c r="R110" s="61">
        <f t="shared" si="30"/>
        <v>0</v>
      </c>
      <c r="S110" s="61">
        <f t="shared" si="30"/>
        <v>0</v>
      </c>
      <c r="T110" s="61">
        <f t="shared" si="30"/>
        <v>0</v>
      </c>
      <c r="U110" s="61">
        <f t="shared" si="30"/>
        <v>0</v>
      </c>
      <c r="V110" s="61">
        <f t="shared" si="30"/>
        <v>0</v>
      </c>
      <c r="W110" s="61">
        <f t="shared" si="30"/>
        <v>0</v>
      </c>
      <c r="X110" s="61">
        <f t="shared" si="30"/>
        <v>0</v>
      </c>
      <c r="Y110" s="61">
        <f t="shared" si="30"/>
        <v>0</v>
      </c>
    </row>
    <row r="111" spans="1:33" x14ac:dyDescent="0.25">
      <c r="A111" s="128" t="str">
        <f>A$16</f>
        <v>lot2</v>
      </c>
      <c r="B111" s="61">
        <f t="shared" si="30"/>
        <v>0</v>
      </c>
      <c r="C111" s="61">
        <f t="shared" si="30"/>
        <v>0</v>
      </c>
      <c r="D111" s="61">
        <f t="shared" si="30"/>
        <v>0</v>
      </c>
      <c r="E111" s="61">
        <f t="shared" si="30"/>
        <v>0</v>
      </c>
      <c r="F111" s="61">
        <f t="shared" si="30"/>
        <v>0</v>
      </c>
      <c r="G111" s="61">
        <f t="shared" si="30"/>
        <v>0</v>
      </c>
      <c r="H111" s="61">
        <f t="shared" si="30"/>
        <v>0</v>
      </c>
      <c r="I111" s="61">
        <f t="shared" si="30"/>
        <v>0</v>
      </c>
      <c r="J111" s="61">
        <f t="shared" si="30"/>
        <v>0</v>
      </c>
      <c r="K111" s="61">
        <f t="shared" si="30"/>
        <v>0</v>
      </c>
      <c r="L111" s="61">
        <f t="shared" si="30"/>
        <v>0</v>
      </c>
      <c r="M111" s="61">
        <f t="shared" si="30"/>
        <v>0</v>
      </c>
      <c r="N111" s="61">
        <f t="shared" si="30"/>
        <v>0</v>
      </c>
      <c r="O111" s="61">
        <f t="shared" si="30"/>
        <v>0</v>
      </c>
      <c r="P111" s="61">
        <f t="shared" si="30"/>
        <v>0</v>
      </c>
      <c r="Q111" s="61">
        <f t="shared" si="30"/>
        <v>0</v>
      </c>
      <c r="R111" s="61">
        <f t="shared" si="30"/>
        <v>0</v>
      </c>
      <c r="S111" s="61">
        <f t="shared" si="30"/>
        <v>0</v>
      </c>
      <c r="T111" s="61">
        <f t="shared" si="30"/>
        <v>0</v>
      </c>
      <c r="U111" s="61">
        <f t="shared" si="30"/>
        <v>0</v>
      </c>
      <c r="V111" s="61">
        <f t="shared" si="30"/>
        <v>0</v>
      </c>
      <c r="W111" s="61">
        <f t="shared" si="30"/>
        <v>0</v>
      </c>
      <c r="X111" s="61">
        <f t="shared" si="30"/>
        <v>0</v>
      </c>
      <c r="Y111" s="61">
        <f t="shared" si="30"/>
        <v>0</v>
      </c>
    </row>
    <row r="112" spans="1:33" x14ac:dyDescent="0.25">
      <c r="A112" s="128" t="str">
        <f>A$17</f>
        <v>lot3</v>
      </c>
      <c r="B112" s="61">
        <f t="shared" si="30"/>
        <v>0</v>
      </c>
      <c r="C112" s="61">
        <f t="shared" si="30"/>
        <v>0</v>
      </c>
      <c r="D112" s="61">
        <f t="shared" si="30"/>
        <v>0</v>
      </c>
      <c r="E112" s="61">
        <f t="shared" si="30"/>
        <v>0</v>
      </c>
      <c r="F112" s="61">
        <f t="shared" si="30"/>
        <v>0</v>
      </c>
      <c r="G112" s="61">
        <f t="shared" si="30"/>
        <v>0</v>
      </c>
      <c r="H112" s="61">
        <f t="shared" si="30"/>
        <v>0</v>
      </c>
      <c r="I112" s="61">
        <f t="shared" si="30"/>
        <v>0</v>
      </c>
      <c r="J112" s="61">
        <f t="shared" si="30"/>
        <v>0</v>
      </c>
      <c r="K112" s="61">
        <f t="shared" si="30"/>
        <v>0</v>
      </c>
      <c r="L112" s="61">
        <f t="shared" si="30"/>
        <v>0</v>
      </c>
      <c r="M112" s="61">
        <f t="shared" si="30"/>
        <v>0</v>
      </c>
      <c r="N112" s="61">
        <f t="shared" si="30"/>
        <v>0</v>
      </c>
      <c r="O112" s="61">
        <f t="shared" si="30"/>
        <v>0</v>
      </c>
      <c r="P112" s="61">
        <f t="shared" si="30"/>
        <v>0</v>
      </c>
      <c r="Q112" s="61">
        <f t="shared" si="30"/>
        <v>0</v>
      </c>
      <c r="R112" s="61">
        <f t="shared" si="30"/>
        <v>0</v>
      </c>
      <c r="S112" s="61">
        <f t="shared" si="30"/>
        <v>0</v>
      </c>
      <c r="T112" s="61">
        <f t="shared" si="30"/>
        <v>0</v>
      </c>
      <c r="U112" s="61">
        <f t="shared" si="30"/>
        <v>0</v>
      </c>
      <c r="V112" s="61">
        <f t="shared" si="30"/>
        <v>0</v>
      </c>
      <c r="W112" s="61">
        <f t="shared" si="30"/>
        <v>0</v>
      </c>
      <c r="X112" s="61">
        <f t="shared" si="30"/>
        <v>0</v>
      </c>
      <c r="Y112" s="61">
        <f t="shared" si="30"/>
        <v>0</v>
      </c>
    </row>
    <row r="113" spans="1:29" x14ac:dyDescent="0.25">
      <c r="A113" s="127" t="str">
        <f>A$18</f>
        <v>lot4</v>
      </c>
      <c r="B113" s="61">
        <f t="shared" si="30"/>
        <v>0</v>
      </c>
      <c r="C113" s="61">
        <f t="shared" si="30"/>
        <v>0</v>
      </c>
      <c r="D113" s="61">
        <f t="shared" si="30"/>
        <v>0</v>
      </c>
      <c r="E113" s="61">
        <f t="shared" si="30"/>
        <v>0</v>
      </c>
      <c r="F113" s="61">
        <f t="shared" si="30"/>
        <v>0</v>
      </c>
      <c r="G113" s="61">
        <f t="shared" si="30"/>
        <v>0</v>
      </c>
      <c r="H113" s="61">
        <f t="shared" si="30"/>
        <v>0</v>
      </c>
      <c r="I113" s="61">
        <f t="shared" si="30"/>
        <v>0</v>
      </c>
      <c r="J113" s="61">
        <f t="shared" si="30"/>
        <v>0</v>
      </c>
      <c r="K113" s="61">
        <f t="shared" si="30"/>
        <v>0</v>
      </c>
      <c r="L113" s="61">
        <f t="shared" si="30"/>
        <v>0</v>
      </c>
      <c r="M113" s="61">
        <f t="shared" si="30"/>
        <v>0</v>
      </c>
      <c r="N113" s="61">
        <f t="shared" si="30"/>
        <v>0</v>
      </c>
      <c r="O113" s="61">
        <f t="shared" si="30"/>
        <v>0</v>
      </c>
      <c r="P113" s="61">
        <f t="shared" si="30"/>
        <v>0</v>
      </c>
      <c r="Q113" s="61">
        <f t="shared" si="30"/>
        <v>0</v>
      </c>
      <c r="R113" s="61">
        <f t="shared" si="30"/>
        <v>0</v>
      </c>
      <c r="S113" s="61">
        <f t="shared" si="30"/>
        <v>0</v>
      </c>
      <c r="T113" s="61">
        <f t="shared" si="30"/>
        <v>0</v>
      </c>
      <c r="U113" s="61">
        <f t="shared" si="30"/>
        <v>0</v>
      </c>
      <c r="V113" s="61">
        <f t="shared" si="30"/>
        <v>0</v>
      </c>
      <c r="W113" s="61">
        <f t="shared" si="30"/>
        <v>0</v>
      </c>
      <c r="X113" s="61">
        <f t="shared" si="30"/>
        <v>0</v>
      </c>
      <c r="Y113" s="61">
        <f t="shared" si="30"/>
        <v>0</v>
      </c>
    </row>
    <row r="114" spans="1:29" x14ac:dyDescent="0.25">
      <c r="A114" s="128" t="str">
        <f>A$19</f>
        <v>lot5</v>
      </c>
      <c r="B114" s="61">
        <f t="shared" si="30"/>
        <v>0</v>
      </c>
      <c r="C114" s="61">
        <f t="shared" si="30"/>
        <v>0</v>
      </c>
      <c r="D114" s="61">
        <f t="shared" si="30"/>
        <v>0</v>
      </c>
      <c r="E114" s="61">
        <f t="shared" si="30"/>
        <v>0</v>
      </c>
      <c r="F114" s="61">
        <f t="shared" si="30"/>
        <v>0</v>
      </c>
      <c r="G114" s="61">
        <f t="shared" si="30"/>
        <v>0</v>
      </c>
      <c r="H114" s="61">
        <f t="shared" si="30"/>
        <v>0</v>
      </c>
      <c r="I114" s="61">
        <f t="shared" si="30"/>
        <v>0</v>
      </c>
      <c r="J114" s="61">
        <f t="shared" si="30"/>
        <v>0</v>
      </c>
      <c r="K114" s="61">
        <f t="shared" si="30"/>
        <v>0</v>
      </c>
      <c r="L114" s="61">
        <f t="shared" si="30"/>
        <v>0</v>
      </c>
      <c r="M114" s="61">
        <f t="shared" si="30"/>
        <v>0</v>
      </c>
      <c r="N114" s="61">
        <f t="shared" si="30"/>
        <v>0</v>
      </c>
      <c r="O114" s="61">
        <f t="shared" si="30"/>
        <v>0</v>
      </c>
      <c r="P114" s="61">
        <f t="shared" si="30"/>
        <v>0</v>
      </c>
      <c r="Q114" s="61">
        <f t="shared" si="30"/>
        <v>0</v>
      </c>
      <c r="R114" s="61">
        <f t="shared" si="30"/>
        <v>0</v>
      </c>
      <c r="S114" s="61">
        <f t="shared" si="30"/>
        <v>0</v>
      </c>
      <c r="T114" s="61">
        <f t="shared" si="30"/>
        <v>0</v>
      </c>
      <c r="U114" s="61">
        <f t="shared" si="30"/>
        <v>0</v>
      </c>
      <c r="V114" s="61">
        <f t="shared" si="30"/>
        <v>0</v>
      </c>
      <c r="W114" s="61">
        <f t="shared" si="30"/>
        <v>0</v>
      </c>
      <c r="X114" s="61">
        <f t="shared" si="30"/>
        <v>0</v>
      </c>
      <c r="Y114" s="61">
        <f t="shared" si="30"/>
        <v>0</v>
      </c>
    </row>
    <row r="115" spans="1:29" x14ac:dyDescent="0.25">
      <c r="A115" s="127" t="str">
        <f>A$20</f>
        <v>lot6</v>
      </c>
      <c r="B115" s="61">
        <f t="shared" si="30"/>
        <v>0</v>
      </c>
      <c r="C115" s="61">
        <f t="shared" si="30"/>
        <v>0</v>
      </c>
      <c r="D115" s="61">
        <f t="shared" si="30"/>
        <v>0</v>
      </c>
      <c r="E115" s="61">
        <f t="shared" si="30"/>
        <v>0</v>
      </c>
      <c r="F115" s="61">
        <f t="shared" si="30"/>
        <v>0</v>
      </c>
      <c r="G115" s="61">
        <f t="shared" si="30"/>
        <v>0</v>
      </c>
      <c r="H115" s="61">
        <f t="shared" si="30"/>
        <v>0</v>
      </c>
      <c r="I115" s="61">
        <f t="shared" si="30"/>
        <v>0</v>
      </c>
      <c r="J115" s="61">
        <f t="shared" si="30"/>
        <v>0</v>
      </c>
      <c r="K115" s="61">
        <f t="shared" si="30"/>
        <v>0</v>
      </c>
      <c r="L115" s="61">
        <f t="shared" si="30"/>
        <v>0</v>
      </c>
      <c r="M115" s="61">
        <f t="shared" si="30"/>
        <v>0</v>
      </c>
      <c r="N115" s="61">
        <f t="shared" si="30"/>
        <v>0</v>
      </c>
      <c r="O115" s="61">
        <f t="shared" si="30"/>
        <v>0</v>
      </c>
      <c r="P115" s="61">
        <f t="shared" si="30"/>
        <v>0</v>
      </c>
      <c r="Q115" s="61">
        <f t="shared" si="30"/>
        <v>0</v>
      </c>
      <c r="R115" s="61">
        <f t="shared" si="30"/>
        <v>0</v>
      </c>
      <c r="S115" s="61">
        <f t="shared" si="30"/>
        <v>0</v>
      </c>
      <c r="T115" s="61">
        <f t="shared" si="30"/>
        <v>0</v>
      </c>
      <c r="U115" s="61">
        <f t="shared" si="30"/>
        <v>0</v>
      </c>
      <c r="V115" s="61">
        <f t="shared" si="30"/>
        <v>0</v>
      </c>
      <c r="W115" s="61">
        <f t="shared" si="30"/>
        <v>0</v>
      </c>
      <c r="X115" s="61">
        <f t="shared" si="30"/>
        <v>0</v>
      </c>
      <c r="Y115" s="61">
        <f t="shared" si="30"/>
        <v>0</v>
      </c>
    </row>
    <row r="116" spans="1:29" x14ac:dyDescent="0.25">
      <c r="A116" s="128" t="str">
        <f>A$21</f>
        <v>lot7</v>
      </c>
      <c r="B116" s="61">
        <f t="shared" si="30"/>
        <v>0</v>
      </c>
      <c r="C116" s="61">
        <f t="shared" si="30"/>
        <v>0</v>
      </c>
      <c r="D116" s="61">
        <f t="shared" si="30"/>
        <v>0</v>
      </c>
      <c r="E116" s="61">
        <f t="shared" si="30"/>
        <v>0</v>
      </c>
      <c r="F116" s="61">
        <f t="shared" si="30"/>
        <v>0</v>
      </c>
      <c r="G116" s="61">
        <f t="shared" si="30"/>
        <v>0</v>
      </c>
      <c r="H116" s="61">
        <f t="shared" si="30"/>
        <v>0</v>
      </c>
      <c r="I116" s="61">
        <f t="shared" si="30"/>
        <v>0</v>
      </c>
      <c r="J116" s="61">
        <f t="shared" si="30"/>
        <v>0</v>
      </c>
      <c r="K116" s="61">
        <f t="shared" si="30"/>
        <v>0</v>
      </c>
      <c r="L116" s="61">
        <f t="shared" si="30"/>
        <v>0</v>
      </c>
      <c r="M116" s="61">
        <f t="shared" si="30"/>
        <v>0</v>
      </c>
      <c r="N116" s="61">
        <f t="shared" si="30"/>
        <v>0</v>
      </c>
      <c r="O116" s="61">
        <f t="shared" si="30"/>
        <v>0</v>
      </c>
      <c r="P116" s="61">
        <f t="shared" si="30"/>
        <v>0</v>
      </c>
      <c r="Q116" s="61">
        <f t="shared" si="30"/>
        <v>0</v>
      </c>
      <c r="R116" s="61">
        <f t="shared" si="30"/>
        <v>0</v>
      </c>
      <c r="S116" s="61">
        <f t="shared" si="30"/>
        <v>0</v>
      </c>
      <c r="T116" s="61">
        <f t="shared" si="30"/>
        <v>0</v>
      </c>
      <c r="U116" s="61">
        <f t="shared" si="30"/>
        <v>0</v>
      </c>
      <c r="V116" s="61">
        <f t="shared" si="30"/>
        <v>0</v>
      </c>
      <c r="W116" s="61">
        <f t="shared" si="30"/>
        <v>0</v>
      </c>
      <c r="X116" s="61">
        <f t="shared" si="30"/>
        <v>0</v>
      </c>
      <c r="Y116" s="61">
        <f t="shared" si="30"/>
        <v>0</v>
      </c>
    </row>
    <row r="117" spans="1:29" x14ac:dyDescent="0.25">
      <c r="A117" s="128" t="str">
        <f>A$22</f>
        <v>lot8</v>
      </c>
      <c r="B117" s="61">
        <f t="shared" si="30"/>
        <v>0</v>
      </c>
      <c r="C117" s="61">
        <f t="shared" si="30"/>
        <v>0</v>
      </c>
      <c r="D117" s="61">
        <f t="shared" si="30"/>
        <v>0</v>
      </c>
      <c r="E117" s="61">
        <f t="shared" si="30"/>
        <v>0</v>
      </c>
      <c r="F117" s="61">
        <f t="shared" si="30"/>
        <v>0</v>
      </c>
      <c r="G117" s="61">
        <f t="shared" si="30"/>
        <v>0</v>
      </c>
      <c r="H117" s="61">
        <f t="shared" si="30"/>
        <v>0</v>
      </c>
      <c r="I117" s="61">
        <f t="shared" si="30"/>
        <v>0</v>
      </c>
      <c r="J117" s="61">
        <f t="shared" si="30"/>
        <v>0</v>
      </c>
      <c r="K117" s="61">
        <f t="shared" si="30"/>
        <v>0</v>
      </c>
      <c r="L117" s="61">
        <f t="shared" si="30"/>
        <v>0</v>
      </c>
      <c r="M117" s="61">
        <f t="shared" si="30"/>
        <v>0</v>
      </c>
      <c r="N117" s="61">
        <f t="shared" si="30"/>
        <v>0</v>
      </c>
      <c r="O117" s="61">
        <f t="shared" si="30"/>
        <v>0</v>
      </c>
      <c r="P117" s="61">
        <f t="shared" si="30"/>
        <v>0</v>
      </c>
      <c r="Q117" s="61">
        <f t="shared" si="30"/>
        <v>0</v>
      </c>
      <c r="R117" s="61">
        <f t="shared" si="30"/>
        <v>0</v>
      </c>
      <c r="S117" s="61">
        <f t="shared" si="30"/>
        <v>0</v>
      </c>
      <c r="T117" s="61">
        <f t="shared" si="30"/>
        <v>0</v>
      </c>
      <c r="U117" s="61">
        <f t="shared" si="30"/>
        <v>0</v>
      </c>
      <c r="V117" s="61">
        <f t="shared" si="30"/>
        <v>0</v>
      </c>
      <c r="W117" s="61">
        <f t="shared" si="30"/>
        <v>0</v>
      </c>
      <c r="X117" s="61">
        <f t="shared" si="30"/>
        <v>0</v>
      </c>
      <c r="Y117" s="61">
        <f t="shared" si="30"/>
        <v>0</v>
      </c>
    </row>
    <row r="118" spans="1:29" x14ac:dyDescent="0.25">
      <c r="A118" s="127" t="str">
        <f>A$23</f>
        <v>lot9</v>
      </c>
      <c r="B118" s="61">
        <f t="shared" si="30"/>
        <v>0</v>
      </c>
      <c r="C118" s="61">
        <f t="shared" si="30"/>
        <v>0</v>
      </c>
      <c r="D118" s="61">
        <f t="shared" si="30"/>
        <v>0</v>
      </c>
      <c r="E118" s="61">
        <f t="shared" si="30"/>
        <v>0</v>
      </c>
      <c r="F118" s="61">
        <f t="shared" si="30"/>
        <v>0</v>
      </c>
      <c r="G118" s="61">
        <f t="shared" si="30"/>
        <v>0</v>
      </c>
      <c r="H118" s="61">
        <f t="shared" si="30"/>
        <v>0</v>
      </c>
      <c r="I118" s="61">
        <f t="shared" si="30"/>
        <v>0</v>
      </c>
      <c r="J118" s="61">
        <f t="shared" si="30"/>
        <v>0</v>
      </c>
      <c r="K118" s="61">
        <f t="shared" si="30"/>
        <v>0</v>
      </c>
      <c r="L118" s="61">
        <f t="shared" si="30"/>
        <v>0</v>
      </c>
      <c r="M118" s="61">
        <f t="shared" si="30"/>
        <v>0</v>
      </c>
      <c r="N118" s="61">
        <f t="shared" si="30"/>
        <v>0</v>
      </c>
      <c r="O118" s="61">
        <f t="shared" si="30"/>
        <v>0</v>
      </c>
      <c r="P118" s="61">
        <f t="shared" si="30"/>
        <v>0</v>
      </c>
      <c r="Q118" s="61">
        <f t="shared" si="30"/>
        <v>0</v>
      </c>
      <c r="R118" s="61">
        <f t="shared" si="30"/>
        <v>0</v>
      </c>
      <c r="S118" s="61">
        <f t="shared" si="30"/>
        <v>0</v>
      </c>
      <c r="T118" s="61">
        <f t="shared" si="30"/>
        <v>0</v>
      </c>
      <c r="U118" s="61">
        <f t="shared" si="30"/>
        <v>0</v>
      </c>
      <c r="V118" s="61">
        <f t="shared" si="30"/>
        <v>0</v>
      </c>
      <c r="W118" s="61">
        <f t="shared" si="30"/>
        <v>0</v>
      </c>
      <c r="X118" s="61">
        <f t="shared" si="30"/>
        <v>0</v>
      </c>
      <c r="Y118" s="61">
        <f t="shared" si="30"/>
        <v>0</v>
      </c>
    </row>
    <row r="119" spans="1:29" x14ac:dyDescent="0.25">
      <c r="A119" s="128" t="str">
        <f>A$24</f>
        <v>lot10</v>
      </c>
      <c r="B119" s="61">
        <f t="shared" si="30"/>
        <v>0</v>
      </c>
      <c r="C119" s="61">
        <f t="shared" si="30"/>
        <v>0</v>
      </c>
      <c r="D119" s="61">
        <f t="shared" si="30"/>
        <v>0</v>
      </c>
      <c r="E119" s="61">
        <f t="shared" si="30"/>
        <v>0</v>
      </c>
      <c r="F119" s="61">
        <f t="shared" si="30"/>
        <v>0</v>
      </c>
      <c r="G119" s="61">
        <f t="shared" si="30"/>
        <v>0</v>
      </c>
      <c r="H119" s="61">
        <f t="shared" si="30"/>
        <v>0</v>
      </c>
      <c r="I119" s="61">
        <f t="shared" si="30"/>
        <v>0</v>
      </c>
      <c r="J119" s="61">
        <f t="shared" si="30"/>
        <v>0</v>
      </c>
      <c r="K119" s="61">
        <f t="shared" si="30"/>
        <v>0</v>
      </c>
      <c r="L119" s="61">
        <f t="shared" si="30"/>
        <v>0</v>
      </c>
      <c r="M119" s="61">
        <f t="shared" si="30"/>
        <v>0</v>
      </c>
      <c r="N119" s="61">
        <f t="shared" si="30"/>
        <v>0</v>
      </c>
      <c r="O119" s="61">
        <f t="shared" si="30"/>
        <v>0</v>
      </c>
      <c r="P119" s="61">
        <f t="shared" si="30"/>
        <v>0</v>
      </c>
      <c r="Q119" s="61">
        <f t="shared" si="30"/>
        <v>0</v>
      </c>
      <c r="R119" s="61">
        <f t="shared" si="30"/>
        <v>0</v>
      </c>
      <c r="S119" s="61">
        <f t="shared" si="30"/>
        <v>0</v>
      </c>
      <c r="T119" s="61">
        <f t="shared" si="30"/>
        <v>0</v>
      </c>
      <c r="U119" s="61">
        <f t="shared" si="30"/>
        <v>0</v>
      </c>
      <c r="V119" s="61">
        <f t="shared" si="30"/>
        <v>0</v>
      </c>
      <c r="W119" s="61">
        <f t="shared" si="30"/>
        <v>0</v>
      </c>
      <c r="X119" s="61">
        <f t="shared" si="30"/>
        <v>0</v>
      </c>
      <c r="Y119" s="61">
        <f t="shared" si="30"/>
        <v>0</v>
      </c>
    </row>
    <row r="120" spans="1:29" x14ac:dyDescent="0.25">
      <c r="A120" s="38" t="s">
        <v>203</v>
      </c>
      <c r="B120" s="61">
        <f>ROUNDUP(SUM(B110:B119),1)</f>
        <v>0</v>
      </c>
      <c r="C120" s="61">
        <f t="shared" ref="C120:Y120" si="31">SUM(C110:C119)</f>
        <v>0</v>
      </c>
      <c r="D120" s="61">
        <f t="shared" si="31"/>
        <v>0</v>
      </c>
      <c r="E120" s="61">
        <f t="shared" si="31"/>
        <v>0</v>
      </c>
      <c r="F120" s="61">
        <f t="shared" si="31"/>
        <v>0</v>
      </c>
      <c r="G120" s="61">
        <f t="shared" si="31"/>
        <v>0</v>
      </c>
      <c r="H120" s="61">
        <f t="shared" si="31"/>
        <v>0</v>
      </c>
      <c r="I120" s="61">
        <f t="shared" si="31"/>
        <v>0</v>
      </c>
      <c r="J120" s="61">
        <f t="shared" si="31"/>
        <v>0</v>
      </c>
      <c r="K120" s="61">
        <f t="shared" si="31"/>
        <v>0</v>
      </c>
      <c r="L120" s="61">
        <f t="shared" si="31"/>
        <v>0</v>
      </c>
      <c r="M120" s="61">
        <f t="shared" si="31"/>
        <v>0</v>
      </c>
      <c r="N120" s="61">
        <f t="shared" si="31"/>
        <v>0</v>
      </c>
      <c r="O120" s="61">
        <f t="shared" si="31"/>
        <v>0</v>
      </c>
      <c r="P120" s="61">
        <f t="shared" si="31"/>
        <v>0</v>
      </c>
      <c r="Q120" s="61">
        <f t="shared" si="31"/>
        <v>0</v>
      </c>
      <c r="R120" s="61">
        <f t="shared" si="31"/>
        <v>0</v>
      </c>
      <c r="S120" s="61">
        <f t="shared" si="31"/>
        <v>0</v>
      </c>
      <c r="T120" s="61">
        <f t="shared" si="31"/>
        <v>0</v>
      </c>
      <c r="U120" s="61">
        <f t="shared" si="31"/>
        <v>0</v>
      </c>
      <c r="V120" s="61">
        <f t="shared" si="31"/>
        <v>0</v>
      </c>
      <c r="W120" s="61">
        <f t="shared" si="31"/>
        <v>0</v>
      </c>
      <c r="X120" s="61">
        <f t="shared" si="31"/>
        <v>0</v>
      </c>
      <c r="Y120" s="61">
        <f t="shared" si="31"/>
        <v>0</v>
      </c>
      <c r="AA120" s="57">
        <f>SUM(B120:Y120)</f>
        <v>0</v>
      </c>
      <c r="AB120" t="s">
        <v>38</v>
      </c>
      <c r="AC120" t="s">
        <v>207</v>
      </c>
    </row>
    <row r="122" spans="1:29" x14ac:dyDescent="0.25">
      <c r="A122" s="2" t="s">
        <v>14</v>
      </c>
      <c r="B122" s="15" t="s">
        <v>206</v>
      </c>
    </row>
    <row r="123" spans="1:29" x14ac:dyDescent="0.25">
      <c r="A123" s="127" t="str">
        <f>A$15</f>
        <v>lot1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9" x14ac:dyDescent="0.25">
      <c r="A124" s="128" t="str">
        <f>A$16</f>
        <v>lot2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9" x14ac:dyDescent="0.25">
      <c r="A125" s="128" t="str">
        <f>A$17</f>
        <v>lot3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</row>
    <row r="126" spans="1:29" x14ac:dyDescent="0.25">
      <c r="A126" s="127" t="str">
        <f>A$18</f>
        <v>lot4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9" x14ac:dyDescent="0.25">
      <c r="A127" s="128" t="str">
        <f>A$19</f>
        <v>lot5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9" x14ac:dyDescent="0.25">
      <c r="A128" s="127" t="str">
        <f>A$20</f>
        <v>lot6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31" x14ac:dyDescent="0.25">
      <c r="A129" s="128" t="str">
        <f>A$21</f>
        <v>lot7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</row>
    <row r="130" spans="1:31" x14ac:dyDescent="0.25">
      <c r="A130" s="128" t="str">
        <f>A$22</f>
        <v>lot8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31" x14ac:dyDescent="0.25">
      <c r="A131" s="127" t="str">
        <f>A$23</f>
        <v>lot9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31" x14ac:dyDescent="0.25">
      <c r="A132" s="128" t="str">
        <f>A$24</f>
        <v>lot10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31" s="5" customFormat="1" x14ac:dyDescent="0.25"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AE133" s="86"/>
    </row>
    <row r="134" spans="1:31" s="5" customFormat="1" x14ac:dyDescent="0.25"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AE134" s="86"/>
    </row>
    <row r="135" spans="1:31" x14ac:dyDescent="0.25">
      <c r="A135" s="2" t="s">
        <v>15</v>
      </c>
    </row>
    <row r="136" spans="1:31" x14ac:dyDescent="0.25">
      <c r="A136" s="127" t="str">
        <f>A$15</f>
        <v>lot1</v>
      </c>
      <c r="B136" s="61">
        <f>B110*(1-B123)</f>
        <v>0</v>
      </c>
      <c r="C136" s="61">
        <f t="shared" ref="C136:Y136" si="32">C110*(1-C123)</f>
        <v>0</v>
      </c>
      <c r="D136" s="61">
        <f t="shared" si="32"/>
        <v>0</v>
      </c>
      <c r="E136" s="61">
        <f t="shared" si="32"/>
        <v>0</v>
      </c>
      <c r="F136" s="61">
        <f t="shared" si="32"/>
        <v>0</v>
      </c>
      <c r="G136" s="61">
        <f t="shared" si="32"/>
        <v>0</v>
      </c>
      <c r="H136" s="61">
        <f t="shared" si="32"/>
        <v>0</v>
      </c>
      <c r="I136" s="61">
        <f t="shared" si="32"/>
        <v>0</v>
      </c>
      <c r="J136" s="61">
        <f t="shared" si="32"/>
        <v>0</v>
      </c>
      <c r="K136" s="61">
        <f t="shared" si="32"/>
        <v>0</v>
      </c>
      <c r="L136" s="61">
        <f t="shared" si="32"/>
        <v>0</v>
      </c>
      <c r="M136" s="61">
        <f t="shared" si="32"/>
        <v>0</v>
      </c>
      <c r="N136" s="61">
        <f t="shared" si="32"/>
        <v>0</v>
      </c>
      <c r="O136" s="61">
        <f t="shared" si="32"/>
        <v>0</v>
      </c>
      <c r="P136" s="61">
        <f t="shared" si="32"/>
        <v>0</v>
      </c>
      <c r="Q136" s="61">
        <f t="shared" si="32"/>
        <v>0</v>
      </c>
      <c r="R136" s="61">
        <f t="shared" si="32"/>
        <v>0</v>
      </c>
      <c r="S136" s="61">
        <f t="shared" si="32"/>
        <v>0</v>
      </c>
      <c r="T136" s="61">
        <f t="shared" si="32"/>
        <v>0</v>
      </c>
      <c r="U136" s="61">
        <f t="shared" si="32"/>
        <v>0</v>
      </c>
      <c r="V136" s="61">
        <f t="shared" si="32"/>
        <v>0</v>
      </c>
      <c r="W136" s="61">
        <f t="shared" si="32"/>
        <v>0</v>
      </c>
      <c r="X136" s="61">
        <f t="shared" si="32"/>
        <v>0</v>
      </c>
      <c r="Y136" s="61">
        <f t="shared" si="32"/>
        <v>0</v>
      </c>
      <c r="AA136" s="61">
        <f>SUM(B136:Y136)</f>
        <v>0</v>
      </c>
    </row>
    <row r="137" spans="1:31" x14ac:dyDescent="0.25">
      <c r="A137" s="128" t="str">
        <f>A$16</f>
        <v>lot2</v>
      </c>
      <c r="B137" s="61">
        <f t="shared" ref="B137:Y144" si="33">B111*(1-B124)</f>
        <v>0</v>
      </c>
      <c r="C137" s="61">
        <f t="shared" si="33"/>
        <v>0</v>
      </c>
      <c r="D137" s="61">
        <f t="shared" si="33"/>
        <v>0</v>
      </c>
      <c r="E137" s="61">
        <f t="shared" si="33"/>
        <v>0</v>
      </c>
      <c r="F137" s="61">
        <f t="shared" si="33"/>
        <v>0</v>
      </c>
      <c r="G137" s="61">
        <f t="shared" si="33"/>
        <v>0</v>
      </c>
      <c r="H137" s="61">
        <f t="shared" si="33"/>
        <v>0</v>
      </c>
      <c r="I137" s="61">
        <f t="shared" si="33"/>
        <v>0</v>
      </c>
      <c r="J137" s="61">
        <f t="shared" si="33"/>
        <v>0</v>
      </c>
      <c r="K137" s="61">
        <f t="shared" si="33"/>
        <v>0</v>
      </c>
      <c r="L137" s="61">
        <f t="shared" si="33"/>
        <v>0</v>
      </c>
      <c r="M137" s="61">
        <f t="shared" si="33"/>
        <v>0</v>
      </c>
      <c r="N137" s="61">
        <f t="shared" si="33"/>
        <v>0</v>
      </c>
      <c r="O137" s="61">
        <f t="shared" si="33"/>
        <v>0</v>
      </c>
      <c r="P137" s="61">
        <f t="shared" si="33"/>
        <v>0</v>
      </c>
      <c r="Q137" s="61">
        <f t="shared" si="33"/>
        <v>0</v>
      </c>
      <c r="R137" s="61">
        <f t="shared" si="33"/>
        <v>0</v>
      </c>
      <c r="S137" s="61">
        <f t="shared" si="33"/>
        <v>0</v>
      </c>
      <c r="T137" s="61">
        <f t="shared" si="33"/>
        <v>0</v>
      </c>
      <c r="U137" s="61">
        <f t="shared" si="33"/>
        <v>0</v>
      </c>
      <c r="V137" s="61">
        <f t="shared" si="33"/>
        <v>0</v>
      </c>
      <c r="W137" s="61">
        <f t="shared" si="33"/>
        <v>0</v>
      </c>
      <c r="X137" s="61">
        <f t="shared" si="33"/>
        <v>0</v>
      </c>
      <c r="Y137" s="61">
        <f t="shared" si="33"/>
        <v>0</v>
      </c>
      <c r="AA137" s="61">
        <f>SUM(B137:Y137)</f>
        <v>0</v>
      </c>
    </row>
    <row r="138" spans="1:31" x14ac:dyDescent="0.25">
      <c r="A138" s="128" t="str">
        <f>A$17</f>
        <v>lot3</v>
      </c>
      <c r="B138" s="61">
        <f t="shared" si="33"/>
        <v>0</v>
      </c>
      <c r="C138" s="61">
        <f t="shared" si="33"/>
        <v>0</v>
      </c>
      <c r="D138" s="61">
        <f t="shared" si="33"/>
        <v>0</v>
      </c>
      <c r="E138" s="61">
        <f t="shared" si="33"/>
        <v>0</v>
      </c>
      <c r="F138" s="61">
        <f t="shared" si="33"/>
        <v>0</v>
      </c>
      <c r="G138" s="61">
        <f t="shared" si="33"/>
        <v>0</v>
      </c>
      <c r="H138" s="61">
        <f t="shared" si="33"/>
        <v>0</v>
      </c>
      <c r="I138" s="61">
        <f t="shared" si="33"/>
        <v>0</v>
      </c>
      <c r="J138" s="61">
        <f t="shared" si="33"/>
        <v>0</v>
      </c>
      <c r="K138" s="61">
        <f t="shared" si="33"/>
        <v>0</v>
      </c>
      <c r="L138" s="61">
        <f t="shared" si="33"/>
        <v>0</v>
      </c>
      <c r="M138" s="61">
        <f t="shared" si="33"/>
        <v>0</v>
      </c>
      <c r="N138" s="61">
        <f t="shared" si="33"/>
        <v>0</v>
      </c>
      <c r="O138" s="61">
        <f t="shared" si="33"/>
        <v>0</v>
      </c>
      <c r="P138" s="61">
        <f t="shared" si="33"/>
        <v>0</v>
      </c>
      <c r="Q138" s="61">
        <f t="shared" si="33"/>
        <v>0</v>
      </c>
      <c r="R138" s="61">
        <f t="shared" si="33"/>
        <v>0</v>
      </c>
      <c r="S138" s="61">
        <f t="shared" si="33"/>
        <v>0</v>
      </c>
      <c r="T138" s="61">
        <f t="shared" si="33"/>
        <v>0</v>
      </c>
      <c r="U138" s="61">
        <f t="shared" si="33"/>
        <v>0</v>
      </c>
      <c r="V138" s="61">
        <f t="shared" si="33"/>
        <v>0</v>
      </c>
      <c r="W138" s="61">
        <f t="shared" si="33"/>
        <v>0</v>
      </c>
      <c r="X138" s="61">
        <f t="shared" si="33"/>
        <v>0</v>
      </c>
      <c r="Y138" s="61">
        <f t="shared" si="33"/>
        <v>0</v>
      </c>
      <c r="AA138" s="61">
        <f t="shared" ref="AA138:AA144" si="34">SUM(B138:Y138)</f>
        <v>0</v>
      </c>
    </row>
    <row r="139" spans="1:31" x14ac:dyDescent="0.25">
      <c r="A139" s="127" t="str">
        <f>A$18</f>
        <v>lot4</v>
      </c>
      <c r="B139" s="61">
        <f t="shared" si="33"/>
        <v>0</v>
      </c>
      <c r="C139" s="61">
        <f t="shared" si="33"/>
        <v>0</v>
      </c>
      <c r="D139" s="61">
        <f t="shared" si="33"/>
        <v>0</v>
      </c>
      <c r="E139" s="61">
        <f t="shared" si="33"/>
        <v>0</v>
      </c>
      <c r="F139" s="61">
        <f t="shared" si="33"/>
        <v>0</v>
      </c>
      <c r="G139" s="61">
        <f t="shared" si="33"/>
        <v>0</v>
      </c>
      <c r="H139" s="61">
        <f t="shared" si="33"/>
        <v>0</v>
      </c>
      <c r="I139" s="61">
        <f t="shared" si="33"/>
        <v>0</v>
      </c>
      <c r="J139" s="61">
        <f t="shared" si="33"/>
        <v>0</v>
      </c>
      <c r="K139" s="61">
        <f t="shared" si="33"/>
        <v>0</v>
      </c>
      <c r="L139" s="61">
        <f t="shared" si="33"/>
        <v>0</v>
      </c>
      <c r="M139" s="61">
        <f t="shared" si="33"/>
        <v>0</v>
      </c>
      <c r="N139" s="61">
        <f t="shared" si="33"/>
        <v>0</v>
      </c>
      <c r="O139" s="61">
        <f t="shared" si="33"/>
        <v>0</v>
      </c>
      <c r="P139" s="61">
        <f t="shared" si="33"/>
        <v>0</v>
      </c>
      <c r="Q139" s="61">
        <f t="shared" si="33"/>
        <v>0</v>
      </c>
      <c r="R139" s="61">
        <f t="shared" si="33"/>
        <v>0</v>
      </c>
      <c r="S139" s="61">
        <f t="shared" si="33"/>
        <v>0</v>
      </c>
      <c r="T139" s="61">
        <f t="shared" si="33"/>
        <v>0</v>
      </c>
      <c r="U139" s="61">
        <f t="shared" si="33"/>
        <v>0</v>
      </c>
      <c r="V139" s="61">
        <f t="shared" si="33"/>
        <v>0</v>
      </c>
      <c r="W139" s="61">
        <f t="shared" si="33"/>
        <v>0</v>
      </c>
      <c r="X139" s="61">
        <f t="shared" si="33"/>
        <v>0</v>
      </c>
      <c r="Y139" s="61">
        <f t="shared" si="33"/>
        <v>0</v>
      </c>
      <c r="AA139" s="61">
        <f t="shared" si="34"/>
        <v>0</v>
      </c>
    </row>
    <row r="140" spans="1:31" x14ac:dyDescent="0.25">
      <c r="A140" s="128" t="str">
        <f>A$19</f>
        <v>lot5</v>
      </c>
      <c r="B140" s="61">
        <f t="shared" si="33"/>
        <v>0</v>
      </c>
      <c r="C140" s="61">
        <f t="shared" si="33"/>
        <v>0</v>
      </c>
      <c r="D140" s="61">
        <f t="shared" si="33"/>
        <v>0</v>
      </c>
      <c r="E140" s="61">
        <f t="shared" si="33"/>
        <v>0</v>
      </c>
      <c r="F140" s="61">
        <f t="shared" si="33"/>
        <v>0</v>
      </c>
      <c r="G140" s="61">
        <f t="shared" si="33"/>
        <v>0</v>
      </c>
      <c r="H140" s="61">
        <f t="shared" si="33"/>
        <v>0</v>
      </c>
      <c r="I140" s="61">
        <f t="shared" si="33"/>
        <v>0</v>
      </c>
      <c r="J140" s="61">
        <f t="shared" si="33"/>
        <v>0</v>
      </c>
      <c r="K140" s="61">
        <f t="shared" si="33"/>
        <v>0</v>
      </c>
      <c r="L140" s="61">
        <f t="shared" si="33"/>
        <v>0</v>
      </c>
      <c r="M140" s="61">
        <f t="shared" si="33"/>
        <v>0</v>
      </c>
      <c r="N140" s="61">
        <f t="shared" si="33"/>
        <v>0</v>
      </c>
      <c r="O140" s="61">
        <f t="shared" si="33"/>
        <v>0</v>
      </c>
      <c r="P140" s="61">
        <f t="shared" si="33"/>
        <v>0</v>
      </c>
      <c r="Q140" s="61">
        <f t="shared" si="33"/>
        <v>0</v>
      </c>
      <c r="R140" s="61">
        <f t="shared" si="33"/>
        <v>0</v>
      </c>
      <c r="S140" s="61">
        <f t="shared" si="33"/>
        <v>0</v>
      </c>
      <c r="T140" s="61">
        <f t="shared" si="33"/>
        <v>0</v>
      </c>
      <c r="U140" s="61">
        <f t="shared" si="33"/>
        <v>0</v>
      </c>
      <c r="V140" s="61">
        <f t="shared" si="33"/>
        <v>0</v>
      </c>
      <c r="W140" s="61">
        <f t="shared" si="33"/>
        <v>0</v>
      </c>
      <c r="X140" s="61">
        <f t="shared" si="33"/>
        <v>0</v>
      </c>
      <c r="Y140" s="61">
        <f t="shared" si="33"/>
        <v>0</v>
      </c>
      <c r="AA140" s="61">
        <f t="shared" si="34"/>
        <v>0</v>
      </c>
    </row>
    <row r="141" spans="1:31" x14ac:dyDescent="0.25">
      <c r="A141" s="127" t="str">
        <f>A$20</f>
        <v>lot6</v>
      </c>
      <c r="B141" s="61">
        <f t="shared" si="33"/>
        <v>0</v>
      </c>
      <c r="C141" s="61">
        <f t="shared" si="33"/>
        <v>0</v>
      </c>
      <c r="D141" s="61">
        <f t="shared" si="33"/>
        <v>0</v>
      </c>
      <c r="E141" s="61">
        <f t="shared" si="33"/>
        <v>0</v>
      </c>
      <c r="F141" s="61">
        <f t="shared" si="33"/>
        <v>0</v>
      </c>
      <c r="G141" s="61">
        <f t="shared" si="33"/>
        <v>0</v>
      </c>
      <c r="H141" s="61">
        <f t="shared" si="33"/>
        <v>0</v>
      </c>
      <c r="I141" s="61">
        <f t="shared" si="33"/>
        <v>0</v>
      </c>
      <c r="J141" s="61">
        <f t="shared" si="33"/>
        <v>0</v>
      </c>
      <c r="K141" s="61">
        <f t="shared" si="33"/>
        <v>0</v>
      </c>
      <c r="L141" s="61">
        <f t="shared" si="33"/>
        <v>0</v>
      </c>
      <c r="M141" s="61">
        <f t="shared" si="33"/>
        <v>0</v>
      </c>
      <c r="N141" s="61">
        <f t="shared" si="33"/>
        <v>0</v>
      </c>
      <c r="O141" s="61">
        <f t="shared" si="33"/>
        <v>0</v>
      </c>
      <c r="P141" s="61">
        <f t="shared" si="33"/>
        <v>0</v>
      </c>
      <c r="Q141" s="61">
        <f t="shared" si="33"/>
        <v>0</v>
      </c>
      <c r="R141" s="61">
        <f t="shared" si="33"/>
        <v>0</v>
      </c>
      <c r="S141" s="61">
        <f t="shared" si="33"/>
        <v>0</v>
      </c>
      <c r="T141" s="61">
        <f t="shared" si="33"/>
        <v>0</v>
      </c>
      <c r="U141" s="61">
        <f t="shared" si="33"/>
        <v>0</v>
      </c>
      <c r="V141" s="61">
        <f t="shared" si="33"/>
        <v>0</v>
      </c>
      <c r="W141" s="61">
        <f t="shared" si="33"/>
        <v>0</v>
      </c>
      <c r="X141" s="61">
        <f t="shared" si="33"/>
        <v>0</v>
      </c>
      <c r="Y141" s="61">
        <f t="shared" si="33"/>
        <v>0</v>
      </c>
      <c r="AA141" s="61">
        <f t="shared" si="34"/>
        <v>0</v>
      </c>
    </row>
    <row r="142" spans="1:31" x14ac:dyDescent="0.25">
      <c r="A142" s="128" t="str">
        <f>A$21</f>
        <v>lot7</v>
      </c>
      <c r="B142" s="61">
        <f t="shared" si="33"/>
        <v>0</v>
      </c>
      <c r="C142" s="61">
        <f t="shared" si="33"/>
        <v>0</v>
      </c>
      <c r="D142" s="61">
        <f t="shared" si="33"/>
        <v>0</v>
      </c>
      <c r="E142" s="61">
        <f t="shared" si="33"/>
        <v>0</v>
      </c>
      <c r="F142" s="61">
        <f t="shared" si="33"/>
        <v>0</v>
      </c>
      <c r="G142" s="61">
        <f t="shared" si="33"/>
        <v>0</v>
      </c>
      <c r="H142" s="61">
        <f t="shared" si="33"/>
        <v>0</v>
      </c>
      <c r="I142" s="61">
        <f t="shared" si="33"/>
        <v>0</v>
      </c>
      <c r="J142" s="61">
        <f t="shared" si="33"/>
        <v>0</v>
      </c>
      <c r="K142" s="61">
        <f t="shared" si="33"/>
        <v>0</v>
      </c>
      <c r="L142" s="61">
        <f t="shared" si="33"/>
        <v>0</v>
      </c>
      <c r="M142" s="61">
        <f t="shared" si="33"/>
        <v>0</v>
      </c>
      <c r="N142" s="61">
        <f t="shared" si="33"/>
        <v>0</v>
      </c>
      <c r="O142" s="61">
        <f t="shared" si="33"/>
        <v>0</v>
      </c>
      <c r="P142" s="61">
        <f t="shared" si="33"/>
        <v>0</v>
      </c>
      <c r="Q142" s="61">
        <f t="shared" si="33"/>
        <v>0</v>
      </c>
      <c r="R142" s="61">
        <f t="shared" si="33"/>
        <v>0</v>
      </c>
      <c r="S142" s="61">
        <f t="shared" si="33"/>
        <v>0</v>
      </c>
      <c r="T142" s="61">
        <f t="shared" si="33"/>
        <v>0</v>
      </c>
      <c r="U142" s="61">
        <f t="shared" si="33"/>
        <v>0</v>
      </c>
      <c r="V142" s="61">
        <f t="shared" si="33"/>
        <v>0</v>
      </c>
      <c r="W142" s="61">
        <f t="shared" si="33"/>
        <v>0</v>
      </c>
      <c r="X142" s="61">
        <f t="shared" si="33"/>
        <v>0</v>
      </c>
      <c r="Y142" s="61">
        <f t="shared" si="33"/>
        <v>0</v>
      </c>
      <c r="AA142" s="61">
        <f t="shared" si="34"/>
        <v>0</v>
      </c>
    </row>
    <row r="143" spans="1:31" x14ac:dyDescent="0.25">
      <c r="A143" s="128" t="str">
        <f>A$22</f>
        <v>lot8</v>
      </c>
      <c r="B143" s="61">
        <f t="shared" si="33"/>
        <v>0</v>
      </c>
      <c r="C143" s="61">
        <f t="shared" si="33"/>
        <v>0</v>
      </c>
      <c r="D143" s="61">
        <f t="shared" si="33"/>
        <v>0</v>
      </c>
      <c r="E143" s="61">
        <f t="shared" si="33"/>
        <v>0</v>
      </c>
      <c r="F143" s="61">
        <f t="shared" si="33"/>
        <v>0</v>
      </c>
      <c r="G143" s="61">
        <f t="shared" si="33"/>
        <v>0</v>
      </c>
      <c r="H143" s="61">
        <f t="shared" si="33"/>
        <v>0</v>
      </c>
      <c r="I143" s="61">
        <f t="shared" si="33"/>
        <v>0</v>
      </c>
      <c r="J143" s="61">
        <f t="shared" si="33"/>
        <v>0</v>
      </c>
      <c r="K143" s="61">
        <f t="shared" si="33"/>
        <v>0</v>
      </c>
      <c r="L143" s="61">
        <f t="shared" si="33"/>
        <v>0</v>
      </c>
      <c r="M143" s="61">
        <f t="shared" si="33"/>
        <v>0</v>
      </c>
      <c r="N143" s="61">
        <f t="shared" si="33"/>
        <v>0</v>
      </c>
      <c r="O143" s="61">
        <f t="shared" si="33"/>
        <v>0</v>
      </c>
      <c r="P143" s="61">
        <f t="shared" si="33"/>
        <v>0</v>
      </c>
      <c r="Q143" s="61">
        <f t="shared" si="33"/>
        <v>0</v>
      </c>
      <c r="R143" s="61">
        <f t="shared" si="33"/>
        <v>0</v>
      </c>
      <c r="S143" s="61">
        <f t="shared" si="33"/>
        <v>0</v>
      </c>
      <c r="T143" s="61">
        <f t="shared" si="33"/>
        <v>0</v>
      </c>
      <c r="U143" s="61">
        <f t="shared" si="33"/>
        <v>0</v>
      </c>
      <c r="V143" s="61">
        <f t="shared" si="33"/>
        <v>0</v>
      </c>
      <c r="W143" s="61">
        <f t="shared" si="33"/>
        <v>0</v>
      </c>
      <c r="X143" s="61">
        <f t="shared" si="33"/>
        <v>0</v>
      </c>
      <c r="Y143" s="61">
        <f t="shared" si="33"/>
        <v>0</v>
      </c>
      <c r="AA143" s="61">
        <f t="shared" si="34"/>
        <v>0</v>
      </c>
    </row>
    <row r="144" spans="1:31" x14ac:dyDescent="0.25">
      <c r="A144" s="127" t="str">
        <f>A$23</f>
        <v>lot9</v>
      </c>
      <c r="B144" s="61">
        <f>B118*(1-B131)</f>
        <v>0</v>
      </c>
      <c r="C144" s="61">
        <f t="shared" si="33"/>
        <v>0</v>
      </c>
      <c r="D144" s="61">
        <f t="shared" si="33"/>
        <v>0</v>
      </c>
      <c r="E144" s="61">
        <f t="shared" si="33"/>
        <v>0</v>
      </c>
      <c r="F144" s="61">
        <f t="shared" si="33"/>
        <v>0</v>
      </c>
      <c r="G144" s="61">
        <f t="shared" si="33"/>
        <v>0</v>
      </c>
      <c r="H144" s="61">
        <f t="shared" si="33"/>
        <v>0</v>
      </c>
      <c r="I144" s="61">
        <f t="shared" si="33"/>
        <v>0</v>
      </c>
      <c r="J144" s="61">
        <f t="shared" si="33"/>
        <v>0</v>
      </c>
      <c r="K144" s="61">
        <f t="shared" si="33"/>
        <v>0</v>
      </c>
      <c r="L144" s="61">
        <f t="shared" si="33"/>
        <v>0</v>
      </c>
      <c r="M144" s="61">
        <f t="shared" si="33"/>
        <v>0</v>
      </c>
      <c r="N144" s="61">
        <f t="shared" si="33"/>
        <v>0</v>
      </c>
      <c r="O144" s="61">
        <f t="shared" si="33"/>
        <v>0</v>
      </c>
      <c r="P144" s="61">
        <f t="shared" si="33"/>
        <v>0</v>
      </c>
      <c r="Q144" s="61">
        <f t="shared" si="33"/>
        <v>0</v>
      </c>
      <c r="R144" s="61">
        <f t="shared" si="33"/>
        <v>0</v>
      </c>
      <c r="S144" s="61">
        <f t="shared" si="33"/>
        <v>0</v>
      </c>
      <c r="T144" s="61">
        <f t="shared" si="33"/>
        <v>0</v>
      </c>
      <c r="U144" s="61">
        <f t="shared" si="33"/>
        <v>0</v>
      </c>
      <c r="V144" s="61">
        <f t="shared" si="33"/>
        <v>0</v>
      </c>
      <c r="W144" s="61">
        <f t="shared" si="33"/>
        <v>0</v>
      </c>
      <c r="X144" s="61">
        <f t="shared" si="33"/>
        <v>0</v>
      </c>
      <c r="Y144" s="61">
        <f>Y118*(1-Y131)</f>
        <v>0</v>
      </c>
      <c r="AA144" s="61">
        <f t="shared" si="34"/>
        <v>0</v>
      </c>
    </row>
    <row r="145" spans="1:28" x14ac:dyDescent="0.25">
      <c r="A145" s="128" t="str">
        <f>A$24</f>
        <v>lot10</v>
      </c>
      <c r="B145" s="61">
        <f t="shared" ref="B145:Y145" si="35">B119*(1-B132)</f>
        <v>0</v>
      </c>
      <c r="C145" s="61">
        <f t="shared" si="35"/>
        <v>0</v>
      </c>
      <c r="D145" s="61">
        <f t="shared" si="35"/>
        <v>0</v>
      </c>
      <c r="E145" s="61">
        <f t="shared" si="35"/>
        <v>0</v>
      </c>
      <c r="F145" s="61">
        <f t="shared" si="35"/>
        <v>0</v>
      </c>
      <c r="G145" s="61">
        <f t="shared" si="35"/>
        <v>0</v>
      </c>
      <c r="H145" s="61">
        <f t="shared" si="35"/>
        <v>0</v>
      </c>
      <c r="I145" s="61">
        <f t="shared" si="35"/>
        <v>0</v>
      </c>
      <c r="J145" s="61">
        <f t="shared" si="35"/>
        <v>0</v>
      </c>
      <c r="K145" s="61">
        <f t="shared" si="35"/>
        <v>0</v>
      </c>
      <c r="L145" s="61">
        <f t="shared" si="35"/>
        <v>0</v>
      </c>
      <c r="M145" s="61">
        <f t="shared" si="35"/>
        <v>0</v>
      </c>
      <c r="N145" s="61">
        <f t="shared" si="35"/>
        <v>0</v>
      </c>
      <c r="O145" s="61">
        <f t="shared" si="35"/>
        <v>0</v>
      </c>
      <c r="P145" s="61">
        <f t="shared" si="35"/>
        <v>0</v>
      </c>
      <c r="Q145" s="61">
        <f t="shared" si="35"/>
        <v>0</v>
      </c>
      <c r="R145" s="61">
        <f t="shared" si="35"/>
        <v>0</v>
      </c>
      <c r="S145" s="61">
        <f t="shared" si="35"/>
        <v>0</v>
      </c>
      <c r="T145" s="61">
        <f t="shared" si="35"/>
        <v>0</v>
      </c>
      <c r="U145" s="61">
        <f t="shared" si="35"/>
        <v>0</v>
      </c>
      <c r="V145" s="61">
        <f t="shared" si="35"/>
        <v>0</v>
      </c>
      <c r="W145" s="61">
        <f t="shared" si="35"/>
        <v>0</v>
      </c>
      <c r="X145" s="61">
        <f t="shared" si="35"/>
        <v>0</v>
      </c>
      <c r="Y145" s="61">
        <f t="shared" si="35"/>
        <v>0</v>
      </c>
      <c r="AA145" s="61">
        <f>SUM(B145:Y145)</f>
        <v>0</v>
      </c>
    </row>
    <row r="146" spans="1:28" x14ac:dyDescent="0.25">
      <c r="A146" s="81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AA146" s="90">
        <f>SUM(AA136:AA145)</f>
        <v>0</v>
      </c>
      <c r="AB146" t="s">
        <v>283</v>
      </c>
    </row>
    <row r="147" spans="1:28" x14ac:dyDescent="0.25">
      <c r="A147" s="81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AA147" s="90">
        <f>AA146*(1+AF11/100)</f>
        <v>0</v>
      </c>
      <c r="AB147" t="s">
        <v>298</v>
      </c>
    </row>
    <row r="148" spans="1:28" x14ac:dyDescent="0.25">
      <c r="A148" s="2" t="s">
        <v>208</v>
      </c>
    </row>
    <row r="149" spans="1:28" x14ac:dyDescent="0.25">
      <c r="A149" s="127" t="str">
        <f>A$15</f>
        <v>lot1</v>
      </c>
      <c r="B149" s="61">
        <f t="shared" ref="B149:Y149" si="36">B110-B136</f>
        <v>0</v>
      </c>
      <c r="C149" s="61">
        <f t="shared" si="36"/>
        <v>0</v>
      </c>
      <c r="D149" s="61">
        <f t="shared" si="36"/>
        <v>0</v>
      </c>
      <c r="E149" s="61">
        <f t="shared" si="36"/>
        <v>0</v>
      </c>
      <c r="F149" s="61">
        <f t="shared" si="36"/>
        <v>0</v>
      </c>
      <c r="G149" s="61">
        <f t="shared" si="36"/>
        <v>0</v>
      </c>
      <c r="H149" s="61">
        <f t="shared" si="36"/>
        <v>0</v>
      </c>
      <c r="I149" s="61">
        <f t="shared" si="36"/>
        <v>0</v>
      </c>
      <c r="J149" s="61">
        <f t="shared" si="36"/>
        <v>0</v>
      </c>
      <c r="K149" s="61">
        <f t="shared" si="36"/>
        <v>0</v>
      </c>
      <c r="L149" s="61">
        <f t="shared" si="36"/>
        <v>0</v>
      </c>
      <c r="M149" s="61">
        <f t="shared" si="36"/>
        <v>0</v>
      </c>
      <c r="N149" s="61">
        <f t="shared" si="36"/>
        <v>0</v>
      </c>
      <c r="O149" s="61">
        <f t="shared" si="36"/>
        <v>0</v>
      </c>
      <c r="P149" s="61">
        <f t="shared" si="36"/>
        <v>0</v>
      </c>
      <c r="Q149" s="61">
        <f t="shared" si="36"/>
        <v>0</v>
      </c>
      <c r="R149" s="61">
        <f t="shared" si="36"/>
        <v>0</v>
      </c>
      <c r="S149" s="61">
        <f t="shared" si="36"/>
        <v>0</v>
      </c>
      <c r="T149" s="61">
        <f t="shared" si="36"/>
        <v>0</v>
      </c>
      <c r="U149" s="61">
        <f t="shared" si="36"/>
        <v>0</v>
      </c>
      <c r="V149" s="61">
        <f t="shared" si="36"/>
        <v>0</v>
      </c>
      <c r="W149" s="61">
        <f t="shared" si="36"/>
        <v>0</v>
      </c>
      <c r="X149" s="61">
        <f t="shared" si="36"/>
        <v>0</v>
      </c>
      <c r="Y149" s="61">
        <f t="shared" si="36"/>
        <v>0</v>
      </c>
    </row>
    <row r="150" spans="1:28" x14ac:dyDescent="0.25">
      <c r="A150" s="128" t="str">
        <f>A$16</f>
        <v>lot2</v>
      </c>
      <c r="B150" s="61">
        <f t="shared" ref="B150:Y150" si="37">B111-B137</f>
        <v>0</v>
      </c>
      <c r="C150" s="61">
        <f t="shared" si="37"/>
        <v>0</v>
      </c>
      <c r="D150" s="61">
        <f t="shared" si="37"/>
        <v>0</v>
      </c>
      <c r="E150" s="61">
        <f t="shared" si="37"/>
        <v>0</v>
      </c>
      <c r="F150" s="61">
        <f t="shared" si="37"/>
        <v>0</v>
      </c>
      <c r="G150" s="61">
        <f t="shared" si="37"/>
        <v>0</v>
      </c>
      <c r="H150" s="61">
        <f t="shared" si="37"/>
        <v>0</v>
      </c>
      <c r="I150" s="61">
        <f t="shared" si="37"/>
        <v>0</v>
      </c>
      <c r="J150" s="61">
        <f t="shared" si="37"/>
        <v>0</v>
      </c>
      <c r="K150" s="61">
        <f t="shared" si="37"/>
        <v>0</v>
      </c>
      <c r="L150" s="61">
        <f t="shared" si="37"/>
        <v>0</v>
      </c>
      <c r="M150" s="61">
        <f t="shared" si="37"/>
        <v>0</v>
      </c>
      <c r="N150" s="61">
        <f t="shared" si="37"/>
        <v>0</v>
      </c>
      <c r="O150" s="61">
        <f t="shared" si="37"/>
        <v>0</v>
      </c>
      <c r="P150" s="61">
        <f t="shared" si="37"/>
        <v>0</v>
      </c>
      <c r="Q150" s="61">
        <f t="shared" si="37"/>
        <v>0</v>
      </c>
      <c r="R150" s="61">
        <f t="shared" si="37"/>
        <v>0</v>
      </c>
      <c r="S150" s="61">
        <f t="shared" si="37"/>
        <v>0</v>
      </c>
      <c r="T150" s="61">
        <f t="shared" si="37"/>
        <v>0</v>
      </c>
      <c r="U150" s="61">
        <f t="shared" si="37"/>
        <v>0</v>
      </c>
      <c r="V150" s="61">
        <f t="shared" si="37"/>
        <v>0</v>
      </c>
      <c r="W150" s="61">
        <f t="shared" si="37"/>
        <v>0</v>
      </c>
      <c r="X150" s="61">
        <f t="shared" si="37"/>
        <v>0</v>
      </c>
      <c r="Y150" s="61">
        <f t="shared" si="37"/>
        <v>0</v>
      </c>
    </row>
    <row r="151" spans="1:28" x14ac:dyDescent="0.25">
      <c r="A151" s="128" t="str">
        <f>A$17</f>
        <v>lot3</v>
      </c>
      <c r="B151" s="61">
        <f t="shared" ref="B151:Y151" si="38">B112-B138</f>
        <v>0</v>
      </c>
      <c r="C151" s="61">
        <f t="shared" si="38"/>
        <v>0</v>
      </c>
      <c r="D151" s="61">
        <f t="shared" si="38"/>
        <v>0</v>
      </c>
      <c r="E151" s="61">
        <f t="shared" si="38"/>
        <v>0</v>
      </c>
      <c r="F151" s="61">
        <f t="shared" si="38"/>
        <v>0</v>
      </c>
      <c r="G151" s="61">
        <f t="shared" si="38"/>
        <v>0</v>
      </c>
      <c r="H151" s="61">
        <f t="shared" si="38"/>
        <v>0</v>
      </c>
      <c r="I151" s="61">
        <f t="shared" si="38"/>
        <v>0</v>
      </c>
      <c r="J151" s="61">
        <f t="shared" si="38"/>
        <v>0</v>
      </c>
      <c r="K151" s="61">
        <f t="shared" si="38"/>
        <v>0</v>
      </c>
      <c r="L151" s="61">
        <f t="shared" si="38"/>
        <v>0</v>
      </c>
      <c r="M151" s="61">
        <f t="shared" si="38"/>
        <v>0</v>
      </c>
      <c r="N151" s="61">
        <f t="shared" si="38"/>
        <v>0</v>
      </c>
      <c r="O151" s="61">
        <f t="shared" si="38"/>
        <v>0</v>
      </c>
      <c r="P151" s="61">
        <f t="shared" si="38"/>
        <v>0</v>
      </c>
      <c r="Q151" s="61">
        <f t="shared" si="38"/>
        <v>0</v>
      </c>
      <c r="R151" s="61">
        <f t="shared" si="38"/>
        <v>0</v>
      </c>
      <c r="S151" s="61">
        <f t="shared" si="38"/>
        <v>0</v>
      </c>
      <c r="T151" s="61">
        <f t="shared" si="38"/>
        <v>0</v>
      </c>
      <c r="U151" s="61">
        <f t="shared" si="38"/>
        <v>0</v>
      </c>
      <c r="V151" s="61">
        <f t="shared" si="38"/>
        <v>0</v>
      </c>
      <c r="W151" s="61">
        <f t="shared" si="38"/>
        <v>0</v>
      </c>
      <c r="X151" s="61">
        <f t="shared" si="38"/>
        <v>0</v>
      </c>
      <c r="Y151" s="61">
        <f t="shared" si="38"/>
        <v>0</v>
      </c>
    </row>
    <row r="152" spans="1:28" x14ac:dyDescent="0.25">
      <c r="A152" s="127" t="str">
        <f>A$18</f>
        <v>lot4</v>
      </c>
      <c r="B152" s="61">
        <f t="shared" ref="B152:Y152" si="39">B113-B139</f>
        <v>0</v>
      </c>
      <c r="C152" s="61">
        <f t="shared" si="39"/>
        <v>0</v>
      </c>
      <c r="D152" s="61">
        <f t="shared" si="39"/>
        <v>0</v>
      </c>
      <c r="E152" s="61">
        <f t="shared" si="39"/>
        <v>0</v>
      </c>
      <c r="F152" s="61">
        <f t="shared" si="39"/>
        <v>0</v>
      </c>
      <c r="G152" s="61">
        <f t="shared" si="39"/>
        <v>0</v>
      </c>
      <c r="H152" s="61">
        <f t="shared" si="39"/>
        <v>0</v>
      </c>
      <c r="I152" s="61">
        <f t="shared" si="39"/>
        <v>0</v>
      </c>
      <c r="J152" s="61">
        <f t="shared" si="39"/>
        <v>0</v>
      </c>
      <c r="K152" s="61">
        <f t="shared" si="39"/>
        <v>0</v>
      </c>
      <c r="L152" s="61">
        <f t="shared" si="39"/>
        <v>0</v>
      </c>
      <c r="M152" s="61">
        <f t="shared" si="39"/>
        <v>0</v>
      </c>
      <c r="N152" s="61">
        <f t="shared" si="39"/>
        <v>0</v>
      </c>
      <c r="O152" s="61">
        <f t="shared" si="39"/>
        <v>0</v>
      </c>
      <c r="P152" s="61">
        <f t="shared" si="39"/>
        <v>0</v>
      </c>
      <c r="Q152" s="61">
        <f t="shared" si="39"/>
        <v>0</v>
      </c>
      <c r="R152" s="61">
        <f t="shared" si="39"/>
        <v>0</v>
      </c>
      <c r="S152" s="61">
        <f t="shared" si="39"/>
        <v>0</v>
      </c>
      <c r="T152" s="61">
        <f t="shared" si="39"/>
        <v>0</v>
      </c>
      <c r="U152" s="61">
        <f t="shared" si="39"/>
        <v>0</v>
      </c>
      <c r="V152" s="61">
        <f t="shared" si="39"/>
        <v>0</v>
      </c>
      <c r="W152" s="61">
        <f t="shared" si="39"/>
        <v>0</v>
      </c>
      <c r="X152" s="61">
        <f t="shared" si="39"/>
        <v>0</v>
      </c>
      <c r="Y152" s="61">
        <f t="shared" si="39"/>
        <v>0</v>
      </c>
    </row>
    <row r="153" spans="1:28" x14ac:dyDescent="0.25">
      <c r="A153" s="128" t="str">
        <f>A$19</f>
        <v>lot5</v>
      </c>
      <c r="B153" s="61">
        <f t="shared" ref="B153:Y153" si="40">B114-B140</f>
        <v>0</v>
      </c>
      <c r="C153" s="61">
        <f t="shared" si="40"/>
        <v>0</v>
      </c>
      <c r="D153" s="61">
        <f t="shared" si="40"/>
        <v>0</v>
      </c>
      <c r="E153" s="61">
        <f t="shared" si="40"/>
        <v>0</v>
      </c>
      <c r="F153" s="61">
        <f t="shared" si="40"/>
        <v>0</v>
      </c>
      <c r="G153" s="61">
        <f t="shared" si="40"/>
        <v>0</v>
      </c>
      <c r="H153" s="61">
        <f t="shared" si="40"/>
        <v>0</v>
      </c>
      <c r="I153" s="61">
        <f t="shared" si="40"/>
        <v>0</v>
      </c>
      <c r="J153" s="61">
        <f t="shared" si="40"/>
        <v>0</v>
      </c>
      <c r="K153" s="61">
        <f t="shared" si="40"/>
        <v>0</v>
      </c>
      <c r="L153" s="61">
        <f t="shared" si="40"/>
        <v>0</v>
      </c>
      <c r="M153" s="61">
        <f t="shared" si="40"/>
        <v>0</v>
      </c>
      <c r="N153" s="61">
        <f t="shared" si="40"/>
        <v>0</v>
      </c>
      <c r="O153" s="61">
        <f t="shared" si="40"/>
        <v>0</v>
      </c>
      <c r="P153" s="61">
        <f t="shared" si="40"/>
        <v>0</v>
      </c>
      <c r="Q153" s="61">
        <f t="shared" si="40"/>
        <v>0</v>
      </c>
      <c r="R153" s="61">
        <f t="shared" si="40"/>
        <v>0</v>
      </c>
      <c r="S153" s="61">
        <f t="shared" si="40"/>
        <v>0</v>
      </c>
      <c r="T153" s="61">
        <f t="shared" si="40"/>
        <v>0</v>
      </c>
      <c r="U153" s="61">
        <f t="shared" si="40"/>
        <v>0</v>
      </c>
      <c r="V153" s="61">
        <f t="shared" si="40"/>
        <v>0</v>
      </c>
      <c r="W153" s="61">
        <f t="shared" si="40"/>
        <v>0</v>
      </c>
      <c r="X153" s="61">
        <f t="shared" si="40"/>
        <v>0</v>
      </c>
      <c r="Y153" s="61">
        <f t="shared" si="40"/>
        <v>0</v>
      </c>
    </row>
    <row r="154" spans="1:28" x14ac:dyDescent="0.25">
      <c r="A154" s="127" t="str">
        <f>A$20</f>
        <v>lot6</v>
      </c>
      <c r="B154" s="61">
        <f t="shared" ref="B154:Y154" si="41">B115-B141</f>
        <v>0</v>
      </c>
      <c r="C154" s="61">
        <f t="shared" si="41"/>
        <v>0</v>
      </c>
      <c r="D154" s="61">
        <f t="shared" si="41"/>
        <v>0</v>
      </c>
      <c r="E154" s="61">
        <f t="shared" si="41"/>
        <v>0</v>
      </c>
      <c r="F154" s="61">
        <f t="shared" si="41"/>
        <v>0</v>
      </c>
      <c r="G154" s="61">
        <f t="shared" si="41"/>
        <v>0</v>
      </c>
      <c r="H154" s="61">
        <f t="shared" si="41"/>
        <v>0</v>
      </c>
      <c r="I154" s="61">
        <f t="shared" si="41"/>
        <v>0</v>
      </c>
      <c r="J154" s="61">
        <f t="shared" si="41"/>
        <v>0</v>
      </c>
      <c r="K154" s="61">
        <f t="shared" si="41"/>
        <v>0</v>
      </c>
      <c r="L154" s="61">
        <f t="shared" si="41"/>
        <v>0</v>
      </c>
      <c r="M154" s="61">
        <f t="shared" si="41"/>
        <v>0</v>
      </c>
      <c r="N154" s="61">
        <f t="shared" si="41"/>
        <v>0</v>
      </c>
      <c r="O154" s="61">
        <f t="shared" si="41"/>
        <v>0</v>
      </c>
      <c r="P154" s="61">
        <f t="shared" si="41"/>
        <v>0</v>
      </c>
      <c r="Q154" s="61">
        <f t="shared" si="41"/>
        <v>0</v>
      </c>
      <c r="R154" s="61">
        <f t="shared" si="41"/>
        <v>0</v>
      </c>
      <c r="S154" s="61">
        <f t="shared" si="41"/>
        <v>0</v>
      </c>
      <c r="T154" s="61">
        <f t="shared" si="41"/>
        <v>0</v>
      </c>
      <c r="U154" s="61">
        <f t="shared" si="41"/>
        <v>0</v>
      </c>
      <c r="V154" s="61">
        <f t="shared" si="41"/>
        <v>0</v>
      </c>
      <c r="W154" s="61">
        <f t="shared" si="41"/>
        <v>0</v>
      </c>
      <c r="X154" s="61">
        <f t="shared" si="41"/>
        <v>0</v>
      </c>
      <c r="Y154" s="61">
        <f t="shared" si="41"/>
        <v>0</v>
      </c>
    </row>
    <row r="155" spans="1:28" x14ac:dyDescent="0.25">
      <c r="A155" s="128" t="str">
        <f>A$21</f>
        <v>lot7</v>
      </c>
      <c r="B155" s="61">
        <f t="shared" ref="B155:Y155" si="42">B116-B142</f>
        <v>0</v>
      </c>
      <c r="C155" s="61">
        <f t="shared" si="42"/>
        <v>0</v>
      </c>
      <c r="D155" s="61">
        <f t="shared" si="42"/>
        <v>0</v>
      </c>
      <c r="E155" s="61">
        <f t="shared" si="42"/>
        <v>0</v>
      </c>
      <c r="F155" s="61">
        <f t="shared" si="42"/>
        <v>0</v>
      </c>
      <c r="G155" s="61">
        <f t="shared" si="42"/>
        <v>0</v>
      </c>
      <c r="H155" s="61">
        <f t="shared" si="42"/>
        <v>0</v>
      </c>
      <c r="I155" s="61">
        <f t="shared" si="42"/>
        <v>0</v>
      </c>
      <c r="J155" s="61">
        <f t="shared" si="42"/>
        <v>0</v>
      </c>
      <c r="K155" s="61">
        <f t="shared" si="42"/>
        <v>0</v>
      </c>
      <c r="L155" s="61">
        <f t="shared" si="42"/>
        <v>0</v>
      </c>
      <c r="M155" s="61">
        <f t="shared" si="42"/>
        <v>0</v>
      </c>
      <c r="N155" s="61">
        <f t="shared" si="42"/>
        <v>0</v>
      </c>
      <c r="O155" s="61">
        <f t="shared" si="42"/>
        <v>0</v>
      </c>
      <c r="P155" s="61">
        <f t="shared" si="42"/>
        <v>0</v>
      </c>
      <c r="Q155" s="61">
        <f t="shared" si="42"/>
        <v>0</v>
      </c>
      <c r="R155" s="61">
        <f t="shared" si="42"/>
        <v>0</v>
      </c>
      <c r="S155" s="61">
        <f t="shared" si="42"/>
        <v>0</v>
      </c>
      <c r="T155" s="61">
        <f t="shared" si="42"/>
        <v>0</v>
      </c>
      <c r="U155" s="61">
        <f t="shared" si="42"/>
        <v>0</v>
      </c>
      <c r="V155" s="61">
        <f t="shared" si="42"/>
        <v>0</v>
      </c>
      <c r="W155" s="61">
        <f t="shared" si="42"/>
        <v>0</v>
      </c>
      <c r="X155" s="61">
        <f t="shared" si="42"/>
        <v>0</v>
      </c>
      <c r="Y155" s="61">
        <f t="shared" si="42"/>
        <v>0</v>
      </c>
    </row>
    <row r="156" spans="1:28" x14ac:dyDescent="0.25">
      <c r="A156" s="128" t="str">
        <f>A$22</f>
        <v>lot8</v>
      </c>
      <c r="B156" s="61">
        <f t="shared" ref="B156:Y156" si="43">B117-B143</f>
        <v>0</v>
      </c>
      <c r="C156" s="61">
        <f t="shared" si="43"/>
        <v>0</v>
      </c>
      <c r="D156" s="61">
        <f t="shared" si="43"/>
        <v>0</v>
      </c>
      <c r="E156" s="61">
        <f t="shared" si="43"/>
        <v>0</v>
      </c>
      <c r="F156" s="61">
        <f t="shared" si="43"/>
        <v>0</v>
      </c>
      <c r="G156" s="61">
        <f t="shared" si="43"/>
        <v>0</v>
      </c>
      <c r="H156" s="61">
        <f t="shared" si="43"/>
        <v>0</v>
      </c>
      <c r="I156" s="61">
        <f t="shared" si="43"/>
        <v>0</v>
      </c>
      <c r="J156" s="61">
        <f t="shared" si="43"/>
        <v>0</v>
      </c>
      <c r="K156" s="61">
        <f t="shared" si="43"/>
        <v>0</v>
      </c>
      <c r="L156" s="61">
        <f t="shared" si="43"/>
        <v>0</v>
      </c>
      <c r="M156" s="61">
        <f t="shared" si="43"/>
        <v>0</v>
      </c>
      <c r="N156" s="61">
        <f t="shared" si="43"/>
        <v>0</v>
      </c>
      <c r="O156" s="61">
        <f t="shared" si="43"/>
        <v>0</v>
      </c>
      <c r="P156" s="61">
        <f t="shared" si="43"/>
        <v>0</v>
      </c>
      <c r="Q156" s="61">
        <f t="shared" si="43"/>
        <v>0</v>
      </c>
      <c r="R156" s="61">
        <f t="shared" si="43"/>
        <v>0</v>
      </c>
      <c r="S156" s="61">
        <f t="shared" si="43"/>
        <v>0</v>
      </c>
      <c r="T156" s="61">
        <f t="shared" si="43"/>
        <v>0</v>
      </c>
      <c r="U156" s="61">
        <f t="shared" si="43"/>
        <v>0</v>
      </c>
      <c r="V156" s="61">
        <f t="shared" si="43"/>
        <v>0</v>
      </c>
      <c r="W156" s="61">
        <f t="shared" si="43"/>
        <v>0</v>
      </c>
      <c r="X156" s="61">
        <f t="shared" si="43"/>
        <v>0</v>
      </c>
      <c r="Y156" s="61">
        <f t="shared" si="43"/>
        <v>0</v>
      </c>
    </row>
    <row r="157" spans="1:28" x14ac:dyDescent="0.25">
      <c r="A157" s="127" t="str">
        <f>A$23</f>
        <v>lot9</v>
      </c>
      <c r="B157" s="61">
        <f t="shared" ref="B157:Y157" si="44">B118-B144</f>
        <v>0</v>
      </c>
      <c r="C157" s="61">
        <f t="shared" si="44"/>
        <v>0</v>
      </c>
      <c r="D157" s="61">
        <f t="shared" si="44"/>
        <v>0</v>
      </c>
      <c r="E157" s="61">
        <f t="shared" si="44"/>
        <v>0</v>
      </c>
      <c r="F157" s="61">
        <f t="shared" si="44"/>
        <v>0</v>
      </c>
      <c r="G157" s="61">
        <f t="shared" si="44"/>
        <v>0</v>
      </c>
      <c r="H157" s="61">
        <f t="shared" si="44"/>
        <v>0</v>
      </c>
      <c r="I157" s="61">
        <f t="shared" si="44"/>
        <v>0</v>
      </c>
      <c r="J157" s="61">
        <f t="shared" si="44"/>
        <v>0</v>
      </c>
      <c r="K157" s="61">
        <f t="shared" si="44"/>
        <v>0</v>
      </c>
      <c r="L157" s="61">
        <f t="shared" si="44"/>
        <v>0</v>
      </c>
      <c r="M157" s="61">
        <f t="shared" si="44"/>
        <v>0</v>
      </c>
      <c r="N157" s="61">
        <f t="shared" si="44"/>
        <v>0</v>
      </c>
      <c r="O157" s="61">
        <f t="shared" si="44"/>
        <v>0</v>
      </c>
      <c r="P157" s="61">
        <f t="shared" si="44"/>
        <v>0</v>
      </c>
      <c r="Q157" s="61">
        <f t="shared" si="44"/>
        <v>0</v>
      </c>
      <c r="R157" s="61">
        <f t="shared" si="44"/>
        <v>0</v>
      </c>
      <c r="S157" s="61">
        <f t="shared" si="44"/>
        <v>0</v>
      </c>
      <c r="T157" s="61">
        <f t="shared" si="44"/>
        <v>0</v>
      </c>
      <c r="U157" s="61">
        <f t="shared" si="44"/>
        <v>0</v>
      </c>
      <c r="V157" s="61">
        <f t="shared" si="44"/>
        <v>0</v>
      </c>
      <c r="W157" s="61">
        <f t="shared" si="44"/>
        <v>0</v>
      </c>
      <c r="X157" s="61">
        <f t="shared" si="44"/>
        <v>0</v>
      </c>
      <c r="Y157" s="61">
        <f t="shared" si="44"/>
        <v>0</v>
      </c>
    </row>
    <row r="158" spans="1:28" x14ac:dyDescent="0.25">
      <c r="A158" s="128" t="str">
        <f>A$24</f>
        <v>lot10</v>
      </c>
      <c r="B158" s="61">
        <f t="shared" ref="B158:Y158" si="45">B119-B145</f>
        <v>0</v>
      </c>
      <c r="C158" s="61">
        <f t="shared" si="45"/>
        <v>0</v>
      </c>
      <c r="D158" s="61">
        <f t="shared" si="45"/>
        <v>0</v>
      </c>
      <c r="E158" s="61">
        <f t="shared" si="45"/>
        <v>0</v>
      </c>
      <c r="F158" s="61">
        <f t="shared" si="45"/>
        <v>0</v>
      </c>
      <c r="G158" s="61">
        <f t="shared" si="45"/>
        <v>0</v>
      </c>
      <c r="H158" s="61">
        <f t="shared" si="45"/>
        <v>0</v>
      </c>
      <c r="I158" s="61">
        <f t="shared" si="45"/>
        <v>0</v>
      </c>
      <c r="J158" s="61">
        <f t="shared" si="45"/>
        <v>0</v>
      </c>
      <c r="K158" s="61">
        <f t="shared" si="45"/>
        <v>0</v>
      </c>
      <c r="L158" s="61">
        <f t="shared" si="45"/>
        <v>0</v>
      </c>
      <c r="M158" s="61">
        <f t="shared" si="45"/>
        <v>0</v>
      </c>
      <c r="N158" s="61">
        <f t="shared" si="45"/>
        <v>0</v>
      </c>
      <c r="O158" s="61">
        <f t="shared" si="45"/>
        <v>0</v>
      </c>
      <c r="P158" s="61">
        <f t="shared" si="45"/>
        <v>0</v>
      </c>
      <c r="Q158" s="61">
        <f t="shared" si="45"/>
        <v>0</v>
      </c>
      <c r="R158" s="61">
        <f t="shared" si="45"/>
        <v>0</v>
      </c>
      <c r="S158" s="61">
        <f t="shared" si="45"/>
        <v>0</v>
      </c>
      <c r="T158" s="61">
        <f t="shared" si="45"/>
        <v>0</v>
      </c>
      <c r="U158" s="61">
        <f t="shared" si="45"/>
        <v>0</v>
      </c>
      <c r="V158" s="61">
        <f t="shared" si="45"/>
        <v>0</v>
      </c>
      <c r="W158" s="61">
        <f t="shared" si="45"/>
        <v>0</v>
      </c>
      <c r="X158" s="61">
        <f t="shared" si="45"/>
        <v>0</v>
      </c>
      <c r="Y158" s="61">
        <f t="shared" si="45"/>
        <v>0</v>
      </c>
    </row>
    <row r="159" spans="1:28" x14ac:dyDescent="0.25">
      <c r="AA159" s="30">
        <f>SUM(B149:Y158)</f>
        <v>0</v>
      </c>
      <c r="AB159" t="s">
        <v>222</v>
      </c>
    </row>
    <row r="161" spans="1:28" x14ac:dyDescent="0.25">
      <c r="A161" s="2" t="s">
        <v>210</v>
      </c>
    </row>
    <row r="162" spans="1:28" x14ac:dyDescent="0.25">
      <c r="A162" s="127" t="str">
        <f>A$15</f>
        <v>lot1</v>
      </c>
      <c r="B162" s="61">
        <f t="shared" ref="B162:Y162" si="46">IF(B76=1,B149,0)</f>
        <v>0</v>
      </c>
      <c r="C162" s="61">
        <f t="shared" si="46"/>
        <v>0</v>
      </c>
      <c r="D162" s="61">
        <f t="shared" si="46"/>
        <v>0</v>
      </c>
      <c r="E162" s="61">
        <f t="shared" si="46"/>
        <v>0</v>
      </c>
      <c r="F162" s="61">
        <f t="shared" si="46"/>
        <v>0</v>
      </c>
      <c r="G162" s="61">
        <f t="shared" si="46"/>
        <v>0</v>
      </c>
      <c r="H162" s="61">
        <f t="shared" si="46"/>
        <v>0</v>
      </c>
      <c r="I162" s="61">
        <f t="shared" si="46"/>
        <v>0</v>
      </c>
      <c r="J162" s="61">
        <f t="shared" si="46"/>
        <v>0</v>
      </c>
      <c r="K162" s="61">
        <f t="shared" si="46"/>
        <v>0</v>
      </c>
      <c r="L162" s="61">
        <f t="shared" si="46"/>
        <v>0</v>
      </c>
      <c r="M162" s="61">
        <f t="shared" si="46"/>
        <v>0</v>
      </c>
      <c r="N162" s="61">
        <f t="shared" si="46"/>
        <v>0</v>
      </c>
      <c r="O162" s="61">
        <f t="shared" si="46"/>
        <v>0</v>
      </c>
      <c r="P162" s="61">
        <f t="shared" si="46"/>
        <v>0</v>
      </c>
      <c r="Q162" s="61">
        <f t="shared" si="46"/>
        <v>0</v>
      </c>
      <c r="R162" s="61">
        <f t="shared" si="46"/>
        <v>0</v>
      </c>
      <c r="S162" s="61">
        <f t="shared" si="46"/>
        <v>0</v>
      </c>
      <c r="T162" s="61">
        <f t="shared" si="46"/>
        <v>0</v>
      </c>
      <c r="U162" s="61">
        <f t="shared" si="46"/>
        <v>0</v>
      </c>
      <c r="V162" s="61">
        <f t="shared" si="46"/>
        <v>0</v>
      </c>
      <c r="W162" s="61">
        <f t="shared" si="46"/>
        <v>0</v>
      </c>
      <c r="X162" s="61">
        <f t="shared" si="46"/>
        <v>0</v>
      </c>
      <c r="Y162" s="61">
        <f t="shared" si="46"/>
        <v>0</v>
      </c>
    </row>
    <row r="163" spans="1:28" x14ac:dyDescent="0.25">
      <c r="A163" s="128" t="str">
        <f>A$16</f>
        <v>lot2</v>
      </c>
      <c r="B163" s="61">
        <f t="shared" ref="B163:Y163" si="47">IF(B77=1,B150,0)</f>
        <v>0</v>
      </c>
      <c r="C163" s="61">
        <f t="shared" si="47"/>
        <v>0</v>
      </c>
      <c r="D163" s="61">
        <f t="shared" si="47"/>
        <v>0</v>
      </c>
      <c r="E163" s="61">
        <f t="shared" si="47"/>
        <v>0</v>
      </c>
      <c r="F163" s="61">
        <f t="shared" si="47"/>
        <v>0</v>
      </c>
      <c r="G163" s="61">
        <f t="shared" si="47"/>
        <v>0</v>
      </c>
      <c r="H163" s="61">
        <f t="shared" si="47"/>
        <v>0</v>
      </c>
      <c r="I163" s="61">
        <f t="shared" si="47"/>
        <v>0</v>
      </c>
      <c r="J163" s="61">
        <f t="shared" si="47"/>
        <v>0</v>
      </c>
      <c r="K163" s="61">
        <f t="shared" si="47"/>
        <v>0</v>
      </c>
      <c r="L163" s="61">
        <f t="shared" si="47"/>
        <v>0</v>
      </c>
      <c r="M163" s="61">
        <f t="shared" si="47"/>
        <v>0</v>
      </c>
      <c r="N163" s="61">
        <f t="shared" si="47"/>
        <v>0</v>
      </c>
      <c r="O163" s="61">
        <f t="shared" si="47"/>
        <v>0</v>
      </c>
      <c r="P163" s="61">
        <f t="shared" si="47"/>
        <v>0</v>
      </c>
      <c r="Q163" s="61">
        <f t="shared" si="47"/>
        <v>0</v>
      </c>
      <c r="R163" s="61">
        <f t="shared" si="47"/>
        <v>0</v>
      </c>
      <c r="S163" s="61">
        <f t="shared" si="47"/>
        <v>0</v>
      </c>
      <c r="T163" s="61">
        <f t="shared" si="47"/>
        <v>0</v>
      </c>
      <c r="U163" s="61">
        <f t="shared" si="47"/>
        <v>0</v>
      </c>
      <c r="V163" s="61">
        <f t="shared" si="47"/>
        <v>0</v>
      </c>
      <c r="W163" s="61">
        <f t="shared" si="47"/>
        <v>0</v>
      </c>
      <c r="X163" s="61">
        <f t="shared" si="47"/>
        <v>0</v>
      </c>
      <c r="Y163" s="61">
        <f t="shared" si="47"/>
        <v>0</v>
      </c>
    </row>
    <row r="164" spans="1:28" x14ac:dyDescent="0.25">
      <c r="A164" s="128" t="str">
        <f>A$17</f>
        <v>lot3</v>
      </c>
      <c r="B164" s="61">
        <f t="shared" ref="B164:Y164" si="48">IF(B78=1,B151,0)</f>
        <v>0</v>
      </c>
      <c r="C164" s="61">
        <f t="shared" si="48"/>
        <v>0</v>
      </c>
      <c r="D164" s="61">
        <f t="shared" si="48"/>
        <v>0</v>
      </c>
      <c r="E164" s="61">
        <f t="shared" si="48"/>
        <v>0</v>
      </c>
      <c r="F164" s="61">
        <f t="shared" si="48"/>
        <v>0</v>
      </c>
      <c r="G164" s="61">
        <f t="shared" si="48"/>
        <v>0</v>
      </c>
      <c r="H164" s="61">
        <f t="shared" si="48"/>
        <v>0</v>
      </c>
      <c r="I164" s="61">
        <f t="shared" si="48"/>
        <v>0</v>
      </c>
      <c r="J164" s="61">
        <f t="shared" si="48"/>
        <v>0</v>
      </c>
      <c r="K164" s="61">
        <f t="shared" si="48"/>
        <v>0</v>
      </c>
      <c r="L164" s="61">
        <f t="shared" si="48"/>
        <v>0</v>
      </c>
      <c r="M164" s="61">
        <f t="shared" si="48"/>
        <v>0</v>
      </c>
      <c r="N164" s="61">
        <f t="shared" si="48"/>
        <v>0</v>
      </c>
      <c r="O164" s="61">
        <f t="shared" si="48"/>
        <v>0</v>
      </c>
      <c r="P164" s="61">
        <f t="shared" si="48"/>
        <v>0</v>
      </c>
      <c r="Q164" s="61">
        <f t="shared" si="48"/>
        <v>0</v>
      </c>
      <c r="R164" s="61">
        <f t="shared" si="48"/>
        <v>0</v>
      </c>
      <c r="S164" s="61">
        <f t="shared" si="48"/>
        <v>0</v>
      </c>
      <c r="T164" s="61">
        <f t="shared" si="48"/>
        <v>0</v>
      </c>
      <c r="U164" s="61">
        <f t="shared" si="48"/>
        <v>0</v>
      </c>
      <c r="V164" s="61">
        <f t="shared" si="48"/>
        <v>0</v>
      </c>
      <c r="W164" s="61">
        <f t="shared" si="48"/>
        <v>0</v>
      </c>
      <c r="X164" s="61">
        <f t="shared" si="48"/>
        <v>0</v>
      </c>
      <c r="Y164" s="61">
        <f t="shared" si="48"/>
        <v>0</v>
      </c>
    </row>
    <row r="165" spans="1:28" x14ac:dyDescent="0.25">
      <c r="A165" s="127" t="str">
        <f>A$18</f>
        <v>lot4</v>
      </c>
      <c r="B165" s="61">
        <f t="shared" ref="B165:Y165" si="49">IF(B79=1,B152,0)</f>
        <v>0</v>
      </c>
      <c r="C165" s="61">
        <f t="shared" si="49"/>
        <v>0</v>
      </c>
      <c r="D165" s="61">
        <f t="shared" si="49"/>
        <v>0</v>
      </c>
      <c r="E165" s="61">
        <f t="shared" si="49"/>
        <v>0</v>
      </c>
      <c r="F165" s="61">
        <f t="shared" si="49"/>
        <v>0</v>
      </c>
      <c r="G165" s="61">
        <f t="shared" si="49"/>
        <v>0</v>
      </c>
      <c r="H165" s="61">
        <f t="shared" si="49"/>
        <v>0</v>
      </c>
      <c r="I165" s="61">
        <f t="shared" si="49"/>
        <v>0</v>
      </c>
      <c r="J165" s="61">
        <f t="shared" si="49"/>
        <v>0</v>
      </c>
      <c r="K165" s="61">
        <f t="shared" si="49"/>
        <v>0</v>
      </c>
      <c r="L165" s="61">
        <f t="shared" si="49"/>
        <v>0</v>
      </c>
      <c r="M165" s="61">
        <f t="shared" si="49"/>
        <v>0</v>
      </c>
      <c r="N165" s="61">
        <f t="shared" si="49"/>
        <v>0</v>
      </c>
      <c r="O165" s="61">
        <f t="shared" si="49"/>
        <v>0</v>
      </c>
      <c r="P165" s="61">
        <f t="shared" si="49"/>
        <v>0</v>
      </c>
      <c r="Q165" s="61">
        <f t="shared" si="49"/>
        <v>0</v>
      </c>
      <c r="R165" s="61">
        <f t="shared" si="49"/>
        <v>0</v>
      </c>
      <c r="S165" s="61">
        <f t="shared" si="49"/>
        <v>0</v>
      </c>
      <c r="T165" s="61">
        <f t="shared" si="49"/>
        <v>0</v>
      </c>
      <c r="U165" s="61">
        <f t="shared" si="49"/>
        <v>0</v>
      </c>
      <c r="V165" s="61">
        <f t="shared" si="49"/>
        <v>0</v>
      </c>
      <c r="W165" s="61">
        <f t="shared" si="49"/>
        <v>0</v>
      </c>
      <c r="X165" s="61">
        <f t="shared" si="49"/>
        <v>0</v>
      </c>
      <c r="Y165" s="61">
        <f t="shared" si="49"/>
        <v>0</v>
      </c>
    </row>
    <row r="166" spans="1:28" x14ac:dyDescent="0.25">
      <c r="A166" s="128" t="str">
        <f>A$19</f>
        <v>lot5</v>
      </c>
      <c r="B166" s="61">
        <f t="shared" ref="B166:Y166" si="50">IF(B80=1,B153,0)</f>
        <v>0</v>
      </c>
      <c r="C166" s="61">
        <f t="shared" si="50"/>
        <v>0</v>
      </c>
      <c r="D166" s="61">
        <f t="shared" si="50"/>
        <v>0</v>
      </c>
      <c r="E166" s="61">
        <f t="shared" si="50"/>
        <v>0</v>
      </c>
      <c r="F166" s="61">
        <f t="shared" si="50"/>
        <v>0</v>
      </c>
      <c r="G166" s="61">
        <f t="shared" si="50"/>
        <v>0</v>
      </c>
      <c r="H166" s="61">
        <f t="shared" si="50"/>
        <v>0</v>
      </c>
      <c r="I166" s="61">
        <f t="shared" si="50"/>
        <v>0</v>
      </c>
      <c r="J166" s="61">
        <f t="shared" si="50"/>
        <v>0</v>
      </c>
      <c r="K166" s="61">
        <f t="shared" si="50"/>
        <v>0</v>
      </c>
      <c r="L166" s="61">
        <f t="shared" si="50"/>
        <v>0</v>
      </c>
      <c r="M166" s="61">
        <f t="shared" si="50"/>
        <v>0</v>
      </c>
      <c r="N166" s="61">
        <f t="shared" si="50"/>
        <v>0</v>
      </c>
      <c r="O166" s="61">
        <f t="shared" si="50"/>
        <v>0</v>
      </c>
      <c r="P166" s="61">
        <f t="shared" si="50"/>
        <v>0</v>
      </c>
      <c r="Q166" s="61">
        <f t="shared" si="50"/>
        <v>0</v>
      </c>
      <c r="R166" s="61">
        <f t="shared" si="50"/>
        <v>0</v>
      </c>
      <c r="S166" s="61">
        <f t="shared" si="50"/>
        <v>0</v>
      </c>
      <c r="T166" s="61">
        <f t="shared" si="50"/>
        <v>0</v>
      </c>
      <c r="U166" s="61">
        <f t="shared" si="50"/>
        <v>0</v>
      </c>
      <c r="V166" s="61">
        <f t="shared" si="50"/>
        <v>0</v>
      </c>
      <c r="W166" s="61">
        <f t="shared" si="50"/>
        <v>0</v>
      </c>
      <c r="X166" s="61">
        <f t="shared" si="50"/>
        <v>0</v>
      </c>
      <c r="Y166" s="61">
        <f t="shared" si="50"/>
        <v>0</v>
      </c>
    </row>
    <row r="167" spans="1:28" x14ac:dyDescent="0.25">
      <c r="A167" s="127" t="str">
        <f>A$20</f>
        <v>lot6</v>
      </c>
      <c r="B167" s="61">
        <f t="shared" ref="B167:Y167" si="51">IF(B81=1,B154,0)</f>
        <v>0</v>
      </c>
      <c r="C167" s="61">
        <f t="shared" si="51"/>
        <v>0</v>
      </c>
      <c r="D167" s="61">
        <f t="shared" si="51"/>
        <v>0</v>
      </c>
      <c r="E167" s="61">
        <f t="shared" si="51"/>
        <v>0</v>
      </c>
      <c r="F167" s="61">
        <f t="shared" si="51"/>
        <v>0</v>
      </c>
      <c r="G167" s="61">
        <f t="shared" si="51"/>
        <v>0</v>
      </c>
      <c r="H167" s="61">
        <f t="shared" si="51"/>
        <v>0</v>
      </c>
      <c r="I167" s="61">
        <f t="shared" si="51"/>
        <v>0</v>
      </c>
      <c r="J167" s="61">
        <f t="shared" si="51"/>
        <v>0</v>
      </c>
      <c r="K167" s="61">
        <f t="shared" si="51"/>
        <v>0</v>
      </c>
      <c r="L167" s="61">
        <f t="shared" si="51"/>
        <v>0</v>
      </c>
      <c r="M167" s="61">
        <f t="shared" si="51"/>
        <v>0</v>
      </c>
      <c r="N167" s="61">
        <f t="shared" si="51"/>
        <v>0</v>
      </c>
      <c r="O167" s="61">
        <f t="shared" si="51"/>
        <v>0</v>
      </c>
      <c r="P167" s="61">
        <f t="shared" si="51"/>
        <v>0</v>
      </c>
      <c r="Q167" s="61">
        <f t="shared" si="51"/>
        <v>0</v>
      </c>
      <c r="R167" s="61">
        <f t="shared" si="51"/>
        <v>0</v>
      </c>
      <c r="S167" s="61">
        <f t="shared" si="51"/>
        <v>0</v>
      </c>
      <c r="T167" s="61">
        <f t="shared" si="51"/>
        <v>0</v>
      </c>
      <c r="U167" s="61">
        <f t="shared" si="51"/>
        <v>0</v>
      </c>
      <c r="V167" s="61">
        <f t="shared" si="51"/>
        <v>0</v>
      </c>
      <c r="W167" s="61">
        <f t="shared" si="51"/>
        <v>0</v>
      </c>
      <c r="X167" s="61">
        <f t="shared" si="51"/>
        <v>0</v>
      </c>
      <c r="Y167" s="61">
        <f t="shared" si="51"/>
        <v>0</v>
      </c>
    </row>
    <row r="168" spans="1:28" x14ac:dyDescent="0.25">
      <c r="A168" s="128" t="str">
        <f>A$21</f>
        <v>lot7</v>
      </c>
      <c r="B168" s="61">
        <f t="shared" ref="B168:Y168" si="52">IF(B82=1,B155,0)</f>
        <v>0</v>
      </c>
      <c r="C168" s="61">
        <f t="shared" si="52"/>
        <v>0</v>
      </c>
      <c r="D168" s="61">
        <f t="shared" si="52"/>
        <v>0</v>
      </c>
      <c r="E168" s="61">
        <f t="shared" si="52"/>
        <v>0</v>
      </c>
      <c r="F168" s="61">
        <f t="shared" si="52"/>
        <v>0</v>
      </c>
      <c r="G168" s="61">
        <f t="shared" si="52"/>
        <v>0</v>
      </c>
      <c r="H168" s="61">
        <f t="shared" si="52"/>
        <v>0</v>
      </c>
      <c r="I168" s="61">
        <f t="shared" si="52"/>
        <v>0</v>
      </c>
      <c r="J168" s="61">
        <f t="shared" si="52"/>
        <v>0</v>
      </c>
      <c r="K168" s="61">
        <f t="shared" si="52"/>
        <v>0</v>
      </c>
      <c r="L168" s="61">
        <f t="shared" si="52"/>
        <v>0</v>
      </c>
      <c r="M168" s="61">
        <f t="shared" si="52"/>
        <v>0</v>
      </c>
      <c r="N168" s="61">
        <f t="shared" si="52"/>
        <v>0</v>
      </c>
      <c r="O168" s="61">
        <f t="shared" si="52"/>
        <v>0</v>
      </c>
      <c r="P168" s="61">
        <f t="shared" si="52"/>
        <v>0</v>
      </c>
      <c r="Q168" s="61">
        <f t="shared" si="52"/>
        <v>0</v>
      </c>
      <c r="R168" s="61">
        <f t="shared" si="52"/>
        <v>0</v>
      </c>
      <c r="S168" s="61">
        <f t="shared" si="52"/>
        <v>0</v>
      </c>
      <c r="T168" s="61">
        <f t="shared" si="52"/>
        <v>0</v>
      </c>
      <c r="U168" s="61">
        <f t="shared" si="52"/>
        <v>0</v>
      </c>
      <c r="V168" s="61">
        <f t="shared" si="52"/>
        <v>0</v>
      </c>
      <c r="W168" s="61">
        <f t="shared" si="52"/>
        <v>0</v>
      </c>
      <c r="X168" s="61">
        <f t="shared" si="52"/>
        <v>0</v>
      </c>
      <c r="Y168" s="61">
        <f t="shared" si="52"/>
        <v>0</v>
      </c>
    </row>
    <row r="169" spans="1:28" x14ac:dyDescent="0.25">
      <c r="A169" s="128" t="str">
        <f>A$22</f>
        <v>lot8</v>
      </c>
      <c r="B169" s="61">
        <f t="shared" ref="B169:Y169" si="53">IF(B83=1,B156,0)</f>
        <v>0</v>
      </c>
      <c r="C169" s="61">
        <f t="shared" si="53"/>
        <v>0</v>
      </c>
      <c r="D169" s="61">
        <f t="shared" si="53"/>
        <v>0</v>
      </c>
      <c r="E169" s="61">
        <f t="shared" si="53"/>
        <v>0</v>
      </c>
      <c r="F169" s="61">
        <f t="shared" si="53"/>
        <v>0</v>
      </c>
      <c r="G169" s="61">
        <f t="shared" si="53"/>
        <v>0</v>
      </c>
      <c r="H169" s="61">
        <f t="shared" si="53"/>
        <v>0</v>
      </c>
      <c r="I169" s="61">
        <f t="shared" si="53"/>
        <v>0</v>
      </c>
      <c r="J169" s="61">
        <f t="shared" si="53"/>
        <v>0</v>
      </c>
      <c r="K169" s="61">
        <f t="shared" si="53"/>
        <v>0</v>
      </c>
      <c r="L169" s="61">
        <f t="shared" si="53"/>
        <v>0</v>
      </c>
      <c r="M169" s="61">
        <f t="shared" si="53"/>
        <v>0</v>
      </c>
      <c r="N169" s="61">
        <f t="shared" si="53"/>
        <v>0</v>
      </c>
      <c r="O169" s="61">
        <f t="shared" si="53"/>
        <v>0</v>
      </c>
      <c r="P169" s="61">
        <f t="shared" si="53"/>
        <v>0</v>
      </c>
      <c r="Q169" s="61">
        <f t="shared" si="53"/>
        <v>0</v>
      </c>
      <c r="R169" s="61">
        <f t="shared" si="53"/>
        <v>0</v>
      </c>
      <c r="S169" s="61">
        <f t="shared" si="53"/>
        <v>0</v>
      </c>
      <c r="T169" s="61">
        <f t="shared" si="53"/>
        <v>0</v>
      </c>
      <c r="U169" s="61">
        <f t="shared" si="53"/>
        <v>0</v>
      </c>
      <c r="V169" s="61">
        <f t="shared" si="53"/>
        <v>0</v>
      </c>
      <c r="W169" s="61">
        <f t="shared" si="53"/>
        <v>0</v>
      </c>
      <c r="X169" s="61">
        <f t="shared" si="53"/>
        <v>0</v>
      </c>
      <c r="Y169" s="61">
        <f t="shared" si="53"/>
        <v>0</v>
      </c>
    </row>
    <row r="170" spans="1:28" x14ac:dyDescent="0.25">
      <c r="A170" s="127" t="str">
        <f>A$23</f>
        <v>lot9</v>
      </c>
      <c r="B170" s="61">
        <f t="shared" ref="B170:Y170" si="54">IF(B84=1,B157,0)</f>
        <v>0</v>
      </c>
      <c r="C170" s="61">
        <f t="shared" si="54"/>
        <v>0</v>
      </c>
      <c r="D170" s="61">
        <f t="shared" si="54"/>
        <v>0</v>
      </c>
      <c r="E170" s="61">
        <f t="shared" si="54"/>
        <v>0</v>
      </c>
      <c r="F170" s="61">
        <f t="shared" si="54"/>
        <v>0</v>
      </c>
      <c r="G170" s="61">
        <f t="shared" si="54"/>
        <v>0</v>
      </c>
      <c r="H170" s="61">
        <f t="shared" si="54"/>
        <v>0</v>
      </c>
      <c r="I170" s="61">
        <f t="shared" si="54"/>
        <v>0</v>
      </c>
      <c r="J170" s="61">
        <f t="shared" si="54"/>
        <v>0</v>
      </c>
      <c r="K170" s="61">
        <f t="shared" si="54"/>
        <v>0</v>
      </c>
      <c r="L170" s="61">
        <f t="shared" si="54"/>
        <v>0</v>
      </c>
      <c r="M170" s="61">
        <f t="shared" si="54"/>
        <v>0</v>
      </c>
      <c r="N170" s="61">
        <f t="shared" si="54"/>
        <v>0</v>
      </c>
      <c r="O170" s="61">
        <f t="shared" si="54"/>
        <v>0</v>
      </c>
      <c r="P170" s="61">
        <f t="shared" si="54"/>
        <v>0</v>
      </c>
      <c r="Q170" s="61">
        <f t="shared" si="54"/>
        <v>0</v>
      </c>
      <c r="R170" s="61">
        <f t="shared" si="54"/>
        <v>0</v>
      </c>
      <c r="S170" s="61">
        <f t="shared" si="54"/>
        <v>0</v>
      </c>
      <c r="T170" s="61">
        <f t="shared" si="54"/>
        <v>0</v>
      </c>
      <c r="U170" s="61">
        <f t="shared" si="54"/>
        <v>0</v>
      </c>
      <c r="V170" s="61">
        <f t="shared" si="54"/>
        <v>0</v>
      </c>
      <c r="W170" s="61">
        <f t="shared" si="54"/>
        <v>0</v>
      </c>
      <c r="X170" s="61">
        <f t="shared" si="54"/>
        <v>0</v>
      </c>
      <c r="Y170" s="61">
        <f t="shared" si="54"/>
        <v>0</v>
      </c>
    </row>
    <row r="171" spans="1:28" x14ac:dyDescent="0.25">
      <c r="A171" s="128" t="str">
        <f>A$24</f>
        <v>lot10</v>
      </c>
      <c r="B171" s="61">
        <f t="shared" ref="B171:Y171" si="55">IF(B85=1,B158,0)</f>
        <v>0</v>
      </c>
      <c r="C171" s="61">
        <f t="shared" si="55"/>
        <v>0</v>
      </c>
      <c r="D171" s="61">
        <f t="shared" si="55"/>
        <v>0</v>
      </c>
      <c r="E171" s="61">
        <f t="shared" si="55"/>
        <v>0</v>
      </c>
      <c r="F171" s="61">
        <f t="shared" si="55"/>
        <v>0</v>
      </c>
      <c r="G171" s="61">
        <f t="shared" si="55"/>
        <v>0</v>
      </c>
      <c r="H171" s="61">
        <f t="shared" si="55"/>
        <v>0</v>
      </c>
      <c r="I171" s="61">
        <f t="shared" si="55"/>
        <v>0</v>
      </c>
      <c r="J171" s="61">
        <f t="shared" si="55"/>
        <v>0</v>
      </c>
      <c r="K171" s="61">
        <f t="shared" si="55"/>
        <v>0</v>
      </c>
      <c r="L171" s="61">
        <f t="shared" si="55"/>
        <v>0</v>
      </c>
      <c r="M171" s="61">
        <f t="shared" si="55"/>
        <v>0</v>
      </c>
      <c r="N171" s="61">
        <f t="shared" si="55"/>
        <v>0</v>
      </c>
      <c r="O171" s="61">
        <f t="shared" si="55"/>
        <v>0</v>
      </c>
      <c r="P171" s="61">
        <f t="shared" si="55"/>
        <v>0</v>
      </c>
      <c r="Q171" s="61">
        <f t="shared" si="55"/>
        <v>0</v>
      </c>
      <c r="R171" s="61">
        <f t="shared" si="55"/>
        <v>0</v>
      </c>
      <c r="S171" s="61">
        <f t="shared" si="55"/>
        <v>0</v>
      </c>
      <c r="T171" s="61">
        <f t="shared" si="55"/>
        <v>0</v>
      </c>
      <c r="U171" s="61">
        <f t="shared" si="55"/>
        <v>0</v>
      </c>
      <c r="V171" s="61">
        <f t="shared" si="55"/>
        <v>0</v>
      </c>
      <c r="W171" s="61">
        <f t="shared" si="55"/>
        <v>0</v>
      </c>
      <c r="X171" s="61">
        <f t="shared" si="55"/>
        <v>0</v>
      </c>
      <c r="Y171" s="61">
        <f t="shared" si="55"/>
        <v>0</v>
      </c>
    </row>
    <row r="172" spans="1:28" x14ac:dyDescent="0.25">
      <c r="A172" s="38" t="s">
        <v>211</v>
      </c>
      <c r="B172" s="61">
        <f>SUM(B162:B171)</f>
        <v>0</v>
      </c>
      <c r="C172" s="61">
        <f t="shared" ref="C172:Y172" si="56">SUM(C162:C171)</f>
        <v>0</v>
      </c>
      <c r="D172" s="61">
        <f t="shared" si="56"/>
        <v>0</v>
      </c>
      <c r="E172" s="61">
        <f t="shared" si="56"/>
        <v>0</v>
      </c>
      <c r="F172" s="61">
        <f t="shared" si="56"/>
        <v>0</v>
      </c>
      <c r="G172" s="61">
        <f t="shared" si="56"/>
        <v>0</v>
      </c>
      <c r="H172" s="61">
        <f t="shared" si="56"/>
        <v>0</v>
      </c>
      <c r="I172" s="61">
        <f t="shared" si="56"/>
        <v>0</v>
      </c>
      <c r="J172" s="61">
        <f t="shared" si="56"/>
        <v>0</v>
      </c>
      <c r="K172" s="61">
        <f t="shared" si="56"/>
        <v>0</v>
      </c>
      <c r="L172" s="61">
        <f t="shared" si="56"/>
        <v>0</v>
      </c>
      <c r="M172" s="61">
        <f t="shared" si="56"/>
        <v>0</v>
      </c>
      <c r="N172" s="61">
        <f t="shared" si="56"/>
        <v>0</v>
      </c>
      <c r="O172" s="61">
        <f t="shared" si="56"/>
        <v>0</v>
      </c>
      <c r="P172" s="61">
        <f t="shared" si="56"/>
        <v>0</v>
      </c>
      <c r="Q172" s="61">
        <f t="shared" si="56"/>
        <v>0</v>
      </c>
      <c r="R172" s="61">
        <f t="shared" si="56"/>
        <v>0</v>
      </c>
      <c r="S172" s="61">
        <f t="shared" si="56"/>
        <v>0</v>
      </c>
      <c r="T172" s="61">
        <f t="shared" si="56"/>
        <v>0</v>
      </c>
      <c r="U172" s="61">
        <f t="shared" si="56"/>
        <v>0</v>
      </c>
      <c r="V172" s="61">
        <f t="shared" si="56"/>
        <v>0</v>
      </c>
      <c r="W172" s="61">
        <f t="shared" si="56"/>
        <v>0</v>
      </c>
      <c r="X172" s="61">
        <f t="shared" si="56"/>
        <v>0</v>
      </c>
      <c r="Y172" s="61">
        <f t="shared" si="56"/>
        <v>0</v>
      </c>
      <c r="AA172" s="64">
        <f>SUM(B172:Y172)</f>
        <v>0</v>
      </c>
      <c r="AB172" t="s">
        <v>212</v>
      </c>
    </row>
    <row r="174" spans="1:28" x14ac:dyDescent="0.25">
      <c r="A174" s="2" t="s">
        <v>213</v>
      </c>
      <c r="F174" s="2"/>
    </row>
    <row r="175" spans="1:28" x14ac:dyDescent="0.25">
      <c r="A175" s="128" t="str">
        <f>A$15</f>
        <v>lot1</v>
      </c>
      <c r="B175" s="61">
        <f t="shared" ref="B175:Y175" si="57">IF(B76=2,B149,0)</f>
        <v>0</v>
      </c>
      <c r="C175" s="61">
        <f t="shared" si="57"/>
        <v>0</v>
      </c>
      <c r="D175" s="61">
        <f t="shared" si="57"/>
        <v>0</v>
      </c>
      <c r="E175" s="61">
        <f t="shared" si="57"/>
        <v>0</v>
      </c>
      <c r="F175" s="61">
        <f t="shared" si="57"/>
        <v>0</v>
      </c>
      <c r="G175" s="61">
        <f t="shared" si="57"/>
        <v>0</v>
      </c>
      <c r="H175" s="61">
        <f t="shared" si="57"/>
        <v>0</v>
      </c>
      <c r="I175" s="61">
        <f t="shared" si="57"/>
        <v>0</v>
      </c>
      <c r="J175" s="61">
        <f t="shared" si="57"/>
        <v>0</v>
      </c>
      <c r="K175" s="61">
        <f t="shared" si="57"/>
        <v>0</v>
      </c>
      <c r="L175" s="61">
        <f t="shared" si="57"/>
        <v>0</v>
      </c>
      <c r="M175" s="61">
        <f t="shared" si="57"/>
        <v>0</v>
      </c>
      <c r="N175" s="61">
        <f t="shared" si="57"/>
        <v>0</v>
      </c>
      <c r="O175" s="61">
        <f t="shared" si="57"/>
        <v>0</v>
      </c>
      <c r="P175" s="61">
        <f t="shared" si="57"/>
        <v>0</v>
      </c>
      <c r="Q175" s="61">
        <f t="shared" si="57"/>
        <v>0</v>
      </c>
      <c r="R175" s="61">
        <f t="shared" si="57"/>
        <v>0</v>
      </c>
      <c r="S175" s="61">
        <f t="shared" si="57"/>
        <v>0</v>
      </c>
      <c r="T175" s="61">
        <f t="shared" si="57"/>
        <v>0</v>
      </c>
      <c r="U175" s="61">
        <f t="shared" si="57"/>
        <v>0</v>
      </c>
      <c r="V175" s="61">
        <f t="shared" si="57"/>
        <v>0</v>
      </c>
      <c r="W175" s="61">
        <f t="shared" si="57"/>
        <v>0</v>
      </c>
      <c r="X175" s="61">
        <f t="shared" si="57"/>
        <v>0</v>
      </c>
      <c r="Y175" s="61">
        <f t="shared" si="57"/>
        <v>0</v>
      </c>
    </row>
    <row r="176" spans="1:28" x14ac:dyDescent="0.25">
      <c r="A176" s="128" t="str">
        <f>A$16</f>
        <v>lot2</v>
      </c>
      <c r="B176" s="61">
        <f t="shared" ref="B176:Y176" si="58">IF(B77=2,B150,0)</f>
        <v>0</v>
      </c>
      <c r="C176" s="61">
        <f t="shared" si="58"/>
        <v>0</v>
      </c>
      <c r="D176" s="61">
        <f t="shared" si="58"/>
        <v>0</v>
      </c>
      <c r="E176" s="61">
        <f t="shared" si="58"/>
        <v>0</v>
      </c>
      <c r="F176" s="61">
        <f t="shared" si="58"/>
        <v>0</v>
      </c>
      <c r="G176" s="61">
        <f t="shared" si="58"/>
        <v>0</v>
      </c>
      <c r="H176" s="61">
        <f t="shared" si="58"/>
        <v>0</v>
      </c>
      <c r="I176" s="61">
        <f t="shared" si="58"/>
        <v>0</v>
      </c>
      <c r="J176" s="61">
        <f t="shared" si="58"/>
        <v>0</v>
      </c>
      <c r="K176" s="61">
        <f t="shared" si="58"/>
        <v>0</v>
      </c>
      <c r="L176" s="61">
        <f t="shared" si="58"/>
        <v>0</v>
      </c>
      <c r="M176" s="61">
        <f t="shared" si="58"/>
        <v>0</v>
      </c>
      <c r="N176" s="61">
        <f t="shared" si="58"/>
        <v>0</v>
      </c>
      <c r="O176" s="61">
        <f t="shared" si="58"/>
        <v>0</v>
      </c>
      <c r="P176" s="61">
        <f t="shared" si="58"/>
        <v>0</v>
      </c>
      <c r="Q176" s="61">
        <f t="shared" si="58"/>
        <v>0</v>
      </c>
      <c r="R176" s="61">
        <f t="shared" si="58"/>
        <v>0</v>
      </c>
      <c r="S176" s="61">
        <f t="shared" si="58"/>
        <v>0</v>
      </c>
      <c r="T176" s="61">
        <f t="shared" si="58"/>
        <v>0</v>
      </c>
      <c r="U176" s="61">
        <f t="shared" si="58"/>
        <v>0</v>
      </c>
      <c r="V176" s="61">
        <f t="shared" si="58"/>
        <v>0</v>
      </c>
      <c r="W176" s="61">
        <f t="shared" si="58"/>
        <v>0</v>
      </c>
      <c r="X176" s="61">
        <f t="shared" si="58"/>
        <v>0</v>
      </c>
      <c r="Y176" s="61">
        <f t="shared" si="58"/>
        <v>0</v>
      </c>
    </row>
    <row r="177" spans="1:28" x14ac:dyDescent="0.25">
      <c r="A177" s="127" t="str">
        <f>A$17</f>
        <v>lot3</v>
      </c>
      <c r="B177" s="61">
        <f t="shared" ref="B177:Y177" si="59">IF(B78=2,B151,0)</f>
        <v>0</v>
      </c>
      <c r="C177" s="61">
        <f t="shared" si="59"/>
        <v>0</v>
      </c>
      <c r="D177" s="61">
        <f t="shared" si="59"/>
        <v>0</v>
      </c>
      <c r="E177" s="61">
        <f t="shared" si="59"/>
        <v>0</v>
      </c>
      <c r="F177" s="61">
        <f t="shared" si="59"/>
        <v>0</v>
      </c>
      <c r="G177" s="61">
        <f t="shared" si="59"/>
        <v>0</v>
      </c>
      <c r="H177" s="61">
        <f t="shared" si="59"/>
        <v>0</v>
      </c>
      <c r="I177" s="61">
        <f t="shared" si="59"/>
        <v>0</v>
      </c>
      <c r="J177" s="61">
        <f t="shared" si="59"/>
        <v>0</v>
      </c>
      <c r="K177" s="61">
        <f t="shared" si="59"/>
        <v>0</v>
      </c>
      <c r="L177" s="61">
        <f t="shared" si="59"/>
        <v>0</v>
      </c>
      <c r="M177" s="61">
        <f t="shared" si="59"/>
        <v>0</v>
      </c>
      <c r="N177" s="61">
        <f t="shared" si="59"/>
        <v>0</v>
      </c>
      <c r="O177" s="61">
        <f t="shared" si="59"/>
        <v>0</v>
      </c>
      <c r="P177" s="61">
        <f t="shared" si="59"/>
        <v>0</v>
      </c>
      <c r="Q177" s="61">
        <f t="shared" si="59"/>
        <v>0</v>
      </c>
      <c r="R177" s="61">
        <f t="shared" si="59"/>
        <v>0</v>
      </c>
      <c r="S177" s="61">
        <f t="shared" si="59"/>
        <v>0</v>
      </c>
      <c r="T177" s="61">
        <f t="shared" si="59"/>
        <v>0</v>
      </c>
      <c r="U177" s="61">
        <f t="shared" si="59"/>
        <v>0</v>
      </c>
      <c r="V177" s="61">
        <f t="shared" si="59"/>
        <v>0</v>
      </c>
      <c r="W177" s="61">
        <f t="shared" si="59"/>
        <v>0</v>
      </c>
      <c r="X177" s="61">
        <f t="shared" si="59"/>
        <v>0</v>
      </c>
      <c r="Y177" s="61">
        <f t="shared" si="59"/>
        <v>0</v>
      </c>
    </row>
    <row r="178" spans="1:28" x14ac:dyDescent="0.25">
      <c r="A178" s="128" t="str">
        <f>A$18</f>
        <v>lot4</v>
      </c>
      <c r="B178" s="61">
        <f t="shared" ref="B178:Y178" si="60">IF(B79=2,B152,0)</f>
        <v>0</v>
      </c>
      <c r="C178" s="61">
        <f t="shared" si="60"/>
        <v>0</v>
      </c>
      <c r="D178" s="61">
        <f t="shared" si="60"/>
        <v>0</v>
      </c>
      <c r="E178" s="61">
        <f t="shared" si="60"/>
        <v>0</v>
      </c>
      <c r="F178" s="61">
        <f t="shared" si="60"/>
        <v>0</v>
      </c>
      <c r="G178" s="61">
        <f t="shared" si="60"/>
        <v>0</v>
      </c>
      <c r="H178" s="61">
        <f t="shared" si="60"/>
        <v>0</v>
      </c>
      <c r="I178" s="61">
        <f t="shared" si="60"/>
        <v>0</v>
      </c>
      <c r="J178" s="61">
        <f t="shared" si="60"/>
        <v>0</v>
      </c>
      <c r="K178" s="61">
        <f t="shared" si="60"/>
        <v>0</v>
      </c>
      <c r="L178" s="61">
        <f t="shared" si="60"/>
        <v>0</v>
      </c>
      <c r="M178" s="61">
        <f t="shared" si="60"/>
        <v>0</v>
      </c>
      <c r="N178" s="61">
        <f t="shared" si="60"/>
        <v>0</v>
      </c>
      <c r="O178" s="61">
        <f t="shared" si="60"/>
        <v>0</v>
      </c>
      <c r="P178" s="61">
        <f t="shared" si="60"/>
        <v>0</v>
      </c>
      <c r="Q178" s="61">
        <f t="shared" si="60"/>
        <v>0</v>
      </c>
      <c r="R178" s="61">
        <f t="shared" si="60"/>
        <v>0</v>
      </c>
      <c r="S178" s="61">
        <f t="shared" si="60"/>
        <v>0</v>
      </c>
      <c r="T178" s="61">
        <f t="shared" si="60"/>
        <v>0</v>
      </c>
      <c r="U178" s="61">
        <f t="shared" si="60"/>
        <v>0</v>
      </c>
      <c r="V178" s="61">
        <f t="shared" si="60"/>
        <v>0</v>
      </c>
      <c r="W178" s="61">
        <f t="shared" si="60"/>
        <v>0</v>
      </c>
      <c r="X178" s="61">
        <f t="shared" si="60"/>
        <v>0</v>
      </c>
      <c r="Y178" s="61">
        <f t="shared" si="60"/>
        <v>0</v>
      </c>
    </row>
    <row r="179" spans="1:28" x14ac:dyDescent="0.25">
      <c r="A179" s="128" t="str">
        <f>A$19</f>
        <v>lot5</v>
      </c>
      <c r="B179" s="61">
        <f t="shared" ref="B179:Y179" si="61">IF(B80=2,B153,0)</f>
        <v>0</v>
      </c>
      <c r="C179" s="61">
        <f t="shared" si="61"/>
        <v>0</v>
      </c>
      <c r="D179" s="61">
        <f t="shared" si="61"/>
        <v>0</v>
      </c>
      <c r="E179" s="61">
        <f t="shared" si="61"/>
        <v>0</v>
      </c>
      <c r="F179" s="61">
        <f t="shared" si="61"/>
        <v>0</v>
      </c>
      <c r="G179" s="61">
        <f t="shared" si="61"/>
        <v>0</v>
      </c>
      <c r="H179" s="61">
        <f t="shared" si="61"/>
        <v>0</v>
      </c>
      <c r="I179" s="61">
        <f t="shared" si="61"/>
        <v>0</v>
      </c>
      <c r="J179" s="61">
        <f t="shared" si="61"/>
        <v>0</v>
      </c>
      <c r="K179" s="61">
        <f t="shared" si="61"/>
        <v>0</v>
      </c>
      <c r="L179" s="61">
        <f t="shared" si="61"/>
        <v>0</v>
      </c>
      <c r="M179" s="61">
        <f t="shared" si="61"/>
        <v>0</v>
      </c>
      <c r="N179" s="61">
        <f t="shared" si="61"/>
        <v>0</v>
      </c>
      <c r="O179" s="61">
        <f t="shared" si="61"/>
        <v>0</v>
      </c>
      <c r="P179" s="61">
        <f t="shared" si="61"/>
        <v>0</v>
      </c>
      <c r="Q179" s="61">
        <f t="shared" si="61"/>
        <v>0</v>
      </c>
      <c r="R179" s="61">
        <f t="shared" si="61"/>
        <v>0</v>
      </c>
      <c r="S179" s="61">
        <f t="shared" si="61"/>
        <v>0</v>
      </c>
      <c r="T179" s="61">
        <f t="shared" si="61"/>
        <v>0</v>
      </c>
      <c r="U179" s="61">
        <f t="shared" si="61"/>
        <v>0</v>
      </c>
      <c r="V179" s="61">
        <f t="shared" si="61"/>
        <v>0</v>
      </c>
      <c r="W179" s="61">
        <f t="shared" si="61"/>
        <v>0</v>
      </c>
      <c r="X179" s="61">
        <f t="shared" si="61"/>
        <v>0</v>
      </c>
      <c r="Y179" s="61">
        <f t="shared" si="61"/>
        <v>0</v>
      </c>
    </row>
    <row r="180" spans="1:28" x14ac:dyDescent="0.25">
      <c r="A180" s="128" t="str">
        <f>A$20</f>
        <v>lot6</v>
      </c>
      <c r="B180" s="61">
        <f t="shared" ref="B180:Y180" si="62">IF(B81=2,B154,0)</f>
        <v>0</v>
      </c>
      <c r="C180" s="61">
        <f t="shared" si="62"/>
        <v>0</v>
      </c>
      <c r="D180" s="61">
        <f t="shared" si="62"/>
        <v>0</v>
      </c>
      <c r="E180" s="61">
        <f t="shared" si="62"/>
        <v>0</v>
      </c>
      <c r="F180" s="61">
        <f t="shared" si="62"/>
        <v>0</v>
      </c>
      <c r="G180" s="61">
        <f t="shared" si="62"/>
        <v>0</v>
      </c>
      <c r="H180" s="61">
        <f t="shared" si="62"/>
        <v>0</v>
      </c>
      <c r="I180" s="61">
        <f t="shared" si="62"/>
        <v>0</v>
      </c>
      <c r="J180" s="61">
        <f t="shared" si="62"/>
        <v>0</v>
      </c>
      <c r="K180" s="61">
        <f t="shared" si="62"/>
        <v>0</v>
      </c>
      <c r="L180" s="61">
        <f t="shared" si="62"/>
        <v>0</v>
      </c>
      <c r="M180" s="61">
        <f t="shared" si="62"/>
        <v>0</v>
      </c>
      <c r="N180" s="61">
        <f t="shared" si="62"/>
        <v>0</v>
      </c>
      <c r="O180" s="61">
        <f t="shared" si="62"/>
        <v>0</v>
      </c>
      <c r="P180" s="61">
        <f t="shared" si="62"/>
        <v>0</v>
      </c>
      <c r="Q180" s="61">
        <f t="shared" si="62"/>
        <v>0</v>
      </c>
      <c r="R180" s="61">
        <f t="shared" si="62"/>
        <v>0</v>
      </c>
      <c r="S180" s="61">
        <f t="shared" si="62"/>
        <v>0</v>
      </c>
      <c r="T180" s="61">
        <f t="shared" si="62"/>
        <v>0</v>
      </c>
      <c r="U180" s="61">
        <f t="shared" si="62"/>
        <v>0</v>
      </c>
      <c r="V180" s="61">
        <f t="shared" si="62"/>
        <v>0</v>
      </c>
      <c r="W180" s="61">
        <f t="shared" si="62"/>
        <v>0</v>
      </c>
      <c r="X180" s="61">
        <f t="shared" si="62"/>
        <v>0</v>
      </c>
      <c r="Y180" s="61">
        <f t="shared" si="62"/>
        <v>0</v>
      </c>
    </row>
    <row r="181" spans="1:28" x14ac:dyDescent="0.25">
      <c r="A181" s="127" t="str">
        <f>A$21</f>
        <v>lot7</v>
      </c>
      <c r="B181" s="61">
        <f t="shared" ref="B181:Y181" si="63">IF(B82=2,B155,0)</f>
        <v>0</v>
      </c>
      <c r="C181" s="61">
        <f t="shared" si="63"/>
        <v>0</v>
      </c>
      <c r="D181" s="61">
        <f t="shared" si="63"/>
        <v>0</v>
      </c>
      <c r="E181" s="61">
        <f t="shared" si="63"/>
        <v>0</v>
      </c>
      <c r="F181" s="61">
        <f t="shared" si="63"/>
        <v>0</v>
      </c>
      <c r="G181" s="61">
        <f t="shared" si="63"/>
        <v>0</v>
      </c>
      <c r="H181" s="61">
        <f t="shared" si="63"/>
        <v>0</v>
      </c>
      <c r="I181" s="61">
        <f t="shared" si="63"/>
        <v>0</v>
      </c>
      <c r="J181" s="61">
        <f t="shared" si="63"/>
        <v>0</v>
      </c>
      <c r="K181" s="61">
        <f t="shared" si="63"/>
        <v>0</v>
      </c>
      <c r="L181" s="61">
        <f t="shared" si="63"/>
        <v>0</v>
      </c>
      <c r="M181" s="61">
        <f t="shared" si="63"/>
        <v>0</v>
      </c>
      <c r="N181" s="61">
        <f t="shared" si="63"/>
        <v>0</v>
      </c>
      <c r="O181" s="61">
        <f t="shared" si="63"/>
        <v>0</v>
      </c>
      <c r="P181" s="61">
        <f t="shared" si="63"/>
        <v>0</v>
      </c>
      <c r="Q181" s="61">
        <f t="shared" si="63"/>
        <v>0</v>
      </c>
      <c r="R181" s="61">
        <f t="shared" si="63"/>
        <v>0</v>
      </c>
      <c r="S181" s="61">
        <f t="shared" si="63"/>
        <v>0</v>
      </c>
      <c r="T181" s="61">
        <f t="shared" si="63"/>
        <v>0</v>
      </c>
      <c r="U181" s="61">
        <f t="shared" si="63"/>
        <v>0</v>
      </c>
      <c r="V181" s="61">
        <f t="shared" si="63"/>
        <v>0</v>
      </c>
      <c r="W181" s="61">
        <f t="shared" si="63"/>
        <v>0</v>
      </c>
      <c r="X181" s="61">
        <f t="shared" si="63"/>
        <v>0</v>
      </c>
      <c r="Y181" s="61">
        <f t="shared" si="63"/>
        <v>0</v>
      </c>
    </row>
    <row r="182" spans="1:28" x14ac:dyDescent="0.25">
      <c r="A182" s="128" t="str">
        <f>A$22</f>
        <v>lot8</v>
      </c>
      <c r="B182" s="61">
        <f t="shared" ref="B182:Y182" si="64">IF(B83=2,B156,0)</f>
        <v>0</v>
      </c>
      <c r="C182" s="61">
        <f t="shared" si="64"/>
        <v>0</v>
      </c>
      <c r="D182" s="61">
        <f t="shared" si="64"/>
        <v>0</v>
      </c>
      <c r="E182" s="61">
        <f t="shared" si="64"/>
        <v>0</v>
      </c>
      <c r="F182" s="61">
        <f t="shared" si="64"/>
        <v>0</v>
      </c>
      <c r="G182" s="61">
        <f t="shared" si="64"/>
        <v>0</v>
      </c>
      <c r="H182" s="61">
        <f t="shared" si="64"/>
        <v>0</v>
      </c>
      <c r="I182" s="61">
        <f t="shared" si="64"/>
        <v>0</v>
      </c>
      <c r="J182" s="61">
        <f t="shared" si="64"/>
        <v>0</v>
      </c>
      <c r="K182" s="61">
        <f t="shared" si="64"/>
        <v>0</v>
      </c>
      <c r="L182" s="61">
        <f t="shared" si="64"/>
        <v>0</v>
      </c>
      <c r="M182" s="61">
        <f t="shared" si="64"/>
        <v>0</v>
      </c>
      <c r="N182" s="61">
        <f t="shared" si="64"/>
        <v>0</v>
      </c>
      <c r="O182" s="61">
        <f t="shared" si="64"/>
        <v>0</v>
      </c>
      <c r="P182" s="61">
        <f t="shared" si="64"/>
        <v>0</v>
      </c>
      <c r="Q182" s="61">
        <f t="shared" si="64"/>
        <v>0</v>
      </c>
      <c r="R182" s="61">
        <f t="shared" si="64"/>
        <v>0</v>
      </c>
      <c r="S182" s="61">
        <f t="shared" si="64"/>
        <v>0</v>
      </c>
      <c r="T182" s="61">
        <f t="shared" si="64"/>
        <v>0</v>
      </c>
      <c r="U182" s="61">
        <f t="shared" si="64"/>
        <v>0</v>
      </c>
      <c r="V182" s="61">
        <f t="shared" si="64"/>
        <v>0</v>
      </c>
      <c r="W182" s="61">
        <f t="shared" si="64"/>
        <v>0</v>
      </c>
      <c r="X182" s="61">
        <f t="shared" si="64"/>
        <v>0</v>
      </c>
      <c r="Y182" s="61">
        <f t="shared" si="64"/>
        <v>0</v>
      </c>
    </row>
    <row r="183" spans="1:28" x14ac:dyDescent="0.25">
      <c r="A183" s="128" t="str">
        <f>A$23</f>
        <v>lot9</v>
      </c>
      <c r="B183" s="61">
        <f t="shared" ref="B183:Y183" si="65">IF(B84=2,B157,0)</f>
        <v>0</v>
      </c>
      <c r="C183" s="61">
        <f t="shared" si="65"/>
        <v>0</v>
      </c>
      <c r="D183" s="61">
        <f t="shared" si="65"/>
        <v>0</v>
      </c>
      <c r="E183" s="61">
        <f t="shared" si="65"/>
        <v>0</v>
      </c>
      <c r="F183" s="61">
        <f t="shared" si="65"/>
        <v>0</v>
      </c>
      <c r="G183" s="61">
        <f t="shared" si="65"/>
        <v>0</v>
      </c>
      <c r="H183" s="61">
        <f t="shared" si="65"/>
        <v>0</v>
      </c>
      <c r="I183" s="61">
        <f t="shared" si="65"/>
        <v>0</v>
      </c>
      <c r="J183" s="61">
        <f t="shared" si="65"/>
        <v>0</v>
      </c>
      <c r="K183" s="61">
        <f t="shared" si="65"/>
        <v>0</v>
      </c>
      <c r="L183" s="61">
        <f t="shared" si="65"/>
        <v>0</v>
      </c>
      <c r="M183" s="61">
        <f t="shared" si="65"/>
        <v>0</v>
      </c>
      <c r="N183" s="61">
        <f t="shared" si="65"/>
        <v>0</v>
      </c>
      <c r="O183" s="61">
        <f t="shared" si="65"/>
        <v>0</v>
      </c>
      <c r="P183" s="61">
        <f t="shared" si="65"/>
        <v>0</v>
      </c>
      <c r="Q183" s="61">
        <f t="shared" si="65"/>
        <v>0</v>
      </c>
      <c r="R183" s="61">
        <f t="shared" si="65"/>
        <v>0</v>
      </c>
      <c r="S183" s="61">
        <f t="shared" si="65"/>
        <v>0</v>
      </c>
      <c r="T183" s="61">
        <f t="shared" si="65"/>
        <v>0</v>
      </c>
      <c r="U183" s="61">
        <f t="shared" si="65"/>
        <v>0</v>
      </c>
      <c r="V183" s="61">
        <f t="shared" si="65"/>
        <v>0</v>
      </c>
      <c r="W183" s="61">
        <f t="shared" si="65"/>
        <v>0</v>
      </c>
      <c r="X183" s="61">
        <f t="shared" si="65"/>
        <v>0</v>
      </c>
      <c r="Y183" s="61">
        <f t="shared" si="65"/>
        <v>0</v>
      </c>
    </row>
    <row r="184" spans="1:28" x14ac:dyDescent="0.25">
      <c r="A184" s="128" t="str">
        <f>A$24</f>
        <v>lot10</v>
      </c>
      <c r="B184" s="61">
        <f t="shared" ref="B184:Y184" si="66">IF(B85=2,B158,0)</f>
        <v>0</v>
      </c>
      <c r="C184" s="61">
        <f t="shared" si="66"/>
        <v>0</v>
      </c>
      <c r="D184" s="61">
        <f t="shared" si="66"/>
        <v>0</v>
      </c>
      <c r="E184" s="61">
        <f t="shared" si="66"/>
        <v>0</v>
      </c>
      <c r="F184" s="61">
        <f t="shared" si="66"/>
        <v>0</v>
      </c>
      <c r="G184" s="61">
        <f t="shared" si="66"/>
        <v>0</v>
      </c>
      <c r="H184" s="61">
        <f t="shared" si="66"/>
        <v>0</v>
      </c>
      <c r="I184" s="61">
        <f t="shared" si="66"/>
        <v>0</v>
      </c>
      <c r="J184" s="61">
        <f t="shared" si="66"/>
        <v>0</v>
      </c>
      <c r="K184" s="61">
        <f t="shared" si="66"/>
        <v>0</v>
      </c>
      <c r="L184" s="61">
        <f t="shared" si="66"/>
        <v>0</v>
      </c>
      <c r="M184" s="61">
        <f t="shared" si="66"/>
        <v>0</v>
      </c>
      <c r="N184" s="61">
        <f t="shared" si="66"/>
        <v>0</v>
      </c>
      <c r="O184" s="61">
        <f t="shared" si="66"/>
        <v>0</v>
      </c>
      <c r="P184" s="61">
        <f t="shared" si="66"/>
        <v>0</v>
      </c>
      <c r="Q184" s="61">
        <f t="shared" si="66"/>
        <v>0</v>
      </c>
      <c r="R184" s="61">
        <f t="shared" si="66"/>
        <v>0</v>
      </c>
      <c r="S184" s="61">
        <f t="shared" si="66"/>
        <v>0</v>
      </c>
      <c r="T184" s="61">
        <f t="shared" si="66"/>
        <v>0</v>
      </c>
      <c r="U184" s="61">
        <f t="shared" si="66"/>
        <v>0</v>
      </c>
      <c r="V184" s="61">
        <f t="shared" si="66"/>
        <v>0</v>
      </c>
      <c r="W184" s="61">
        <f t="shared" si="66"/>
        <v>0</v>
      </c>
      <c r="X184" s="61">
        <f t="shared" si="66"/>
        <v>0</v>
      </c>
      <c r="Y184" s="61">
        <f t="shared" si="66"/>
        <v>0</v>
      </c>
    </row>
    <row r="185" spans="1:28" x14ac:dyDescent="0.25">
      <c r="A185" s="38" t="s">
        <v>317</v>
      </c>
      <c r="B185" s="61">
        <f>SUM(CdTrp4!B175:B184)</f>
        <v>0</v>
      </c>
      <c r="C185" s="61">
        <f>SUM(CdTrp4!C175:C184)</f>
        <v>0</v>
      </c>
      <c r="D185" s="61">
        <f>SUM(CdTrp4!D175:D184)</f>
        <v>0</v>
      </c>
      <c r="E185" s="61">
        <f>SUM(CdTrp4!E175:E184)</f>
        <v>0</v>
      </c>
      <c r="F185" s="61">
        <f>SUM(CdTrp4!F175:F184)</f>
        <v>0</v>
      </c>
      <c r="G185" s="61">
        <f>SUM(CdTrp4!G175:G184)</f>
        <v>0</v>
      </c>
      <c r="H185" s="61">
        <f>SUM(CdTrp4!H175:H184)</f>
        <v>0</v>
      </c>
      <c r="I185" s="61">
        <f>SUM(CdTrp4!I175:I184)</f>
        <v>0</v>
      </c>
      <c r="J185" s="61">
        <f>SUM(CdTrp4!J175:J184)</f>
        <v>0</v>
      </c>
      <c r="K185" s="61">
        <f>SUM(CdTrp4!K175:K184)</f>
        <v>0</v>
      </c>
      <c r="L185" s="61">
        <f>SUM(CdTrp4!L175:L184)</f>
        <v>0</v>
      </c>
      <c r="M185" s="61">
        <f>SUM(CdTrp4!M175:M184)</f>
        <v>0</v>
      </c>
      <c r="N185" s="61">
        <f>SUM(CdTrp4!N175:N184)</f>
        <v>0</v>
      </c>
      <c r="O185" s="61">
        <f>SUM(CdTrp4!O175:O184)</f>
        <v>0</v>
      </c>
      <c r="P185" s="61">
        <f>SUM(CdTrp4!P175:P184)</f>
        <v>0</v>
      </c>
      <c r="Q185" s="61">
        <f>SUM(CdTrp4!Q175:Q184)</f>
        <v>0</v>
      </c>
      <c r="R185" s="61">
        <f>SUM(CdTrp4!R175:R184)</f>
        <v>0</v>
      </c>
      <c r="S185" s="61">
        <f>SUM(CdTrp4!S175:S184)</f>
        <v>0</v>
      </c>
      <c r="T185" s="61">
        <f>SUM(CdTrp4!T175:T184)</f>
        <v>0</v>
      </c>
      <c r="U185" s="61">
        <f>SUM(CdTrp4!U175:U184)</f>
        <v>0</v>
      </c>
      <c r="V185" s="61">
        <f>SUM(CdTrp4!V175:V184)</f>
        <v>0</v>
      </c>
      <c r="W185" s="61">
        <f>SUM(CdTrp4!W175:W184)</f>
        <v>0</v>
      </c>
      <c r="X185" s="61">
        <f>SUM(CdTrp4!X175:X184)</f>
        <v>0</v>
      </c>
      <c r="Y185" s="61">
        <f>SUM(CdTrp4!Y175:Y184)</f>
        <v>0</v>
      </c>
      <c r="AA185" s="64">
        <f>SUM(B185:Y185)</f>
        <v>0</v>
      </c>
      <c r="AB185" t="s">
        <v>214</v>
      </c>
    </row>
    <row r="187" spans="1:28" x14ac:dyDescent="0.25">
      <c r="A187" s="2" t="s">
        <v>215</v>
      </c>
      <c r="F187" s="2"/>
    </row>
    <row r="188" spans="1:28" x14ac:dyDescent="0.25">
      <c r="A188" s="128" t="str">
        <f>A$15</f>
        <v>lot1</v>
      </c>
      <c r="B188" s="61">
        <f t="shared" ref="B188:Y188" si="67">IF(B76=3,B149,0)</f>
        <v>0</v>
      </c>
      <c r="C188" s="61">
        <f t="shared" si="67"/>
        <v>0</v>
      </c>
      <c r="D188" s="61">
        <f t="shared" si="67"/>
        <v>0</v>
      </c>
      <c r="E188" s="61">
        <f t="shared" si="67"/>
        <v>0</v>
      </c>
      <c r="F188" s="61">
        <f t="shared" si="67"/>
        <v>0</v>
      </c>
      <c r="G188" s="61">
        <f t="shared" si="67"/>
        <v>0</v>
      </c>
      <c r="H188" s="61">
        <f t="shared" si="67"/>
        <v>0</v>
      </c>
      <c r="I188" s="61">
        <f t="shared" si="67"/>
        <v>0</v>
      </c>
      <c r="J188" s="61">
        <f t="shared" si="67"/>
        <v>0</v>
      </c>
      <c r="K188" s="61">
        <f t="shared" si="67"/>
        <v>0</v>
      </c>
      <c r="L188" s="61">
        <f t="shared" si="67"/>
        <v>0</v>
      </c>
      <c r="M188" s="61">
        <f t="shared" si="67"/>
        <v>0</v>
      </c>
      <c r="N188" s="61">
        <f t="shared" si="67"/>
        <v>0</v>
      </c>
      <c r="O188" s="61">
        <f t="shared" si="67"/>
        <v>0</v>
      </c>
      <c r="P188" s="61">
        <f t="shared" si="67"/>
        <v>0</v>
      </c>
      <c r="Q188" s="61">
        <f t="shared" si="67"/>
        <v>0</v>
      </c>
      <c r="R188" s="61">
        <f t="shared" si="67"/>
        <v>0</v>
      </c>
      <c r="S188" s="61">
        <f t="shared" si="67"/>
        <v>0</v>
      </c>
      <c r="T188" s="61">
        <f t="shared" si="67"/>
        <v>0</v>
      </c>
      <c r="U188" s="61">
        <f t="shared" si="67"/>
        <v>0</v>
      </c>
      <c r="V188" s="61">
        <f t="shared" si="67"/>
        <v>0</v>
      </c>
      <c r="W188" s="61">
        <f t="shared" si="67"/>
        <v>0</v>
      </c>
      <c r="X188" s="61">
        <f t="shared" si="67"/>
        <v>0</v>
      </c>
      <c r="Y188" s="61">
        <f t="shared" si="67"/>
        <v>0</v>
      </c>
    </row>
    <row r="189" spans="1:28" x14ac:dyDescent="0.25">
      <c r="A189" s="128" t="str">
        <f>A$16</f>
        <v>lot2</v>
      </c>
      <c r="B189" s="61">
        <f t="shared" ref="B189:Y189" si="68">IF(B77=3,B150,0)</f>
        <v>0</v>
      </c>
      <c r="C189" s="61">
        <f t="shared" si="68"/>
        <v>0</v>
      </c>
      <c r="D189" s="61">
        <f t="shared" si="68"/>
        <v>0</v>
      </c>
      <c r="E189" s="61">
        <f t="shared" si="68"/>
        <v>0</v>
      </c>
      <c r="F189" s="61">
        <f t="shared" si="68"/>
        <v>0</v>
      </c>
      <c r="G189" s="61">
        <f t="shared" si="68"/>
        <v>0</v>
      </c>
      <c r="H189" s="61">
        <f t="shared" si="68"/>
        <v>0</v>
      </c>
      <c r="I189" s="61">
        <f t="shared" si="68"/>
        <v>0</v>
      </c>
      <c r="J189" s="61">
        <f t="shared" si="68"/>
        <v>0</v>
      </c>
      <c r="K189" s="61">
        <f t="shared" si="68"/>
        <v>0</v>
      </c>
      <c r="L189" s="61">
        <f t="shared" si="68"/>
        <v>0</v>
      </c>
      <c r="M189" s="61">
        <f t="shared" si="68"/>
        <v>0</v>
      </c>
      <c r="N189" s="61">
        <f t="shared" si="68"/>
        <v>0</v>
      </c>
      <c r="O189" s="61">
        <f t="shared" si="68"/>
        <v>0</v>
      </c>
      <c r="P189" s="61">
        <f t="shared" si="68"/>
        <v>0</v>
      </c>
      <c r="Q189" s="61">
        <f t="shared" si="68"/>
        <v>0</v>
      </c>
      <c r="R189" s="61">
        <f t="shared" si="68"/>
        <v>0</v>
      </c>
      <c r="S189" s="61">
        <f t="shared" si="68"/>
        <v>0</v>
      </c>
      <c r="T189" s="61">
        <f t="shared" si="68"/>
        <v>0</v>
      </c>
      <c r="U189" s="61">
        <f t="shared" si="68"/>
        <v>0</v>
      </c>
      <c r="V189" s="61">
        <f t="shared" si="68"/>
        <v>0</v>
      </c>
      <c r="W189" s="61">
        <f t="shared" si="68"/>
        <v>0</v>
      </c>
      <c r="X189" s="61">
        <f t="shared" si="68"/>
        <v>0</v>
      </c>
      <c r="Y189" s="61">
        <f t="shared" si="68"/>
        <v>0</v>
      </c>
    </row>
    <row r="190" spans="1:28" x14ac:dyDescent="0.25">
      <c r="A190" s="127" t="str">
        <f>A$17</f>
        <v>lot3</v>
      </c>
      <c r="B190" s="61">
        <f t="shared" ref="B190:Y190" si="69">IF(B78=3,B151,0)</f>
        <v>0</v>
      </c>
      <c r="C190" s="61">
        <f t="shared" si="69"/>
        <v>0</v>
      </c>
      <c r="D190" s="61">
        <f t="shared" si="69"/>
        <v>0</v>
      </c>
      <c r="E190" s="61">
        <f t="shared" si="69"/>
        <v>0</v>
      </c>
      <c r="F190" s="61">
        <f t="shared" si="69"/>
        <v>0</v>
      </c>
      <c r="G190" s="61">
        <f t="shared" si="69"/>
        <v>0</v>
      </c>
      <c r="H190" s="61">
        <f t="shared" si="69"/>
        <v>0</v>
      </c>
      <c r="I190" s="61">
        <f t="shared" si="69"/>
        <v>0</v>
      </c>
      <c r="J190" s="61">
        <f t="shared" si="69"/>
        <v>0</v>
      </c>
      <c r="K190" s="61">
        <f t="shared" si="69"/>
        <v>0</v>
      </c>
      <c r="L190" s="61">
        <f t="shared" si="69"/>
        <v>0</v>
      </c>
      <c r="M190" s="61">
        <f t="shared" si="69"/>
        <v>0</v>
      </c>
      <c r="N190" s="61">
        <f t="shared" si="69"/>
        <v>0</v>
      </c>
      <c r="O190" s="61">
        <f t="shared" si="69"/>
        <v>0</v>
      </c>
      <c r="P190" s="61">
        <f t="shared" si="69"/>
        <v>0</v>
      </c>
      <c r="Q190" s="61">
        <f t="shared" si="69"/>
        <v>0</v>
      </c>
      <c r="R190" s="61">
        <f t="shared" si="69"/>
        <v>0</v>
      </c>
      <c r="S190" s="61">
        <f t="shared" si="69"/>
        <v>0</v>
      </c>
      <c r="T190" s="61">
        <f t="shared" si="69"/>
        <v>0</v>
      </c>
      <c r="U190" s="61">
        <f t="shared" si="69"/>
        <v>0</v>
      </c>
      <c r="V190" s="61">
        <f t="shared" si="69"/>
        <v>0</v>
      </c>
      <c r="W190" s="61">
        <f t="shared" si="69"/>
        <v>0</v>
      </c>
      <c r="X190" s="61">
        <f t="shared" si="69"/>
        <v>0</v>
      </c>
      <c r="Y190" s="61">
        <f t="shared" si="69"/>
        <v>0</v>
      </c>
    </row>
    <row r="191" spans="1:28" x14ac:dyDescent="0.25">
      <c r="A191" s="128" t="str">
        <f>A$18</f>
        <v>lot4</v>
      </c>
      <c r="B191" s="61">
        <f t="shared" ref="B191:Y191" si="70">IF(B79=3,B152,0)</f>
        <v>0</v>
      </c>
      <c r="C191" s="61">
        <f t="shared" si="70"/>
        <v>0</v>
      </c>
      <c r="D191" s="61">
        <f t="shared" si="70"/>
        <v>0</v>
      </c>
      <c r="E191" s="61">
        <f t="shared" si="70"/>
        <v>0</v>
      </c>
      <c r="F191" s="61">
        <f t="shared" si="70"/>
        <v>0</v>
      </c>
      <c r="G191" s="61">
        <f t="shared" si="70"/>
        <v>0</v>
      </c>
      <c r="H191" s="61">
        <f t="shared" si="70"/>
        <v>0</v>
      </c>
      <c r="I191" s="61">
        <f t="shared" si="70"/>
        <v>0</v>
      </c>
      <c r="J191" s="61">
        <f t="shared" si="70"/>
        <v>0</v>
      </c>
      <c r="K191" s="61">
        <f t="shared" si="70"/>
        <v>0</v>
      </c>
      <c r="L191" s="61">
        <f t="shared" si="70"/>
        <v>0</v>
      </c>
      <c r="M191" s="61">
        <f t="shared" si="70"/>
        <v>0</v>
      </c>
      <c r="N191" s="61">
        <f t="shared" si="70"/>
        <v>0</v>
      </c>
      <c r="O191" s="61">
        <f t="shared" si="70"/>
        <v>0</v>
      </c>
      <c r="P191" s="61">
        <f t="shared" si="70"/>
        <v>0</v>
      </c>
      <c r="Q191" s="61">
        <f t="shared" si="70"/>
        <v>0</v>
      </c>
      <c r="R191" s="61">
        <f t="shared" si="70"/>
        <v>0</v>
      </c>
      <c r="S191" s="61">
        <f t="shared" si="70"/>
        <v>0</v>
      </c>
      <c r="T191" s="61">
        <f t="shared" si="70"/>
        <v>0</v>
      </c>
      <c r="U191" s="61">
        <f t="shared" si="70"/>
        <v>0</v>
      </c>
      <c r="V191" s="61">
        <f t="shared" si="70"/>
        <v>0</v>
      </c>
      <c r="W191" s="61">
        <f t="shared" si="70"/>
        <v>0</v>
      </c>
      <c r="X191" s="61">
        <f t="shared" si="70"/>
        <v>0</v>
      </c>
      <c r="Y191" s="61">
        <f t="shared" si="70"/>
        <v>0</v>
      </c>
    </row>
    <row r="192" spans="1:28" x14ac:dyDescent="0.25">
      <c r="A192" s="128" t="str">
        <f>A$19</f>
        <v>lot5</v>
      </c>
      <c r="B192" s="61">
        <f t="shared" ref="B192:Y192" si="71">IF(B80=3,B153,0)</f>
        <v>0</v>
      </c>
      <c r="C192" s="61">
        <f t="shared" si="71"/>
        <v>0</v>
      </c>
      <c r="D192" s="61">
        <f t="shared" si="71"/>
        <v>0</v>
      </c>
      <c r="E192" s="61">
        <f t="shared" si="71"/>
        <v>0</v>
      </c>
      <c r="F192" s="61">
        <f t="shared" si="71"/>
        <v>0</v>
      </c>
      <c r="G192" s="61">
        <f t="shared" si="71"/>
        <v>0</v>
      </c>
      <c r="H192" s="61">
        <f t="shared" si="71"/>
        <v>0</v>
      </c>
      <c r="I192" s="61">
        <f t="shared" si="71"/>
        <v>0</v>
      </c>
      <c r="J192" s="61">
        <f t="shared" si="71"/>
        <v>0</v>
      </c>
      <c r="K192" s="61">
        <f t="shared" si="71"/>
        <v>0</v>
      </c>
      <c r="L192" s="61">
        <f t="shared" si="71"/>
        <v>0</v>
      </c>
      <c r="M192" s="61">
        <f t="shared" si="71"/>
        <v>0</v>
      </c>
      <c r="N192" s="61">
        <f t="shared" si="71"/>
        <v>0</v>
      </c>
      <c r="O192" s="61">
        <f t="shared" si="71"/>
        <v>0</v>
      </c>
      <c r="P192" s="61">
        <f t="shared" si="71"/>
        <v>0</v>
      </c>
      <c r="Q192" s="61">
        <f t="shared" si="71"/>
        <v>0</v>
      </c>
      <c r="R192" s="61">
        <f t="shared" si="71"/>
        <v>0</v>
      </c>
      <c r="S192" s="61">
        <f t="shared" si="71"/>
        <v>0</v>
      </c>
      <c r="T192" s="61">
        <f t="shared" si="71"/>
        <v>0</v>
      </c>
      <c r="U192" s="61">
        <f t="shared" si="71"/>
        <v>0</v>
      </c>
      <c r="V192" s="61">
        <f t="shared" si="71"/>
        <v>0</v>
      </c>
      <c r="W192" s="61">
        <f t="shared" si="71"/>
        <v>0</v>
      </c>
      <c r="X192" s="61">
        <f t="shared" si="71"/>
        <v>0</v>
      </c>
      <c r="Y192" s="61">
        <f t="shared" si="71"/>
        <v>0</v>
      </c>
    </row>
    <row r="193" spans="1:28" x14ac:dyDescent="0.25">
      <c r="A193" s="128" t="str">
        <f>A$20</f>
        <v>lot6</v>
      </c>
      <c r="B193" s="61">
        <f t="shared" ref="B193:Y193" si="72">IF(B81=3,B154,0)</f>
        <v>0</v>
      </c>
      <c r="C193" s="61">
        <f t="shared" si="72"/>
        <v>0</v>
      </c>
      <c r="D193" s="61">
        <f t="shared" si="72"/>
        <v>0</v>
      </c>
      <c r="E193" s="61">
        <f t="shared" si="72"/>
        <v>0</v>
      </c>
      <c r="F193" s="61">
        <f t="shared" si="72"/>
        <v>0</v>
      </c>
      <c r="G193" s="61">
        <f t="shared" si="72"/>
        <v>0</v>
      </c>
      <c r="H193" s="61">
        <f t="shared" si="72"/>
        <v>0</v>
      </c>
      <c r="I193" s="61">
        <f t="shared" si="72"/>
        <v>0</v>
      </c>
      <c r="J193" s="61">
        <f t="shared" si="72"/>
        <v>0</v>
      </c>
      <c r="K193" s="61">
        <f t="shared" si="72"/>
        <v>0</v>
      </c>
      <c r="L193" s="61">
        <f t="shared" si="72"/>
        <v>0</v>
      </c>
      <c r="M193" s="61">
        <f t="shared" si="72"/>
        <v>0</v>
      </c>
      <c r="N193" s="61">
        <f t="shared" si="72"/>
        <v>0</v>
      </c>
      <c r="O193" s="61">
        <f t="shared" si="72"/>
        <v>0</v>
      </c>
      <c r="P193" s="61">
        <f t="shared" si="72"/>
        <v>0</v>
      </c>
      <c r="Q193" s="61">
        <f t="shared" si="72"/>
        <v>0</v>
      </c>
      <c r="R193" s="61">
        <f t="shared" si="72"/>
        <v>0</v>
      </c>
      <c r="S193" s="61">
        <f t="shared" si="72"/>
        <v>0</v>
      </c>
      <c r="T193" s="61">
        <f t="shared" si="72"/>
        <v>0</v>
      </c>
      <c r="U193" s="61">
        <f t="shared" si="72"/>
        <v>0</v>
      </c>
      <c r="V193" s="61">
        <f t="shared" si="72"/>
        <v>0</v>
      </c>
      <c r="W193" s="61">
        <f t="shared" si="72"/>
        <v>0</v>
      </c>
      <c r="X193" s="61">
        <f t="shared" si="72"/>
        <v>0</v>
      </c>
      <c r="Y193" s="61">
        <f t="shared" si="72"/>
        <v>0</v>
      </c>
    </row>
    <row r="194" spans="1:28" x14ac:dyDescent="0.25">
      <c r="A194" s="127" t="str">
        <f>A$21</f>
        <v>lot7</v>
      </c>
      <c r="B194" s="61">
        <f t="shared" ref="B194:Y194" si="73">IF(B82=3,B155,0)</f>
        <v>0</v>
      </c>
      <c r="C194" s="61">
        <f t="shared" si="73"/>
        <v>0</v>
      </c>
      <c r="D194" s="61">
        <f t="shared" si="73"/>
        <v>0</v>
      </c>
      <c r="E194" s="61">
        <f t="shared" si="73"/>
        <v>0</v>
      </c>
      <c r="F194" s="61">
        <f t="shared" si="73"/>
        <v>0</v>
      </c>
      <c r="G194" s="61">
        <f t="shared" si="73"/>
        <v>0</v>
      </c>
      <c r="H194" s="61">
        <f t="shared" si="73"/>
        <v>0</v>
      </c>
      <c r="I194" s="61">
        <f t="shared" si="73"/>
        <v>0</v>
      </c>
      <c r="J194" s="61">
        <f t="shared" si="73"/>
        <v>0</v>
      </c>
      <c r="K194" s="61">
        <f t="shared" si="73"/>
        <v>0</v>
      </c>
      <c r="L194" s="61">
        <f t="shared" si="73"/>
        <v>0</v>
      </c>
      <c r="M194" s="61">
        <f t="shared" si="73"/>
        <v>0</v>
      </c>
      <c r="N194" s="61">
        <f t="shared" si="73"/>
        <v>0</v>
      </c>
      <c r="O194" s="61">
        <f t="shared" si="73"/>
        <v>0</v>
      </c>
      <c r="P194" s="61">
        <f t="shared" si="73"/>
        <v>0</v>
      </c>
      <c r="Q194" s="61">
        <f t="shared" si="73"/>
        <v>0</v>
      </c>
      <c r="R194" s="61">
        <f t="shared" si="73"/>
        <v>0</v>
      </c>
      <c r="S194" s="61">
        <f t="shared" si="73"/>
        <v>0</v>
      </c>
      <c r="T194" s="61">
        <f t="shared" si="73"/>
        <v>0</v>
      </c>
      <c r="U194" s="61">
        <f t="shared" si="73"/>
        <v>0</v>
      </c>
      <c r="V194" s="61">
        <f t="shared" si="73"/>
        <v>0</v>
      </c>
      <c r="W194" s="61">
        <f t="shared" si="73"/>
        <v>0</v>
      </c>
      <c r="X194" s="61">
        <f t="shared" si="73"/>
        <v>0</v>
      </c>
      <c r="Y194" s="61">
        <f t="shared" si="73"/>
        <v>0</v>
      </c>
    </row>
    <row r="195" spans="1:28" x14ac:dyDescent="0.25">
      <c r="A195" s="128" t="str">
        <f>A$22</f>
        <v>lot8</v>
      </c>
      <c r="B195" s="61">
        <f t="shared" ref="B195:Y195" si="74">IF(B83=3,B156,0)</f>
        <v>0</v>
      </c>
      <c r="C195" s="61">
        <f t="shared" si="74"/>
        <v>0</v>
      </c>
      <c r="D195" s="61">
        <f t="shared" si="74"/>
        <v>0</v>
      </c>
      <c r="E195" s="61">
        <f t="shared" si="74"/>
        <v>0</v>
      </c>
      <c r="F195" s="61">
        <f t="shared" si="74"/>
        <v>0</v>
      </c>
      <c r="G195" s="61">
        <f t="shared" si="74"/>
        <v>0</v>
      </c>
      <c r="H195" s="61">
        <f t="shared" si="74"/>
        <v>0</v>
      </c>
      <c r="I195" s="61">
        <f t="shared" si="74"/>
        <v>0</v>
      </c>
      <c r="J195" s="61">
        <f t="shared" si="74"/>
        <v>0</v>
      </c>
      <c r="K195" s="61">
        <f t="shared" si="74"/>
        <v>0</v>
      </c>
      <c r="L195" s="61">
        <f t="shared" si="74"/>
        <v>0</v>
      </c>
      <c r="M195" s="61">
        <f t="shared" si="74"/>
        <v>0</v>
      </c>
      <c r="N195" s="61">
        <f t="shared" si="74"/>
        <v>0</v>
      </c>
      <c r="O195" s="61">
        <f t="shared" si="74"/>
        <v>0</v>
      </c>
      <c r="P195" s="61">
        <f t="shared" si="74"/>
        <v>0</v>
      </c>
      <c r="Q195" s="61">
        <f t="shared" si="74"/>
        <v>0</v>
      </c>
      <c r="R195" s="61">
        <f t="shared" si="74"/>
        <v>0</v>
      </c>
      <c r="S195" s="61">
        <f t="shared" si="74"/>
        <v>0</v>
      </c>
      <c r="T195" s="61">
        <f t="shared" si="74"/>
        <v>0</v>
      </c>
      <c r="U195" s="61">
        <f t="shared" si="74"/>
        <v>0</v>
      </c>
      <c r="V195" s="61">
        <f t="shared" si="74"/>
        <v>0</v>
      </c>
      <c r="W195" s="61">
        <f t="shared" si="74"/>
        <v>0</v>
      </c>
      <c r="X195" s="61">
        <f t="shared" si="74"/>
        <v>0</v>
      </c>
      <c r="Y195" s="61">
        <f t="shared" si="74"/>
        <v>0</v>
      </c>
    </row>
    <row r="196" spans="1:28" x14ac:dyDescent="0.25">
      <c r="A196" s="128" t="str">
        <f>A$23</f>
        <v>lot9</v>
      </c>
      <c r="B196" s="61">
        <f t="shared" ref="B196:Y196" si="75">IF(B84=3,B157,0)</f>
        <v>0</v>
      </c>
      <c r="C196" s="61">
        <f t="shared" si="75"/>
        <v>0</v>
      </c>
      <c r="D196" s="61">
        <f t="shared" si="75"/>
        <v>0</v>
      </c>
      <c r="E196" s="61">
        <f t="shared" si="75"/>
        <v>0</v>
      </c>
      <c r="F196" s="61">
        <f t="shared" si="75"/>
        <v>0</v>
      </c>
      <c r="G196" s="61">
        <f t="shared" si="75"/>
        <v>0</v>
      </c>
      <c r="H196" s="61">
        <f t="shared" si="75"/>
        <v>0</v>
      </c>
      <c r="I196" s="61">
        <f t="shared" si="75"/>
        <v>0</v>
      </c>
      <c r="J196" s="61">
        <f t="shared" si="75"/>
        <v>0</v>
      </c>
      <c r="K196" s="61">
        <f t="shared" si="75"/>
        <v>0</v>
      </c>
      <c r="L196" s="61">
        <f t="shared" si="75"/>
        <v>0</v>
      </c>
      <c r="M196" s="61">
        <f t="shared" si="75"/>
        <v>0</v>
      </c>
      <c r="N196" s="61">
        <f t="shared" si="75"/>
        <v>0</v>
      </c>
      <c r="O196" s="61">
        <f t="shared" si="75"/>
        <v>0</v>
      </c>
      <c r="P196" s="61">
        <f t="shared" si="75"/>
        <v>0</v>
      </c>
      <c r="Q196" s="61">
        <f t="shared" si="75"/>
        <v>0</v>
      </c>
      <c r="R196" s="61">
        <f t="shared" si="75"/>
        <v>0</v>
      </c>
      <c r="S196" s="61">
        <f t="shared" si="75"/>
        <v>0</v>
      </c>
      <c r="T196" s="61">
        <f t="shared" si="75"/>
        <v>0</v>
      </c>
      <c r="U196" s="61">
        <f t="shared" si="75"/>
        <v>0</v>
      </c>
      <c r="V196" s="61">
        <f t="shared" si="75"/>
        <v>0</v>
      </c>
      <c r="W196" s="61">
        <f t="shared" si="75"/>
        <v>0</v>
      </c>
      <c r="X196" s="61">
        <f t="shared" si="75"/>
        <v>0</v>
      </c>
      <c r="Y196" s="61">
        <f t="shared" si="75"/>
        <v>0</v>
      </c>
    </row>
    <row r="197" spans="1:28" x14ac:dyDescent="0.25">
      <c r="A197" s="128" t="str">
        <f>A$24</f>
        <v>lot10</v>
      </c>
      <c r="B197" s="61">
        <f t="shared" ref="B197:Y197" si="76">IF(B85=3,B158,0)</f>
        <v>0</v>
      </c>
      <c r="C197" s="61">
        <f t="shared" si="76"/>
        <v>0</v>
      </c>
      <c r="D197" s="61">
        <f t="shared" si="76"/>
        <v>0</v>
      </c>
      <c r="E197" s="61">
        <f t="shared" si="76"/>
        <v>0</v>
      </c>
      <c r="F197" s="61">
        <f t="shared" si="76"/>
        <v>0</v>
      </c>
      <c r="G197" s="61">
        <f t="shared" si="76"/>
        <v>0</v>
      </c>
      <c r="H197" s="61">
        <f t="shared" si="76"/>
        <v>0</v>
      </c>
      <c r="I197" s="61">
        <f t="shared" si="76"/>
        <v>0</v>
      </c>
      <c r="J197" s="61">
        <f t="shared" si="76"/>
        <v>0</v>
      </c>
      <c r="K197" s="61">
        <f t="shared" si="76"/>
        <v>0</v>
      </c>
      <c r="L197" s="61">
        <f t="shared" si="76"/>
        <v>0</v>
      </c>
      <c r="M197" s="61">
        <f t="shared" si="76"/>
        <v>0</v>
      </c>
      <c r="N197" s="61">
        <f t="shared" si="76"/>
        <v>0</v>
      </c>
      <c r="O197" s="61">
        <f t="shared" si="76"/>
        <v>0</v>
      </c>
      <c r="P197" s="61">
        <f t="shared" si="76"/>
        <v>0</v>
      </c>
      <c r="Q197" s="61">
        <f t="shared" si="76"/>
        <v>0</v>
      </c>
      <c r="R197" s="61">
        <f t="shared" si="76"/>
        <v>0</v>
      </c>
      <c r="S197" s="61">
        <f t="shared" si="76"/>
        <v>0</v>
      </c>
      <c r="T197" s="61">
        <f t="shared" si="76"/>
        <v>0</v>
      </c>
      <c r="U197" s="61">
        <f t="shared" si="76"/>
        <v>0</v>
      </c>
      <c r="V197" s="61">
        <f t="shared" si="76"/>
        <v>0</v>
      </c>
      <c r="W197" s="61">
        <f t="shared" si="76"/>
        <v>0</v>
      </c>
      <c r="X197" s="61">
        <f t="shared" si="76"/>
        <v>0</v>
      </c>
      <c r="Y197" s="61">
        <f t="shared" si="76"/>
        <v>0</v>
      </c>
    </row>
    <row r="198" spans="1:28" x14ac:dyDescent="0.25">
      <c r="A198" s="38" t="s">
        <v>316</v>
      </c>
      <c r="B198" s="61">
        <f>SUM(B188:B197)</f>
        <v>0</v>
      </c>
      <c r="C198" s="61">
        <f t="shared" ref="C198:Y198" si="77">SUM(C188:C197)</f>
        <v>0</v>
      </c>
      <c r="D198" s="61">
        <f t="shared" si="77"/>
        <v>0</v>
      </c>
      <c r="E198" s="61">
        <f t="shared" si="77"/>
        <v>0</v>
      </c>
      <c r="F198" s="61">
        <f t="shared" si="77"/>
        <v>0</v>
      </c>
      <c r="G198" s="61">
        <f t="shared" si="77"/>
        <v>0</v>
      </c>
      <c r="H198" s="61">
        <f t="shared" si="77"/>
        <v>0</v>
      </c>
      <c r="I198" s="61">
        <f t="shared" si="77"/>
        <v>0</v>
      </c>
      <c r="J198" s="61">
        <f t="shared" si="77"/>
        <v>0</v>
      </c>
      <c r="K198" s="61">
        <f t="shared" si="77"/>
        <v>0</v>
      </c>
      <c r="L198" s="61">
        <f t="shared" si="77"/>
        <v>0</v>
      </c>
      <c r="M198" s="61">
        <f t="shared" si="77"/>
        <v>0</v>
      </c>
      <c r="N198" s="61">
        <f t="shared" si="77"/>
        <v>0</v>
      </c>
      <c r="O198" s="61">
        <f t="shared" si="77"/>
        <v>0</v>
      </c>
      <c r="P198" s="61">
        <f t="shared" si="77"/>
        <v>0</v>
      </c>
      <c r="Q198" s="61">
        <f t="shared" si="77"/>
        <v>0</v>
      </c>
      <c r="R198" s="61">
        <f t="shared" si="77"/>
        <v>0</v>
      </c>
      <c r="S198" s="61">
        <f t="shared" si="77"/>
        <v>0</v>
      </c>
      <c r="T198" s="61">
        <f t="shared" si="77"/>
        <v>0</v>
      </c>
      <c r="U198" s="61">
        <f t="shared" si="77"/>
        <v>0</v>
      </c>
      <c r="V198" s="61">
        <f t="shared" si="77"/>
        <v>0</v>
      </c>
      <c r="W198" s="61">
        <f t="shared" si="77"/>
        <v>0</v>
      </c>
      <c r="X198" s="61">
        <f t="shared" si="77"/>
        <v>0</v>
      </c>
      <c r="Y198" s="61">
        <f t="shared" si="77"/>
        <v>0</v>
      </c>
      <c r="AA198" s="64">
        <f>SUM(B198:Y198)</f>
        <v>0</v>
      </c>
      <c r="AB198" t="s">
        <v>214</v>
      </c>
    </row>
    <row r="200" spans="1:28" x14ac:dyDescent="0.25">
      <c r="A200" s="2" t="s">
        <v>216</v>
      </c>
    </row>
    <row r="201" spans="1:28" x14ac:dyDescent="0.25">
      <c r="A201" s="128" t="str">
        <f>A$15</f>
        <v>lot1</v>
      </c>
      <c r="B201" s="61">
        <f t="shared" ref="B201:Y201" si="78">IF(B76=4,B149,0)</f>
        <v>0</v>
      </c>
      <c r="C201" s="61">
        <f t="shared" si="78"/>
        <v>0</v>
      </c>
      <c r="D201" s="61">
        <f t="shared" si="78"/>
        <v>0</v>
      </c>
      <c r="E201" s="61">
        <f t="shared" si="78"/>
        <v>0</v>
      </c>
      <c r="F201" s="61">
        <f t="shared" si="78"/>
        <v>0</v>
      </c>
      <c r="G201" s="61">
        <f t="shared" si="78"/>
        <v>0</v>
      </c>
      <c r="H201" s="61">
        <f t="shared" si="78"/>
        <v>0</v>
      </c>
      <c r="I201" s="61">
        <f t="shared" si="78"/>
        <v>0</v>
      </c>
      <c r="J201" s="61">
        <f t="shared" si="78"/>
        <v>0</v>
      </c>
      <c r="K201" s="61">
        <f t="shared" si="78"/>
        <v>0</v>
      </c>
      <c r="L201" s="61">
        <f t="shared" si="78"/>
        <v>0</v>
      </c>
      <c r="M201" s="61">
        <f t="shared" si="78"/>
        <v>0</v>
      </c>
      <c r="N201" s="61">
        <f t="shared" si="78"/>
        <v>0</v>
      </c>
      <c r="O201" s="61">
        <f t="shared" si="78"/>
        <v>0</v>
      </c>
      <c r="P201" s="61">
        <f t="shared" si="78"/>
        <v>0</v>
      </c>
      <c r="Q201" s="61">
        <f t="shared" si="78"/>
        <v>0</v>
      </c>
      <c r="R201" s="61">
        <f t="shared" si="78"/>
        <v>0</v>
      </c>
      <c r="S201" s="61">
        <f t="shared" si="78"/>
        <v>0</v>
      </c>
      <c r="T201" s="61">
        <f t="shared" si="78"/>
        <v>0</v>
      </c>
      <c r="U201" s="61">
        <f t="shared" si="78"/>
        <v>0</v>
      </c>
      <c r="V201" s="61">
        <f t="shared" si="78"/>
        <v>0</v>
      </c>
      <c r="W201" s="61">
        <f t="shared" si="78"/>
        <v>0</v>
      </c>
      <c r="X201" s="61">
        <f t="shared" si="78"/>
        <v>0</v>
      </c>
      <c r="Y201" s="61">
        <f t="shared" si="78"/>
        <v>0</v>
      </c>
    </row>
    <row r="202" spans="1:28" x14ac:dyDescent="0.25">
      <c r="A202" s="128" t="str">
        <f>A$16</f>
        <v>lot2</v>
      </c>
      <c r="B202" s="61">
        <f t="shared" ref="B202:Y202" si="79">IF(B77=4,B150,0)</f>
        <v>0</v>
      </c>
      <c r="C202" s="61">
        <f t="shared" si="79"/>
        <v>0</v>
      </c>
      <c r="D202" s="61">
        <f t="shared" si="79"/>
        <v>0</v>
      </c>
      <c r="E202" s="61">
        <f t="shared" si="79"/>
        <v>0</v>
      </c>
      <c r="F202" s="61">
        <f t="shared" si="79"/>
        <v>0</v>
      </c>
      <c r="G202" s="61">
        <f t="shared" si="79"/>
        <v>0</v>
      </c>
      <c r="H202" s="61">
        <f t="shared" si="79"/>
        <v>0</v>
      </c>
      <c r="I202" s="61">
        <f t="shared" si="79"/>
        <v>0</v>
      </c>
      <c r="J202" s="61">
        <f t="shared" si="79"/>
        <v>0</v>
      </c>
      <c r="K202" s="61">
        <f t="shared" si="79"/>
        <v>0</v>
      </c>
      <c r="L202" s="61">
        <f t="shared" si="79"/>
        <v>0</v>
      </c>
      <c r="M202" s="61">
        <f t="shared" si="79"/>
        <v>0</v>
      </c>
      <c r="N202" s="61">
        <f t="shared" si="79"/>
        <v>0</v>
      </c>
      <c r="O202" s="61">
        <f t="shared" si="79"/>
        <v>0</v>
      </c>
      <c r="P202" s="61">
        <f t="shared" si="79"/>
        <v>0</v>
      </c>
      <c r="Q202" s="61">
        <f t="shared" si="79"/>
        <v>0</v>
      </c>
      <c r="R202" s="61">
        <f t="shared" si="79"/>
        <v>0</v>
      </c>
      <c r="S202" s="61">
        <f t="shared" si="79"/>
        <v>0</v>
      </c>
      <c r="T202" s="61">
        <f t="shared" si="79"/>
        <v>0</v>
      </c>
      <c r="U202" s="61">
        <f t="shared" si="79"/>
        <v>0</v>
      </c>
      <c r="V202" s="61">
        <f t="shared" si="79"/>
        <v>0</v>
      </c>
      <c r="W202" s="61">
        <f t="shared" si="79"/>
        <v>0</v>
      </c>
      <c r="X202" s="61">
        <f t="shared" si="79"/>
        <v>0</v>
      </c>
      <c r="Y202" s="61">
        <f t="shared" si="79"/>
        <v>0</v>
      </c>
    </row>
    <row r="203" spans="1:28" x14ac:dyDescent="0.25">
      <c r="A203" s="127" t="str">
        <f>A$17</f>
        <v>lot3</v>
      </c>
      <c r="B203" s="61">
        <f t="shared" ref="B203:Y203" si="80">IF(B78=4,B151,0)</f>
        <v>0</v>
      </c>
      <c r="C203" s="61">
        <f t="shared" si="80"/>
        <v>0</v>
      </c>
      <c r="D203" s="61">
        <f t="shared" si="80"/>
        <v>0</v>
      </c>
      <c r="E203" s="61">
        <f t="shared" si="80"/>
        <v>0</v>
      </c>
      <c r="F203" s="61">
        <f t="shared" si="80"/>
        <v>0</v>
      </c>
      <c r="G203" s="61">
        <f t="shared" si="80"/>
        <v>0</v>
      </c>
      <c r="H203" s="61">
        <f t="shared" si="80"/>
        <v>0</v>
      </c>
      <c r="I203" s="61">
        <f t="shared" si="80"/>
        <v>0</v>
      </c>
      <c r="J203" s="61">
        <f t="shared" si="80"/>
        <v>0</v>
      </c>
      <c r="K203" s="61">
        <f t="shared" si="80"/>
        <v>0</v>
      </c>
      <c r="L203" s="61">
        <f t="shared" si="80"/>
        <v>0</v>
      </c>
      <c r="M203" s="61">
        <f t="shared" si="80"/>
        <v>0</v>
      </c>
      <c r="N203" s="61">
        <f t="shared" si="80"/>
        <v>0</v>
      </c>
      <c r="O203" s="61">
        <f t="shared" si="80"/>
        <v>0</v>
      </c>
      <c r="P203" s="61">
        <f t="shared" si="80"/>
        <v>0</v>
      </c>
      <c r="Q203" s="61">
        <f t="shared" si="80"/>
        <v>0</v>
      </c>
      <c r="R203" s="61">
        <f t="shared" si="80"/>
        <v>0</v>
      </c>
      <c r="S203" s="61">
        <f t="shared" si="80"/>
        <v>0</v>
      </c>
      <c r="T203" s="61">
        <f t="shared" si="80"/>
        <v>0</v>
      </c>
      <c r="U203" s="61">
        <f t="shared" si="80"/>
        <v>0</v>
      </c>
      <c r="V203" s="61">
        <f t="shared" si="80"/>
        <v>0</v>
      </c>
      <c r="W203" s="61">
        <f t="shared" si="80"/>
        <v>0</v>
      </c>
      <c r="X203" s="61">
        <f t="shared" si="80"/>
        <v>0</v>
      </c>
      <c r="Y203" s="61">
        <f t="shared" si="80"/>
        <v>0</v>
      </c>
    </row>
    <row r="204" spans="1:28" x14ac:dyDescent="0.25">
      <c r="A204" s="128" t="str">
        <f>A$18</f>
        <v>lot4</v>
      </c>
      <c r="B204" s="61">
        <f t="shared" ref="B204:Y204" si="81">IF(B79=4,B152,0)</f>
        <v>0</v>
      </c>
      <c r="C204" s="61">
        <f t="shared" si="81"/>
        <v>0</v>
      </c>
      <c r="D204" s="61">
        <f t="shared" si="81"/>
        <v>0</v>
      </c>
      <c r="E204" s="61">
        <f t="shared" si="81"/>
        <v>0</v>
      </c>
      <c r="F204" s="61">
        <f t="shared" si="81"/>
        <v>0</v>
      </c>
      <c r="G204" s="61">
        <f t="shared" si="81"/>
        <v>0</v>
      </c>
      <c r="H204" s="61">
        <f t="shared" si="81"/>
        <v>0</v>
      </c>
      <c r="I204" s="61">
        <f t="shared" si="81"/>
        <v>0</v>
      </c>
      <c r="J204" s="61">
        <f t="shared" si="81"/>
        <v>0</v>
      </c>
      <c r="K204" s="61">
        <f t="shared" si="81"/>
        <v>0</v>
      </c>
      <c r="L204" s="61">
        <f t="shared" si="81"/>
        <v>0</v>
      </c>
      <c r="M204" s="61">
        <f t="shared" si="81"/>
        <v>0</v>
      </c>
      <c r="N204" s="61">
        <f t="shared" si="81"/>
        <v>0</v>
      </c>
      <c r="O204" s="61">
        <f t="shared" si="81"/>
        <v>0</v>
      </c>
      <c r="P204" s="61">
        <f t="shared" si="81"/>
        <v>0</v>
      </c>
      <c r="Q204" s="61">
        <f t="shared" si="81"/>
        <v>0</v>
      </c>
      <c r="R204" s="61">
        <f t="shared" si="81"/>
        <v>0</v>
      </c>
      <c r="S204" s="61">
        <f t="shared" si="81"/>
        <v>0</v>
      </c>
      <c r="T204" s="61">
        <f t="shared" si="81"/>
        <v>0</v>
      </c>
      <c r="U204" s="61">
        <f t="shared" si="81"/>
        <v>0</v>
      </c>
      <c r="V204" s="61">
        <f t="shared" si="81"/>
        <v>0</v>
      </c>
      <c r="W204" s="61">
        <f t="shared" si="81"/>
        <v>0</v>
      </c>
      <c r="X204" s="61">
        <f t="shared" si="81"/>
        <v>0</v>
      </c>
      <c r="Y204" s="61">
        <f t="shared" si="81"/>
        <v>0</v>
      </c>
    </row>
    <row r="205" spans="1:28" x14ac:dyDescent="0.25">
      <c r="A205" s="128" t="str">
        <f>A$19</f>
        <v>lot5</v>
      </c>
      <c r="B205" s="61">
        <f t="shared" ref="B205:Y205" si="82">IF(B80=4,B153,0)</f>
        <v>0</v>
      </c>
      <c r="C205" s="61">
        <f t="shared" si="82"/>
        <v>0</v>
      </c>
      <c r="D205" s="61">
        <f t="shared" si="82"/>
        <v>0</v>
      </c>
      <c r="E205" s="61">
        <f t="shared" si="82"/>
        <v>0</v>
      </c>
      <c r="F205" s="61">
        <f t="shared" si="82"/>
        <v>0</v>
      </c>
      <c r="G205" s="61">
        <f t="shared" si="82"/>
        <v>0</v>
      </c>
      <c r="H205" s="61">
        <f t="shared" si="82"/>
        <v>0</v>
      </c>
      <c r="I205" s="61">
        <f t="shared" si="82"/>
        <v>0</v>
      </c>
      <c r="J205" s="61">
        <f t="shared" si="82"/>
        <v>0</v>
      </c>
      <c r="K205" s="61">
        <f t="shared" si="82"/>
        <v>0</v>
      </c>
      <c r="L205" s="61">
        <f t="shared" si="82"/>
        <v>0</v>
      </c>
      <c r="M205" s="61">
        <f t="shared" si="82"/>
        <v>0</v>
      </c>
      <c r="N205" s="61">
        <f t="shared" si="82"/>
        <v>0</v>
      </c>
      <c r="O205" s="61">
        <f t="shared" si="82"/>
        <v>0</v>
      </c>
      <c r="P205" s="61">
        <f t="shared" si="82"/>
        <v>0</v>
      </c>
      <c r="Q205" s="61">
        <f t="shared" si="82"/>
        <v>0</v>
      </c>
      <c r="R205" s="61">
        <f t="shared" si="82"/>
        <v>0</v>
      </c>
      <c r="S205" s="61">
        <f t="shared" si="82"/>
        <v>0</v>
      </c>
      <c r="T205" s="61">
        <f t="shared" si="82"/>
        <v>0</v>
      </c>
      <c r="U205" s="61">
        <f t="shared" si="82"/>
        <v>0</v>
      </c>
      <c r="V205" s="61">
        <f t="shared" si="82"/>
        <v>0</v>
      </c>
      <c r="W205" s="61">
        <f t="shared" si="82"/>
        <v>0</v>
      </c>
      <c r="X205" s="61">
        <f t="shared" si="82"/>
        <v>0</v>
      </c>
      <c r="Y205" s="61">
        <f t="shared" si="82"/>
        <v>0</v>
      </c>
    </row>
    <row r="206" spans="1:28" x14ac:dyDescent="0.25">
      <c r="A206" s="128" t="str">
        <f>A$20</f>
        <v>lot6</v>
      </c>
      <c r="B206" s="61">
        <f t="shared" ref="B206:Y206" si="83">IF(B81=4,B154,0)</f>
        <v>0</v>
      </c>
      <c r="C206" s="61">
        <f t="shared" si="83"/>
        <v>0</v>
      </c>
      <c r="D206" s="61">
        <f t="shared" si="83"/>
        <v>0</v>
      </c>
      <c r="E206" s="61">
        <f t="shared" si="83"/>
        <v>0</v>
      </c>
      <c r="F206" s="61">
        <f t="shared" si="83"/>
        <v>0</v>
      </c>
      <c r="G206" s="61">
        <f t="shared" si="83"/>
        <v>0</v>
      </c>
      <c r="H206" s="61">
        <f t="shared" si="83"/>
        <v>0</v>
      </c>
      <c r="I206" s="61">
        <f t="shared" si="83"/>
        <v>0</v>
      </c>
      <c r="J206" s="61">
        <f t="shared" si="83"/>
        <v>0</v>
      </c>
      <c r="K206" s="61">
        <f t="shared" si="83"/>
        <v>0</v>
      </c>
      <c r="L206" s="61">
        <f t="shared" si="83"/>
        <v>0</v>
      </c>
      <c r="M206" s="61">
        <f t="shared" si="83"/>
        <v>0</v>
      </c>
      <c r="N206" s="61">
        <f t="shared" si="83"/>
        <v>0</v>
      </c>
      <c r="O206" s="61">
        <f t="shared" si="83"/>
        <v>0</v>
      </c>
      <c r="P206" s="61">
        <f t="shared" si="83"/>
        <v>0</v>
      </c>
      <c r="Q206" s="61">
        <f t="shared" si="83"/>
        <v>0</v>
      </c>
      <c r="R206" s="61">
        <f t="shared" si="83"/>
        <v>0</v>
      </c>
      <c r="S206" s="61">
        <f t="shared" si="83"/>
        <v>0</v>
      </c>
      <c r="T206" s="61">
        <f t="shared" si="83"/>
        <v>0</v>
      </c>
      <c r="U206" s="61">
        <f t="shared" si="83"/>
        <v>0</v>
      </c>
      <c r="V206" s="61">
        <f t="shared" si="83"/>
        <v>0</v>
      </c>
      <c r="W206" s="61">
        <f t="shared" si="83"/>
        <v>0</v>
      </c>
      <c r="X206" s="61">
        <f t="shared" si="83"/>
        <v>0</v>
      </c>
      <c r="Y206" s="61">
        <f t="shared" si="83"/>
        <v>0</v>
      </c>
    </row>
    <row r="207" spans="1:28" x14ac:dyDescent="0.25">
      <c r="A207" s="127" t="str">
        <f>A$21</f>
        <v>lot7</v>
      </c>
      <c r="B207" s="61">
        <f t="shared" ref="B207:Y207" si="84">IF(B82=4,B155,0)</f>
        <v>0</v>
      </c>
      <c r="C207" s="61">
        <f t="shared" si="84"/>
        <v>0</v>
      </c>
      <c r="D207" s="61">
        <f t="shared" si="84"/>
        <v>0</v>
      </c>
      <c r="E207" s="61">
        <f t="shared" si="84"/>
        <v>0</v>
      </c>
      <c r="F207" s="61">
        <f t="shared" si="84"/>
        <v>0</v>
      </c>
      <c r="G207" s="61">
        <f t="shared" si="84"/>
        <v>0</v>
      </c>
      <c r="H207" s="61">
        <f t="shared" si="84"/>
        <v>0</v>
      </c>
      <c r="I207" s="61">
        <f t="shared" si="84"/>
        <v>0</v>
      </c>
      <c r="J207" s="61">
        <f t="shared" si="84"/>
        <v>0</v>
      </c>
      <c r="K207" s="61">
        <f t="shared" si="84"/>
        <v>0</v>
      </c>
      <c r="L207" s="61">
        <f t="shared" si="84"/>
        <v>0</v>
      </c>
      <c r="M207" s="61">
        <f t="shared" si="84"/>
        <v>0</v>
      </c>
      <c r="N207" s="61">
        <f t="shared" si="84"/>
        <v>0</v>
      </c>
      <c r="O207" s="61">
        <f t="shared" si="84"/>
        <v>0</v>
      </c>
      <c r="P207" s="61">
        <f t="shared" si="84"/>
        <v>0</v>
      </c>
      <c r="Q207" s="61">
        <f t="shared" si="84"/>
        <v>0</v>
      </c>
      <c r="R207" s="61">
        <f t="shared" si="84"/>
        <v>0</v>
      </c>
      <c r="S207" s="61">
        <f t="shared" si="84"/>
        <v>0</v>
      </c>
      <c r="T207" s="61">
        <f t="shared" si="84"/>
        <v>0</v>
      </c>
      <c r="U207" s="61">
        <f t="shared" si="84"/>
        <v>0</v>
      </c>
      <c r="V207" s="61">
        <f t="shared" si="84"/>
        <v>0</v>
      </c>
      <c r="W207" s="61">
        <f t="shared" si="84"/>
        <v>0</v>
      </c>
      <c r="X207" s="61">
        <f t="shared" si="84"/>
        <v>0</v>
      </c>
      <c r="Y207" s="61">
        <f t="shared" si="84"/>
        <v>0</v>
      </c>
    </row>
    <row r="208" spans="1:28" x14ac:dyDescent="0.25">
      <c r="A208" s="128" t="str">
        <f>A$22</f>
        <v>lot8</v>
      </c>
      <c r="B208" s="61">
        <f t="shared" ref="B208:Y208" si="85">IF(B83=4,B156,0)</f>
        <v>0</v>
      </c>
      <c r="C208" s="61">
        <f t="shared" si="85"/>
        <v>0</v>
      </c>
      <c r="D208" s="61">
        <f t="shared" si="85"/>
        <v>0</v>
      </c>
      <c r="E208" s="61">
        <f t="shared" si="85"/>
        <v>0</v>
      </c>
      <c r="F208" s="61">
        <f t="shared" si="85"/>
        <v>0</v>
      </c>
      <c r="G208" s="61">
        <f t="shared" si="85"/>
        <v>0</v>
      </c>
      <c r="H208" s="61">
        <f t="shared" si="85"/>
        <v>0</v>
      </c>
      <c r="I208" s="61">
        <f t="shared" si="85"/>
        <v>0</v>
      </c>
      <c r="J208" s="61">
        <f t="shared" si="85"/>
        <v>0</v>
      </c>
      <c r="K208" s="61">
        <f t="shared" si="85"/>
        <v>0</v>
      </c>
      <c r="L208" s="61">
        <f t="shared" si="85"/>
        <v>0</v>
      </c>
      <c r="M208" s="61">
        <f t="shared" si="85"/>
        <v>0</v>
      </c>
      <c r="N208" s="61">
        <f t="shared" si="85"/>
        <v>0</v>
      </c>
      <c r="O208" s="61">
        <f t="shared" si="85"/>
        <v>0</v>
      </c>
      <c r="P208" s="61">
        <f t="shared" si="85"/>
        <v>0</v>
      </c>
      <c r="Q208" s="61">
        <f t="shared" si="85"/>
        <v>0</v>
      </c>
      <c r="R208" s="61">
        <f t="shared" si="85"/>
        <v>0</v>
      </c>
      <c r="S208" s="61">
        <f t="shared" si="85"/>
        <v>0</v>
      </c>
      <c r="T208" s="61">
        <f t="shared" si="85"/>
        <v>0</v>
      </c>
      <c r="U208" s="61">
        <f t="shared" si="85"/>
        <v>0</v>
      </c>
      <c r="V208" s="61">
        <f t="shared" si="85"/>
        <v>0</v>
      </c>
      <c r="W208" s="61">
        <f t="shared" si="85"/>
        <v>0</v>
      </c>
      <c r="X208" s="61">
        <f t="shared" si="85"/>
        <v>0</v>
      </c>
      <c r="Y208" s="61">
        <f t="shared" si="85"/>
        <v>0</v>
      </c>
    </row>
    <row r="209" spans="1:28" x14ac:dyDescent="0.25">
      <c r="A209" s="128" t="str">
        <f>A$23</f>
        <v>lot9</v>
      </c>
      <c r="B209" s="61">
        <f t="shared" ref="B209:Y209" si="86">IF(B84=4,B157,0)</f>
        <v>0</v>
      </c>
      <c r="C209" s="61">
        <f t="shared" si="86"/>
        <v>0</v>
      </c>
      <c r="D209" s="61">
        <f t="shared" si="86"/>
        <v>0</v>
      </c>
      <c r="E209" s="61">
        <f t="shared" si="86"/>
        <v>0</v>
      </c>
      <c r="F209" s="61">
        <f t="shared" si="86"/>
        <v>0</v>
      </c>
      <c r="G209" s="61">
        <f t="shared" si="86"/>
        <v>0</v>
      </c>
      <c r="H209" s="61">
        <f t="shared" si="86"/>
        <v>0</v>
      </c>
      <c r="I209" s="61">
        <f t="shared" si="86"/>
        <v>0</v>
      </c>
      <c r="J209" s="61">
        <f t="shared" si="86"/>
        <v>0</v>
      </c>
      <c r="K209" s="61">
        <f t="shared" si="86"/>
        <v>0</v>
      </c>
      <c r="L209" s="61">
        <f t="shared" si="86"/>
        <v>0</v>
      </c>
      <c r="M209" s="61">
        <f t="shared" si="86"/>
        <v>0</v>
      </c>
      <c r="N209" s="61">
        <f t="shared" si="86"/>
        <v>0</v>
      </c>
      <c r="O209" s="61">
        <f t="shared" si="86"/>
        <v>0</v>
      </c>
      <c r="P209" s="61">
        <f t="shared" si="86"/>
        <v>0</v>
      </c>
      <c r="Q209" s="61">
        <f t="shared" si="86"/>
        <v>0</v>
      </c>
      <c r="R209" s="61">
        <f t="shared" si="86"/>
        <v>0</v>
      </c>
      <c r="S209" s="61">
        <f t="shared" si="86"/>
        <v>0</v>
      </c>
      <c r="T209" s="61">
        <f t="shared" si="86"/>
        <v>0</v>
      </c>
      <c r="U209" s="61">
        <f t="shared" si="86"/>
        <v>0</v>
      </c>
      <c r="V209" s="61">
        <f t="shared" si="86"/>
        <v>0</v>
      </c>
      <c r="W209" s="61">
        <f t="shared" si="86"/>
        <v>0</v>
      </c>
      <c r="X209" s="61">
        <f t="shared" si="86"/>
        <v>0</v>
      </c>
      <c r="Y209" s="61">
        <f t="shared" si="86"/>
        <v>0</v>
      </c>
    </row>
    <row r="210" spans="1:28" x14ac:dyDescent="0.25">
      <c r="A210" s="128" t="str">
        <f>A$24</f>
        <v>lot10</v>
      </c>
      <c r="B210" s="61">
        <f t="shared" ref="B210:Y210" si="87">IF(B85=4,B158,0)</f>
        <v>0</v>
      </c>
      <c r="C210" s="61">
        <f t="shared" si="87"/>
        <v>0</v>
      </c>
      <c r="D210" s="61">
        <f t="shared" si="87"/>
        <v>0</v>
      </c>
      <c r="E210" s="61">
        <f t="shared" si="87"/>
        <v>0</v>
      </c>
      <c r="F210" s="61">
        <f t="shared" si="87"/>
        <v>0</v>
      </c>
      <c r="G210" s="61">
        <f t="shared" si="87"/>
        <v>0</v>
      </c>
      <c r="H210" s="61">
        <f t="shared" si="87"/>
        <v>0</v>
      </c>
      <c r="I210" s="61">
        <f t="shared" si="87"/>
        <v>0</v>
      </c>
      <c r="J210" s="61">
        <f t="shared" si="87"/>
        <v>0</v>
      </c>
      <c r="K210" s="61">
        <f t="shared" si="87"/>
        <v>0</v>
      </c>
      <c r="L210" s="61">
        <f t="shared" si="87"/>
        <v>0</v>
      </c>
      <c r="M210" s="61">
        <f t="shared" si="87"/>
        <v>0</v>
      </c>
      <c r="N210" s="61">
        <f t="shared" si="87"/>
        <v>0</v>
      </c>
      <c r="O210" s="61">
        <f t="shared" si="87"/>
        <v>0</v>
      </c>
      <c r="P210" s="61">
        <f t="shared" si="87"/>
        <v>0</v>
      </c>
      <c r="Q210" s="61">
        <f t="shared" si="87"/>
        <v>0</v>
      </c>
      <c r="R210" s="61">
        <f t="shared" si="87"/>
        <v>0</v>
      </c>
      <c r="S210" s="61">
        <f t="shared" si="87"/>
        <v>0</v>
      </c>
      <c r="T210" s="61">
        <f t="shared" si="87"/>
        <v>0</v>
      </c>
      <c r="U210" s="61">
        <f t="shared" si="87"/>
        <v>0</v>
      </c>
      <c r="V210" s="61">
        <f t="shared" si="87"/>
        <v>0</v>
      </c>
      <c r="W210" s="61">
        <f t="shared" si="87"/>
        <v>0</v>
      </c>
      <c r="X210" s="61">
        <f t="shared" si="87"/>
        <v>0</v>
      </c>
      <c r="Y210" s="61">
        <f t="shared" si="87"/>
        <v>0</v>
      </c>
    </row>
    <row r="211" spans="1:28" x14ac:dyDescent="0.25">
      <c r="A211" s="38" t="s">
        <v>315</v>
      </c>
      <c r="B211" s="61">
        <f>SUM(B201:B210)</f>
        <v>0</v>
      </c>
      <c r="C211" s="61">
        <f t="shared" ref="C211:Y211" si="88">SUM(C201:C210)</f>
        <v>0</v>
      </c>
      <c r="D211" s="61">
        <f t="shared" si="88"/>
        <v>0</v>
      </c>
      <c r="E211" s="61">
        <f t="shared" si="88"/>
        <v>0</v>
      </c>
      <c r="F211" s="61">
        <f t="shared" si="88"/>
        <v>0</v>
      </c>
      <c r="G211" s="61">
        <f t="shared" si="88"/>
        <v>0</v>
      </c>
      <c r="H211" s="61">
        <f t="shared" si="88"/>
        <v>0</v>
      </c>
      <c r="I211" s="61">
        <f t="shared" si="88"/>
        <v>0</v>
      </c>
      <c r="J211" s="61">
        <f t="shared" si="88"/>
        <v>0</v>
      </c>
      <c r="K211" s="61">
        <f t="shared" si="88"/>
        <v>0</v>
      </c>
      <c r="L211" s="61">
        <f t="shared" si="88"/>
        <v>0</v>
      </c>
      <c r="M211" s="61">
        <f t="shared" si="88"/>
        <v>0</v>
      </c>
      <c r="N211" s="61">
        <f t="shared" si="88"/>
        <v>0</v>
      </c>
      <c r="O211" s="61">
        <f t="shared" si="88"/>
        <v>0</v>
      </c>
      <c r="P211" s="61">
        <f t="shared" si="88"/>
        <v>0</v>
      </c>
      <c r="Q211" s="61">
        <f t="shared" si="88"/>
        <v>0</v>
      </c>
      <c r="R211" s="61">
        <f t="shared" si="88"/>
        <v>0</v>
      </c>
      <c r="S211" s="61">
        <f t="shared" si="88"/>
        <v>0</v>
      </c>
      <c r="T211" s="61">
        <f t="shared" si="88"/>
        <v>0</v>
      </c>
      <c r="U211" s="61">
        <f t="shared" si="88"/>
        <v>0</v>
      </c>
      <c r="V211" s="61">
        <f t="shared" si="88"/>
        <v>0</v>
      </c>
      <c r="W211" s="61">
        <f t="shared" si="88"/>
        <v>0</v>
      </c>
      <c r="X211" s="61">
        <f t="shared" si="88"/>
        <v>0</v>
      </c>
      <c r="Y211" s="61">
        <f t="shared" si="88"/>
        <v>0</v>
      </c>
      <c r="AA211" s="64">
        <f>SUM(B211:Y211)</f>
        <v>0</v>
      </c>
      <c r="AB211" t="s">
        <v>214</v>
      </c>
    </row>
    <row r="214" spans="1:28" x14ac:dyDescent="0.25">
      <c r="A214" s="2" t="s">
        <v>217</v>
      </c>
    </row>
    <row r="215" spans="1:28" x14ac:dyDescent="0.25">
      <c r="A215" s="38" t="s">
        <v>218</v>
      </c>
      <c r="B215" s="61">
        <f>B172</f>
        <v>0</v>
      </c>
      <c r="C215" s="61">
        <f t="shared" ref="C215:Y215" si="89">C172</f>
        <v>0</v>
      </c>
      <c r="D215" s="61">
        <f t="shared" si="89"/>
        <v>0</v>
      </c>
      <c r="E215" s="61">
        <f t="shared" si="89"/>
        <v>0</v>
      </c>
      <c r="F215" s="61">
        <f t="shared" si="89"/>
        <v>0</v>
      </c>
      <c r="G215" s="61">
        <f t="shared" si="89"/>
        <v>0</v>
      </c>
      <c r="H215" s="61">
        <f t="shared" si="89"/>
        <v>0</v>
      </c>
      <c r="I215" s="61">
        <f t="shared" si="89"/>
        <v>0</v>
      </c>
      <c r="J215" s="61">
        <f t="shared" si="89"/>
        <v>0</v>
      </c>
      <c r="K215" s="61">
        <f t="shared" si="89"/>
        <v>0</v>
      </c>
      <c r="L215" s="61">
        <f t="shared" si="89"/>
        <v>0</v>
      </c>
      <c r="M215" s="61">
        <f t="shared" si="89"/>
        <v>0</v>
      </c>
      <c r="N215" s="61">
        <f t="shared" si="89"/>
        <v>0</v>
      </c>
      <c r="O215" s="61">
        <f t="shared" si="89"/>
        <v>0</v>
      </c>
      <c r="P215" s="61">
        <f t="shared" si="89"/>
        <v>0</v>
      </c>
      <c r="Q215" s="61">
        <f t="shared" si="89"/>
        <v>0</v>
      </c>
      <c r="R215" s="61">
        <f t="shared" si="89"/>
        <v>0</v>
      </c>
      <c r="S215" s="61">
        <f t="shared" si="89"/>
        <v>0</v>
      </c>
      <c r="T215" s="61">
        <f t="shared" si="89"/>
        <v>0</v>
      </c>
      <c r="U215" s="61">
        <f t="shared" si="89"/>
        <v>0</v>
      </c>
      <c r="V215" s="61">
        <f t="shared" si="89"/>
        <v>0</v>
      </c>
      <c r="W215" s="61">
        <f t="shared" si="89"/>
        <v>0</v>
      </c>
      <c r="X215" s="61">
        <f t="shared" si="89"/>
        <v>0</v>
      </c>
      <c r="Y215" s="61">
        <f t="shared" si="89"/>
        <v>0</v>
      </c>
    </row>
    <row r="216" spans="1:28" x14ac:dyDescent="0.25">
      <c r="A216" s="38" t="s">
        <v>219</v>
      </c>
      <c r="B216" s="61">
        <f>B185</f>
        <v>0</v>
      </c>
      <c r="C216" s="61">
        <f t="shared" ref="C216:Y216" si="90">C185</f>
        <v>0</v>
      </c>
      <c r="D216" s="61">
        <f t="shared" si="90"/>
        <v>0</v>
      </c>
      <c r="E216" s="61">
        <f t="shared" si="90"/>
        <v>0</v>
      </c>
      <c r="F216" s="61">
        <f t="shared" si="90"/>
        <v>0</v>
      </c>
      <c r="G216" s="61">
        <f t="shared" si="90"/>
        <v>0</v>
      </c>
      <c r="H216" s="61">
        <f t="shared" si="90"/>
        <v>0</v>
      </c>
      <c r="I216" s="61">
        <f t="shared" si="90"/>
        <v>0</v>
      </c>
      <c r="J216" s="61">
        <f t="shared" si="90"/>
        <v>0</v>
      </c>
      <c r="K216" s="61">
        <f t="shared" si="90"/>
        <v>0</v>
      </c>
      <c r="L216" s="61">
        <f t="shared" si="90"/>
        <v>0</v>
      </c>
      <c r="M216" s="61">
        <f t="shared" si="90"/>
        <v>0</v>
      </c>
      <c r="N216" s="61">
        <f t="shared" si="90"/>
        <v>0</v>
      </c>
      <c r="O216" s="61">
        <f t="shared" si="90"/>
        <v>0</v>
      </c>
      <c r="P216" s="61">
        <f t="shared" si="90"/>
        <v>0</v>
      </c>
      <c r="Q216" s="61">
        <f t="shared" si="90"/>
        <v>0</v>
      </c>
      <c r="R216" s="61">
        <f t="shared" si="90"/>
        <v>0</v>
      </c>
      <c r="S216" s="61">
        <f t="shared" si="90"/>
        <v>0</v>
      </c>
      <c r="T216" s="61">
        <f t="shared" si="90"/>
        <v>0</v>
      </c>
      <c r="U216" s="61">
        <f t="shared" si="90"/>
        <v>0</v>
      </c>
      <c r="V216" s="61">
        <f t="shared" si="90"/>
        <v>0</v>
      </c>
      <c r="W216" s="61">
        <f t="shared" si="90"/>
        <v>0</v>
      </c>
      <c r="X216" s="61">
        <f t="shared" si="90"/>
        <v>0</v>
      </c>
      <c r="Y216" s="61">
        <f t="shared" si="90"/>
        <v>0</v>
      </c>
    </row>
    <row r="217" spans="1:28" x14ac:dyDescent="0.25">
      <c r="A217" s="38" t="s">
        <v>220</v>
      </c>
      <c r="B217" s="61">
        <f>B198</f>
        <v>0</v>
      </c>
      <c r="C217" s="61">
        <f t="shared" ref="C217:Y217" si="91">C198</f>
        <v>0</v>
      </c>
      <c r="D217" s="61">
        <f t="shared" si="91"/>
        <v>0</v>
      </c>
      <c r="E217" s="61">
        <f t="shared" si="91"/>
        <v>0</v>
      </c>
      <c r="F217" s="61">
        <f t="shared" si="91"/>
        <v>0</v>
      </c>
      <c r="G217" s="61">
        <f t="shared" si="91"/>
        <v>0</v>
      </c>
      <c r="H217" s="61">
        <f t="shared" si="91"/>
        <v>0</v>
      </c>
      <c r="I217" s="61">
        <f t="shared" si="91"/>
        <v>0</v>
      </c>
      <c r="J217" s="61">
        <f t="shared" si="91"/>
        <v>0</v>
      </c>
      <c r="K217" s="61">
        <f t="shared" si="91"/>
        <v>0</v>
      </c>
      <c r="L217" s="61">
        <f t="shared" si="91"/>
        <v>0</v>
      </c>
      <c r="M217" s="61">
        <f t="shared" si="91"/>
        <v>0</v>
      </c>
      <c r="N217" s="61">
        <f t="shared" si="91"/>
        <v>0</v>
      </c>
      <c r="O217" s="61">
        <f t="shared" si="91"/>
        <v>0</v>
      </c>
      <c r="P217" s="61">
        <f t="shared" si="91"/>
        <v>0</v>
      </c>
      <c r="Q217" s="61">
        <f t="shared" si="91"/>
        <v>0</v>
      </c>
      <c r="R217" s="61">
        <f t="shared" si="91"/>
        <v>0</v>
      </c>
      <c r="S217" s="61">
        <f t="shared" si="91"/>
        <v>0</v>
      </c>
      <c r="T217" s="61">
        <f t="shared" si="91"/>
        <v>0</v>
      </c>
      <c r="U217" s="61">
        <f t="shared" si="91"/>
        <v>0</v>
      </c>
      <c r="V217" s="61">
        <f t="shared" si="91"/>
        <v>0</v>
      </c>
      <c r="W217" s="61">
        <f t="shared" si="91"/>
        <v>0</v>
      </c>
      <c r="X217" s="61">
        <f t="shared" si="91"/>
        <v>0</v>
      </c>
      <c r="Y217" s="61">
        <f t="shared" si="91"/>
        <v>0</v>
      </c>
    </row>
    <row r="218" spans="1:28" x14ac:dyDescent="0.25">
      <c r="A218" s="38" t="s">
        <v>221</v>
      </c>
      <c r="B218" s="61">
        <f>B211</f>
        <v>0</v>
      </c>
      <c r="C218" s="61">
        <f t="shared" ref="C218:Y218" si="92">C211</f>
        <v>0</v>
      </c>
      <c r="D218" s="61">
        <f t="shared" si="92"/>
        <v>0</v>
      </c>
      <c r="E218" s="61">
        <f t="shared" si="92"/>
        <v>0</v>
      </c>
      <c r="F218" s="61">
        <f t="shared" si="92"/>
        <v>0</v>
      </c>
      <c r="G218" s="61">
        <f t="shared" si="92"/>
        <v>0</v>
      </c>
      <c r="H218" s="61">
        <f t="shared" si="92"/>
        <v>0</v>
      </c>
      <c r="I218" s="61">
        <f t="shared" si="92"/>
        <v>0</v>
      </c>
      <c r="J218" s="61">
        <f t="shared" si="92"/>
        <v>0</v>
      </c>
      <c r="K218" s="61">
        <f t="shared" si="92"/>
        <v>0</v>
      </c>
      <c r="L218" s="61">
        <f t="shared" si="92"/>
        <v>0</v>
      </c>
      <c r="M218" s="61">
        <f t="shared" si="92"/>
        <v>0</v>
      </c>
      <c r="N218" s="61">
        <f t="shared" si="92"/>
        <v>0</v>
      </c>
      <c r="O218" s="61">
        <f t="shared" si="92"/>
        <v>0</v>
      </c>
      <c r="P218" s="61">
        <f t="shared" si="92"/>
        <v>0</v>
      </c>
      <c r="Q218" s="61">
        <f t="shared" si="92"/>
        <v>0</v>
      </c>
      <c r="R218" s="61">
        <f t="shared" si="92"/>
        <v>0</v>
      </c>
      <c r="S218" s="61">
        <f t="shared" si="92"/>
        <v>0</v>
      </c>
      <c r="T218" s="61">
        <f t="shared" si="92"/>
        <v>0</v>
      </c>
      <c r="U218" s="61">
        <f t="shared" si="92"/>
        <v>0</v>
      </c>
      <c r="V218" s="61">
        <f t="shared" si="92"/>
        <v>0</v>
      </c>
      <c r="W218" s="61">
        <f t="shared" si="92"/>
        <v>0</v>
      </c>
      <c r="X218" s="61">
        <f t="shared" si="92"/>
        <v>0</v>
      </c>
      <c r="Y218" s="61">
        <f t="shared" si="92"/>
        <v>0</v>
      </c>
    </row>
    <row r="219" spans="1:28" x14ac:dyDescent="0.25">
      <c r="AA219" s="30">
        <f>SUM(B215:Y218)</f>
        <v>0</v>
      </c>
      <c r="AB219" t="s">
        <v>223</v>
      </c>
    </row>
    <row r="220" spans="1:28" x14ac:dyDescent="0.25">
      <c r="AA220" s="30">
        <f>SUM(B215:Y217)</f>
        <v>0</v>
      </c>
      <c r="AB220" t="s">
        <v>224</v>
      </c>
    </row>
    <row r="221" spans="1:28" x14ac:dyDescent="0.25">
      <c r="AA221" s="30">
        <f>SUM(B218:Y218)</f>
        <v>0</v>
      </c>
      <c r="AB221" t="s">
        <v>225</v>
      </c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"/>
  <sheetViews>
    <sheetView workbookViewId="0">
      <pane xSplit="4" topLeftCell="E1" activePane="topRight" state="frozen"/>
      <selection pane="topRight" activeCell="AL24" sqref="AL24"/>
    </sheetView>
  </sheetViews>
  <sheetFormatPr baseColWidth="10" defaultRowHeight="15" x14ac:dyDescent="0.25"/>
  <cols>
    <col min="1" max="1" width="16.42578125" customWidth="1"/>
    <col min="2" max="2" width="24.28515625" customWidth="1"/>
    <col min="3" max="3" width="9.7109375" customWidth="1"/>
    <col min="6" max="6" width="21.85546875" customWidth="1"/>
    <col min="7" max="53" width="7" customWidth="1"/>
  </cols>
  <sheetData>
    <row r="1" spans="1:53" x14ac:dyDescent="0.25">
      <c r="G1" s="305" t="s">
        <v>2</v>
      </c>
      <c r="H1" s="305"/>
      <c r="I1" s="305" t="s">
        <v>0</v>
      </c>
      <c r="J1" s="305"/>
      <c r="K1" s="305" t="s">
        <v>1</v>
      </c>
      <c r="L1" s="305"/>
      <c r="M1" s="305" t="s">
        <v>3</v>
      </c>
      <c r="N1" s="305"/>
      <c r="O1" s="305" t="s">
        <v>4</v>
      </c>
      <c r="P1" s="305"/>
      <c r="Q1" s="305" t="s">
        <v>5</v>
      </c>
      <c r="R1" s="305"/>
      <c r="S1" s="305" t="s">
        <v>6</v>
      </c>
      <c r="T1" s="305"/>
      <c r="U1" s="305" t="s">
        <v>7</v>
      </c>
      <c r="V1" s="305"/>
      <c r="W1" s="305" t="s">
        <v>8</v>
      </c>
      <c r="X1" s="305"/>
      <c r="Y1" s="305" t="s">
        <v>9</v>
      </c>
      <c r="Z1" s="305"/>
      <c r="AA1" s="305" t="s">
        <v>10</v>
      </c>
      <c r="AB1" s="305"/>
      <c r="AC1" s="305" t="s">
        <v>11</v>
      </c>
      <c r="AD1" s="305"/>
      <c r="AE1" s="21"/>
      <c r="AF1" t="s">
        <v>177</v>
      </c>
    </row>
    <row r="2" spans="1:53" x14ac:dyDescent="0.25">
      <c r="A2" s="2" t="s">
        <v>299</v>
      </c>
      <c r="G2" s="49">
        <v>1</v>
      </c>
      <c r="H2" s="49">
        <v>2</v>
      </c>
      <c r="I2" s="49">
        <v>3</v>
      </c>
      <c r="J2" s="49">
        <v>4</v>
      </c>
      <c r="K2" s="49">
        <v>5</v>
      </c>
      <c r="L2" s="49">
        <v>6</v>
      </c>
      <c r="M2" s="49">
        <v>7</v>
      </c>
      <c r="N2" s="49">
        <v>8</v>
      </c>
      <c r="O2" s="49">
        <v>9</v>
      </c>
      <c r="P2" s="49">
        <v>10</v>
      </c>
      <c r="Q2" s="49">
        <v>11</v>
      </c>
      <c r="R2" s="49">
        <v>12</v>
      </c>
      <c r="S2" s="49">
        <v>13</v>
      </c>
      <c r="T2" s="49">
        <v>14</v>
      </c>
      <c r="U2" s="49">
        <v>15</v>
      </c>
      <c r="V2" s="49">
        <v>16</v>
      </c>
      <c r="W2" s="49">
        <v>17</v>
      </c>
      <c r="X2" s="49">
        <v>18</v>
      </c>
      <c r="Y2" s="49">
        <v>19</v>
      </c>
      <c r="Z2" s="49">
        <v>20</v>
      </c>
      <c r="AA2" s="49">
        <v>21</v>
      </c>
      <c r="AB2" s="49">
        <v>22</v>
      </c>
      <c r="AC2" s="49">
        <v>23</v>
      </c>
      <c r="AD2" s="49">
        <v>24</v>
      </c>
      <c r="AE2" s="5"/>
    </row>
    <row r="3" spans="1:53" x14ac:dyDescent="0.25">
      <c r="B3" s="14" t="s">
        <v>243</v>
      </c>
      <c r="C3" s="143">
        <f>MAX(CdTrp1!AD56:AD57)+MAX(CdTrp2!AD56:AD57)+MAX(CdTrp3!AD56:AD57)+MAX(CdTrp4!AD56:AD57)</f>
        <v>61.229411764705887</v>
      </c>
      <c r="D3" t="s">
        <v>190</v>
      </c>
      <c r="F3" t="s">
        <v>176</v>
      </c>
      <c r="G3" s="49">
        <v>15.5</v>
      </c>
      <c r="H3" s="49">
        <v>15.5</v>
      </c>
      <c r="I3" s="49">
        <v>14</v>
      </c>
      <c r="J3" s="49">
        <v>14</v>
      </c>
      <c r="K3" s="49">
        <v>15.5</v>
      </c>
      <c r="L3" s="49">
        <v>15.5</v>
      </c>
      <c r="M3" s="49">
        <v>15</v>
      </c>
      <c r="N3" s="49">
        <v>15</v>
      </c>
      <c r="O3" s="49">
        <v>15.5</v>
      </c>
      <c r="P3" s="49">
        <v>15.5</v>
      </c>
      <c r="Q3" s="49">
        <v>15</v>
      </c>
      <c r="R3" s="49">
        <v>15</v>
      </c>
      <c r="S3" s="49">
        <v>15.5</v>
      </c>
      <c r="T3" s="49">
        <v>15.5</v>
      </c>
      <c r="U3" s="49">
        <v>15.5</v>
      </c>
      <c r="V3" s="49">
        <v>15.5</v>
      </c>
      <c r="W3" s="49">
        <v>15</v>
      </c>
      <c r="X3" s="49">
        <v>15</v>
      </c>
      <c r="Y3" s="49">
        <v>15.5</v>
      </c>
      <c r="Z3" s="49">
        <v>15.5</v>
      </c>
      <c r="AA3" s="49">
        <v>15</v>
      </c>
      <c r="AB3" s="49">
        <v>15</v>
      </c>
      <c r="AC3" s="49">
        <v>15.5</v>
      </c>
      <c r="AD3" s="49">
        <v>15.5</v>
      </c>
      <c r="AE3" s="5"/>
      <c r="AF3" s="49">
        <f>SUM(G3:AD3)</f>
        <v>365</v>
      </c>
      <c r="AG3" t="s">
        <v>35</v>
      </c>
    </row>
    <row r="4" spans="1:53" x14ac:dyDescent="0.25">
      <c r="B4" s="14" t="s">
        <v>293</v>
      </c>
      <c r="C4" s="143">
        <f>CdTrp1!AA147+CdTrp2!AA147+CdTrp3!AA147+CdTrp4!AA147</f>
        <v>104.34341169999999</v>
      </c>
      <c r="D4" t="s">
        <v>248</v>
      </c>
      <c r="F4" s="2" t="s">
        <v>422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5"/>
    </row>
    <row r="5" spans="1:53" x14ac:dyDescent="0.25">
      <c r="B5" s="14" t="s">
        <v>284</v>
      </c>
      <c r="C5" s="143">
        <f>SUM(Troupeau!B65:E65)</f>
        <v>0</v>
      </c>
      <c r="D5" t="s">
        <v>190</v>
      </c>
      <c r="F5" s="38" t="s">
        <v>218</v>
      </c>
      <c r="G5" s="143">
        <f>CdTrp1!B215+CdTrp2!B215+CdTrp3!B215+CdTrp4!B215</f>
        <v>0</v>
      </c>
      <c r="H5" s="143">
        <f>CdTrp1!C215+CdTrp2!C215+CdTrp3!C215+CdTrp4!C215</f>
        <v>0</v>
      </c>
      <c r="I5" s="143">
        <f>CdTrp1!D215+CdTrp2!D215+CdTrp3!D215+CdTrp4!D215</f>
        <v>0</v>
      </c>
      <c r="J5" s="143">
        <f>CdTrp1!E215+CdTrp2!E215+CdTrp3!E215+CdTrp4!E215</f>
        <v>0</v>
      </c>
      <c r="K5" s="143">
        <f>CdTrp1!F215+CdTrp2!F215+CdTrp3!F215+CdTrp4!F215</f>
        <v>7.5974799999999991</v>
      </c>
      <c r="L5" s="143">
        <f>CdTrp1!G215+CdTrp2!G215+CdTrp3!G215+CdTrp4!G215</f>
        <v>7.5974799999999991</v>
      </c>
      <c r="M5" s="143">
        <f>CdTrp1!H215+CdTrp2!H215+CdTrp3!H215+CdTrp4!H215</f>
        <v>6.6205499999999979</v>
      </c>
      <c r="N5" s="143">
        <f>CdTrp1!I215+CdTrp2!I215+CdTrp3!I215+CdTrp4!I215</f>
        <v>6.6205499999999979</v>
      </c>
      <c r="O5" s="143">
        <f>CdTrp1!J215+CdTrp2!J215+CdTrp3!J215+CdTrp4!J215</f>
        <v>6.8412349999999993</v>
      </c>
      <c r="P5" s="143">
        <f>CdTrp1!K215+CdTrp2!K215+CdTrp3!K215+CdTrp4!K215</f>
        <v>7.1894269999999993</v>
      </c>
      <c r="Q5" s="143">
        <f>CdTrp1!L215+CdTrp2!L215+CdTrp3!L215+CdTrp4!L215</f>
        <v>6.9575099999999974</v>
      </c>
      <c r="R5" s="143">
        <f>CdTrp1!M215+CdTrp2!M215+CdTrp3!M215+CdTrp4!M215</f>
        <v>7.1821499999999983</v>
      </c>
      <c r="S5" s="143">
        <f>CdTrp1!N215+CdTrp2!N215+CdTrp3!N215+CdTrp4!N215</f>
        <v>7.4215549999999997</v>
      </c>
      <c r="T5" s="143">
        <f>CdTrp1!O215+CdTrp2!O215+CdTrp3!O215+CdTrp4!O215</f>
        <v>7.4215549999999997</v>
      </c>
      <c r="U5" s="143">
        <f>CdTrp1!P215+CdTrp2!P215+CdTrp3!P215+CdTrp4!P215</f>
        <v>7.4215549999999997</v>
      </c>
      <c r="V5" s="143">
        <f>CdTrp1!Q215+CdTrp2!Q215+CdTrp3!Q215+CdTrp4!Q215</f>
        <v>7.1633250000000004</v>
      </c>
      <c r="W5" s="143">
        <f>CdTrp1!R215+CdTrp2!R215+CdTrp3!R215+CdTrp4!R215</f>
        <v>5.9802</v>
      </c>
      <c r="X5" s="143">
        <f>CdTrp1!S215+CdTrp2!S215+CdTrp3!S215+CdTrp4!S215</f>
        <v>5.4188400000000003</v>
      </c>
      <c r="Y5" s="143">
        <f>CdTrp1!T215+CdTrp2!T215+CdTrp3!T215+CdTrp4!T215</f>
        <v>7.0918079999999994</v>
      </c>
      <c r="Z5" s="143">
        <f>CdTrp1!U215+CdTrp2!U215+CdTrp3!U215+CdTrp4!U215</f>
        <v>1.7796479999999999</v>
      </c>
      <c r="AA5" s="143">
        <f>CdTrp1!V215+CdTrp2!V215+CdTrp3!V215+CdTrp4!V215</f>
        <v>1.7222399999999998</v>
      </c>
      <c r="AB5" s="143">
        <f>CdTrp1!W215+CdTrp2!W215+CdTrp3!W215+CdTrp4!W215</f>
        <v>0</v>
      </c>
      <c r="AC5" s="143">
        <f>CdTrp1!X215+CdTrp2!X215+CdTrp3!X215+CdTrp4!X215</f>
        <v>0</v>
      </c>
      <c r="AD5" s="143">
        <f>CdTrp1!Y215+CdTrp2!Y215+CdTrp3!Y215+CdTrp4!Y215</f>
        <v>0</v>
      </c>
      <c r="AE5" s="153"/>
      <c r="AF5" s="144">
        <f>AF8+AF9</f>
        <v>108.02710799999998</v>
      </c>
      <c r="AG5" t="s">
        <v>223</v>
      </c>
    </row>
    <row r="6" spans="1:53" x14ac:dyDescent="0.25">
      <c r="B6" s="14" t="s">
        <v>292</v>
      </c>
      <c r="C6" s="143">
        <f>SUM(Troupeau!B68:E68)</f>
        <v>33.6</v>
      </c>
      <c r="D6" t="s">
        <v>248</v>
      </c>
      <c r="F6" s="38" t="s">
        <v>219</v>
      </c>
      <c r="G6" s="143">
        <f>CdTrp1!B216+CdTrp2!B216+CdTrp3!B216+CdTrp4!B216</f>
        <v>0</v>
      </c>
      <c r="H6" s="143">
        <f>CdTrp1!C216+CdTrp2!C216+CdTrp3!C216+CdTrp4!C216</f>
        <v>0</v>
      </c>
      <c r="I6" s="143">
        <f>CdTrp1!D216+CdTrp2!D216+CdTrp3!D216+CdTrp4!D216</f>
        <v>0</v>
      </c>
      <c r="J6" s="143">
        <f>CdTrp1!E216+CdTrp2!E216+CdTrp3!E216+CdTrp4!E216</f>
        <v>0</v>
      </c>
      <c r="K6" s="143">
        <f>CdTrp1!F216+CdTrp2!F216+CdTrp3!F216+CdTrp4!F216</f>
        <v>0</v>
      </c>
      <c r="L6" s="143">
        <f>CdTrp1!G216+CdTrp2!G216+CdTrp3!G216+CdTrp4!G216</f>
        <v>0</v>
      </c>
      <c r="M6" s="143">
        <f>CdTrp1!H216+CdTrp2!H216+CdTrp3!H216+CdTrp4!H216</f>
        <v>0</v>
      </c>
      <c r="N6" s="143">
        <f>CdTrp1!I216+CdTrp2!I216+CdTrp3!I216+CdTrp4!I216</f>
        <v>0</v>
      </c>
      <c r="O6" s="143">
        <f>CdTrp1!J216+CdTrp2!J216+CdTrp3!J216+CdTrp4!J216</f>
        <v>0</v>
      </c>
      <c r="P6" s="143">
        <f>CdTrp1!K216+CdTrp2!K216+CdTrp3!K216+CdTrp4!K216</f>
        <v>0</v>
      </c>
      <c r="Q6" s="143">
        <f>CdTrp1!L216+CdTrp2!L216+CdTrp3!L216+CdTrp4!L216</f>
        <v>0</v>
      </c>
      <c r="R6" s="143">
        <f>CdTrp1!M216+CdTrp2!M216+CdTrp3!M216+CdTrp4!M216</f>
        <v>0</v>
      </c>
      <c r="S6" s="143">
        <f>CdTrp1!N216+CdTrp2!N216+CdTrp3!N216+CdTrp4!N216</f>
        <v>0</v>
      </c>
      <c r="T6" s="143">
        <f>CdTrp1!O216+CdTrp2!O216+CdTrp3!O216+CdTrp4!O216</f>
        <v>0</v>
      </c>
      <c r="U6" s="143">
        <f>CdTrp1!P216+CdTrp2!P216+CdTrp3!P216+CdTrp4!P216</f>
        <v>0</v>
      </c>
      <c r="V6" s="143">
        <f>CdTrp1!Q216+CdTrp2!Q216+CdTrp3!Q216+CdTrp4!Q216</f>
        <v>0</v>
      </c>
      <c r="W6" s="143">
        <f>CdTrp1!R216+CdTrp2!R216+CdTrp3!R216+CdTrp4!R216</f>
        <v>0</v>
      </c>
      <c r="X6" s="143">
        <f>CdTrp1!S216+CdTrp2!S216+CdTrp3!S216+CdTrp4!S216</f>
        <v>0</v>
      </c>
      <c r="Y6" s="143">
        <f>CdTrp1!T216+CdTrp2!T216+CdTrp3!T216+CdTrp4!T216</f>
        <v>0</v>
      </c>
      <c r="Z6" s="143">
        <f>CdTrp1!U216+CdTrp2!U216+CdTrp3!U216+CdTrp4!U216</f>
        <v>0</v>
      </c>
      <c r="AA6" s="143">
        <f>CdTrp1!V216+CdTrp2!V216+CdTrp3!V216+CdTrp4!V216</f>
        <v>0</v>
      </c>
      <c r="AB6" s="143">
        <f>CdTrp1!W216+CdTrp2!W216+CdTrp3!W216+CdTrp4!W216</f>
        <v>0</v>
      </c>
      <c r="AC6" s="143">
        <f>CdTrp1!X216+CdTrp2!X216+CdTrp3!X216+CdTrp4!X216</f>
        <v>0</v>
      </c>
      <c r="AD6" s="143">
        <f>CdTrp1!Y216+CdTrp2!Y216+CdTrp3!Y216+CdTrp4!Y216</f>
        <v>0</v>
      </c>
      <c r="AE6" s="153"/>
      <c r="AF6" s="154"/>
    </row>
    <row r="7" spans="1:53" x14ac:dyDescent="0.25">
      <c r="B7" s="14" t="s">
        <v>294</v>
      </c>
      <c r="C7" s="144">
        <f>ROUNDUP(C4-C6-0.9*C5,1)</f>
        <v>70.8</v>
      </c>
      <c r="D7" t="s">
        <v>248</v>
      </c>
      <c r="F7" s="38" t="s">
        <v>220</v>
      </c>
      <c r="G7" s="143">
        <f>CdTrp1!B217+CdTrp2!B217+CdTrp3!B217+CdTrp4!B217</f>
        <v>0</v>
      </c>
      <c r="H7" s="143">
        <f>CdTrp1!C217+CdTrp2!C217+CdTrp3!C217+CdTrp4!C217</f>
        <v>0</v>
      </c>
      <c r="I7" s="143">
        <f>CdTrp1!D217+CdTrp2!D217+CdTrp3!D217+CdTrp4!D217</f>
        <v>0</v>
      </c>
      <c r="J7" s="143">
        <f>CdTrp1!E217+CdTrp2!E217+CdTrp3!E217+CdTrp4!E217</f>
        <v>0</v>
      </c>
      <c r="K7" s="143">
        <f>CdTrp1!F217+CdTrp2!F217+CdTrp3!F217+CdTrp4!F217</f>
        <v>0</v>
      </c>
      <c r="L7" s="143">
        <f>CdTrp1!G217+CdTrp2!G217+CdTrp3!G217+CdTrp4!G217</f>
        <v>0</v>
      </c>
      <c r="M7" s="143">
        <f>CdTrp1!H217+CdTrp2!H217+CdTrp3!H217+CdTrp4!H217</f>
        <v>0</v>
      </c>
      <c r="N7" s="143">
        <f>CdTrp1!I217+CdTrp2!I217+CdTrp3!I217+CdTrp4!I217</f>
        <v>0</v>
      </c>
      <c r="O7" s="143">
        <f>CdTrp1!J217+CdTrp2!J217+CdTrp3!J217+CdTrp4!J217</f>
        <v>0</v>
      </c>
      <c r="P7" s="143">
        <f>CdTrp1!K217+CdTrp2!K217+CdTrp3!K217+CdTrp4!K217</f>
        <v>0</v>
      </c>
      <c r="Q7" s="143">
        <f>CdTrp1!L217+CdTrp2!L217+CdTrp3!L217+CdTrp4!L217</f>
        <v>0</v>
      </c>
      <c r="R7" s="143">
        <f>CdTrp1!M217+CdTrp2!M217+CdTrp3!M217+CdTrp4!M217</f>
        <v>0</v>
      </c>
      <c r="S7" s="143">
        <f>CdTrp1!N217+CdTrp2!N217+CdTrp3!N217+CdTrp4!N217</f>
        <v>0</v>
      </c>
      <c r="T7" s="143">
        <f>CdTrp1!O217+CdTrp2!O217+CdTrp3!O217+CdTrp4!O217</f>
        <v>0</v>
      </c>
      <c r="U7" s="143">
        <f>CdTrp1!P217+CdTrp2!P217+CdTrp3!P217+CdTrp4!P217</f>
        <v>0</v>
      </c>
      <c r="V7" s="143">
        <f>CdTrp1!Q217+CdTrp2!Q217+CdTrp3!Q217+CdTrp4!Q217</f>
        <v>0</v>
      </c>
      <c r="W7" s="143">
        <f>CdTrp1!R217+CdTrp2!R217+CdTrp3!R217+CdTrp4!R217</f>
        <v>0</v>
      </c>
      <c r="X7" s="143">
        <f>CdTrp1!S217+CdTrp2!S217+CdTrp3!S217+CdTrp4!S217</f>
        <v>0</v>
      </c>
      <c r="Y7" s="143">
        <f>CdTrp1!T217+CdTrp2!T217+CdTrp3!T217+CdTrp4!T217</f>
        <v>0</v>
      </c>
      <c r="Z7" s="143">
        <f>CdTrp1!U217+CdTrp2!U217+CdTrp3!U217+CdTrp4!U217</f>
        <v>0</v>
      </c>
      <c r="AA7" s="143">
        <f>CdTrp1!V217+CdTrp2!V217+CdTrp3!V217+CdTrp4!V217</f>
        <v>0</v>
      </c>
      <c r="AB7" s="143">
        <f>CdTrp1!W217+CdTrp2!W217+CdTrp3!W217+CdTrp4!W217</f>
        <v>0</v>
      </c>
      <c r="AC7" s="143">
        <f>CdTrp1!X217+CdTrp2!X217+CdTrp3!X217+CdTrp4!X217</f>
        <v>0</v>
      </c>
      <c r="AD7" s="143">
        <f>CdTrp1!Y217+CdTrp2!Y217+CdTrp3!Y217+CdTrp4!Y217</f>
        <v>0</v>
      </c>
      <c r="AE7" s="153"/>
      <c r="AF7" s="154"/>
    </row>
    <row r="8" spans="1:53" x14ac:dyDescent="0.25">
      <c r="A8" s="132"/>
      <c r="F8" s="38" t="s">
        <v>249</v>
      </c>
      <c r="G8" s="143">
        <f>SUM(G5:G7)</f>
        <v>0</v>
      </c>
      <c r="H8" s="143">
        <f t="shared" ref="H8:AD8" si="0">SUM(H5:H7)</f>
        <v>0</v>
      </c>
      <c r="I8" s="143">
        <f t="shared" si="0"/>
        <v>0</v>
      </c>
      <c r="J8" s="143">
        <f t="shared" si="0"/>
        <v>0</v>
      </c>
      <c r="K8" s="143">
        <f t="shared" si="0"/>
        <v>7.5974799999999991</v>
      </c>
      <c r="L8" s="143">
        <f t="shared" si="0"/>
        <v>7.5974799999999991</v>
      </c>
      <c r="M8" s="143">
        <f t="shared" si="0"/>
        <v>6.6205499999999979</v>
      </c>
      <c r="N8" s="143">
        <f t="shared" si="0"/>
        <v>6.6205499999999979</v>
      </c>
      <c r="O8" s="143">
        <f t="shared" si="0"/>
        <v>6.8412349999999993</v>
      </c>
      <c r="P8" s="143">
        <f t="shared" si="0"/>
        <v>7.1894269999999993</v>
      </c>
      <c r="Q8" s="143">
        <f t="shared" si="0"/>
        <v>6.9575099999999974</v>
      </c>
      <c r="R8" s="143">
        <f t="shared" si="0"/>
        <v>7.1821499999999983</v>
      </c>
      <c r="S8" s="143">
        <f t="shared" si="0"/>
        <v>7.4215549999999997</v>
      </c>
      <c r="T8" s="143">
        <f t="shared" si="0"/>
        <v>7.4215549999999997</v>
      </c>
      <c r="U8" s="143">
        <f t="shared" si="0"/>
        <v>7.4215549999999997</v>
      </c>
      <c r="V8" s="143">
        <f t="shared" si="0"/>
        <v>7.1633250000000004</v>
      </c>
      <c r="W8" s="143">
        <f t="shared" si="0"/>
        <v>5.9802</v>
      </c>
      <c r="X8" s="143">
        <f t="shared" si="0"/>
        <v>5.4188400000000003</v>
      </c>
      <c r="Y8" s="143">
        <f t="shared" si="0"/>
        <v>7.0918079999999994</v>
      </c>
      <c r="Z8" s="143">
        <f t="shared" si="0"/>
        <v>1.7796479999999999</v>
      </c>
      <c r="AA8" s="143">
        <f t="shared" si="0"/>
        <v>1.7222399999999998</v>
      </c>
      <c r="AB8" s="143">
        <f t="shared" si="0"/>
        <v>0</v>
      </c>
      <c r="AC8" s="143">
        <f t="shared" si="0"/>
        <v>0</v>
      </c>
      <c r="AD8" s="143">
        <f t="shared" si="0"/>
        <v>0</v>
      </c>
      <c r="AE8" s="153"/>
      <c r="AF8" s="144">
        <f>SUM(G8:AD8)</f>
        <v>108.02710799999998</v>
      </c>
      <c r="AG8" t="s">
        <v>321</v>
      </c>
    </row>
    <row r="9" spans="1:53" x14ac:dyDescent="0.25">
      <c r="F9" s="38" t="s">
        <v>221</v>
      </c>
      <c r="G9" s="143">
        <f>CdTrp1!B218+CdTrp2!B218+CdTrp3!B218+CdTrp4!B218</f>
        <v>0</v>
      </c>
      <c r="H9" s="143">
        <f>CdTrp1!C218+CdTrp2!C218+CdTrp3!C218+CdTrp4!C218</f>
        <v>0</v>
      </c>
      <c r="I9" s="143">
        <f>CdTrp1!D218+CdTrp2!D218+CdTrp3!D218+CdTrp4!D218</f>
        <v>0</v>
      </c>
      <c r="J9" s="143">
        <f>CdTrp1!E218+CdTrp2!E218+CdTrp3!E218+CdTrp4!E218</f>
        <v>0</v>
      </c>
      <c r="K9" s="143">
        <f>CdTrp1!F218+CdTrp2!F218+CdTrp3!F218+CdTrp4!F218</f>
        <v>0</v>
      </c>
      <c r="L9" s="143">
        <f>CdTrp1!G218+CdTrp2!G218+CdTrp3!G218+CdTrp4!G218</f>
        <v>0</v>
      </c>
      <c r="M9" s="143">
        <f>CdTrp1!H218+CdTrp2!H218+CdTrp3!H218+CdTrp4!H218</f>
        <v>0</v>
      </c>
      <c r="N9" s="143">
        <f>CdTrp1!I218+CdTrp2!I218+CdTrp3!I218+CdTrp4!I218</f>
        <v>0</v>
      </c>
      <c r="O9" s="143">
        <f>CdTrp1!J218+CdTrp2!J218+CdTrp3!J218+CdTrp4!J218</f>
        <v>0</v>
      </c>
      <c r="P9" s="143">
        <f>CdTrp1!K218+CdTrp2!K218+CdTrp3!K218+CdTrp4!K218</f>
        <v>0</v>
      </c>
      <c r="Q9" s="143">
        <f>CdTrp1!L218+CdTrp2!L218+CdTrp3!L218+CdTrp4!L218</f>
        <v>0</v>
      </c>
      <c r="R9" s="143">
        <f>CdTrp1!M218+CdTrp2!M218+CdTrp3!M218+CdTrp4!M218</f>
        <v>0</v>
      </c>
      <c r="S9" s="143">
        <f>CdTrp1!N218+CdTrp2!N218+CdTrp3!N218+CdTrp4!N218</f>
        <v>0</v>
      </c>
      <c r="T9" s="143">
        <f>CdTrp1!O218+CdTrp2!O218+CdTrp3!O218+CdTrp4!O218</f>
        <v>0</v>
      </c>
      <c r="U9" s="143">
        <f>CdTrp1!P218+CdTrp2!P218+CdTrp3!P218+CdTrp4!P218</f>
        <v>0</v>
      </c>
      <c r="V9" s="143">
        <f>CdTrp1!Q218+CdTrp2!Q218+CdTrp3!Q218+CdTrp4!Q218</f>
        <v>0</v>
      </c>
      <c r="W9" s="143">
        <f>CdTrp1!R218+CdTrp2!R218+CdTrp3!R218+CdTrp4!R218</f>
        <v>0</v>
      </c>
      <c r="X9" s="143">
        <f>CdTrp1!S218+CdTrp2!S218+CdTrp3!S218+CdTrp4!S218</f>
        <v>0</v>
      </c>
      <c r="Y9" s="143">
        <f>CdTrp1!T218+CdTrp2!T218+CdTrp3!T218+CdTrp4!T218</f>
        <v>0</v>
      </c>
      <c r="Z9" s="143">
        <f>CdTrp1!U218+CdTrp2!U218+CdTrp3!U218+CdTrp4!U218</f>
        <v>0</v>
      </c>
      <c r="AA9" s="143">
        <f>CdTrp1!V218+CdTrp2!V218+CdTrp3!V218+CdTrp4!V218</f>
        <v>0</v>
      </c>
      <c r="AB9" s="143">
        <f>CdTrp1!W218+CdTrp2!W218+CdTrp3!W218+CdTrp4!W218</f>
        <v>0</v>
      </c>
      <c r="AC9" s="143">
        <f>CdTrp1!X218+CdTrp2!X218+CdTrp3!X218+CdTrp4!X218</f>
        <v>0</v>
      </c>
      <c r="AD9" s="143">
        <f>CdTrp1!Y218+CdTrp2!Y218+CdTrp3!Y218+CdTrp4!Y218</f>
        <v>0</v>
      </c>
      <c r="AE9" s="153"/>
      <c r="AF9" s="144">
        <f>SUM(G9:AD9)</f>
        <v>0</v>
      </c>
      <c r="AG9" t="s">
        <v>225</v>
      </c>
    </row>
    <row r="10" spans="1:53" x14ac:dyDescent="0.25">
      <c r="A10" s="2" t="s">
        <v>423</v>
      </c>
      <c r="B10" s="15"/>
      <c r="C10" s="49"/>
    </row>
    <row r="11" spans="1:53" x14ac:dyDescent="0.25">
      <c r="B11" s="19" t="str">
        <f>[1]Conc!C5</f>
        <v>1 -maïs-grain</v>
      </c>
      <c r="C11" s="144">
        <f>G14</f>
        <v>2.6</v>
      </c>
      <c r="D11" t="s">
        <v>190</v>
      </c>
      <c r="G11" s="85"/>
    </row>
    <row r="12" spans="1:53" x14ac:dyDescent="0.25">
      <c r="B12" s="19" t="str">
        <f>[1]Conc!C6</f>
        <v>2 -grain céréales à paille</v>
      </c>
      <c r="C12" s="144">
        <f>H14</f>
        <v>2.6999999999999997</v>
      </c>
      <c r="D12" t="s">
        <v>190</v>
      </c>
      <c r="G12" t="s">
        <v>424</v>
      </c>
    </row>
    <row r="13" spans="1:53" x14ac:dyDescent="0.25">
      <c r="B13" s="19" t="str">
        <f>[1]Conc!C7</f>
        <v>3 -graines protéagineux</v>
      </c>
      <c r="C13" s="144">
        <f>I14</f>
        <v>0</v>
      </c>
      <c r="D13" t="s">
        <v>190</v>
      </c>
      <c r="G13" s="152">
        <v>1</v>
      </c>
      <c r="H13" s="152">
        <v>2</v>
      </c>
      <c r="I13" s="152">
        <v>3</v>
      </c>
      <c r="J13" s="152">
        <v>4</v>
      </c>
      <c r="K13" s="152">
        <v>5</v>
      </c>
      <c r="L13" s="152">
        <v>6</v>
      </c>
      <c r="M13" s="152">
        <v>7</v>
      </c>
      <c r="N13" s="152">
        <v>8</v>
      </c>
      <c r="O13" s="152">
        <v>9</v>
      </c>
      <c r="P13" s="152">
        <v>10</v>
      </c>
      <c r="Q13" s="152">
        <v>11</v>
      </c>
      <c r="R13" s="152">
        <v>12</v>
      </c>
      <c r="S13" s="152">
        <v>13</v>
      </c>
      <c r="T13" s="152">
        <v>14</v>
      </c>
      <c r="U13" s="152">
        <v>15</v>
      </c>
      <c r="V13" s="152">
        <v>16</v>
      </c>
      <c r="W13" s="152">
        <v>17</v>
      </c>
      <c r="X13" s="152">
        <v>18</v>
      </c>
      <c r="Y13" s="152">
        <v>19</v>
      </c>
      <c r="Z13" s="152">
        <v>20</v>
      </c>
      <c r="AA13" s="152">
        <v>21</v>
      </c>
      <c r="AB13" s="152">
        <v>22</v>
      </c>
      <c r="AC13" s="152">
        <v>23</v>
      </c>
      <c r="AD13" s="152">
        <v>24</v>
      </c>
      <c r="AE13" s="152">
        <v>25</v>
      </c>
      <c r="AF13" s="152">
        <v>26</v>
      </c>
      <c r="AG13" s="152">
        <v>27</v>
      </c>
      <c r="AH13" s="152">
        <v>28</v>
      </c>
      <c r="AI13" s="152">
        <v>29</v>
      </c>
      <c r="AJ13" s="152">
        <v>30</v>
      </c>
      <c r="AK13" s="152">
        <v>31</v>
      </c>
      <c r="AL13" s="152">
        <v>32</v>
      </c>
      <c r="AM13" s="152">
        <v>33</v>
      </c>
      <c r="AN13" s="152">
        <v>34</v>
      </c>
      <c r="AO13" s="152">
        <v>35</v>
      </c>
      <c r="AP13" s="152">
        <v>36</v>
      </c>
      <c r="AQ13" s="152">
        <v>37</v>
      </c>
      <c r="AR13" s="152">
        <v>38</v>
      </c>
      <c r="AS13" s="152">
        <v>39</v>
      </c>
      <c r="AT13" s="152">
        <v>40</v>
      </c>
      <c r="AU13" s="152">
        <v>41</v>
      </c>
      <c r="AV13" s="152">
        <v>42</v>
      </c>
      <c r="AW13" s="152">
        <v>43</v>
      </c>
      <c r="AX13" s="152">
        <v>44</v>
      </c>
      <c r="AY13" s="152">
        <v>45</v>
      </c>
      <c r="AZ13" s="152">
        <v>46</v>
      </c>
      <c r="BA13" s="152">
        <v>47</v>
      </c>
    </row>
    <row r="14" spans="1:53" x14ac:dyDescent="0.25">
      <c r="B14" s="19" t="str">
        <f>[1]Conc!C8</f>
        <v>4 -</v>
      </c>
      <c r="C14" s="144">
        <f>J14</f>
        <v>0</v>
      </c>
      <c r="D14" t="s">
        <v>190</v>
      </c>
      <c r="E14" s="21"/>
      <c r="G14" s="145">
        <f>CdTrp1!AK54+CdTrp2!AK54+CdTrp3!AK54+CdTrp4!AK54</f>
        <v>2.6</v>
      </c>
      <c r="H14" s="145">
        <f>CdTrp1!AL54+CdTrp2!AL54+CdTrp3!AL54+CdTrp4!AL54</f>
        <v>2.6999999999999997</v>
      </c>
      <c r="I14" s="145">
        <f>CdTrp1!AM54+CdTrp2!AM54+CdTrp3!AM54+CdTrp4!AM54</f>
        <v>0</v>
      </c>
      <c r="J14" s="145">
        <f>CdTrp1!AN54+CdTrp2!AN54+CdTrp3!AN54+CdTrp4!AN54</f>
        <v>0</v>
      </c>
      <c r="K14" s="145">
        <f>CdTrp1!AO54+CdTrp2!AO54+CdTrp3!AO54+CdTrp4!AO54</f>
        <v>0</v>
      </c>
      <c r="L14" s="145">
        <f>CdTrp1!AP54+CdTrp2!AP54+CdTrp3!AP54+CdTrp4!AP54</f>
        <v>2.2000000000000002</v>
      </c>
      <c r="M14" s="145">
        <f>CdTrp1!AQ54+CdTrp2!AQ54+CdTrp3!AQ54+CdTrp4!AQ54</f>
        <v>0</v>
      </c>
      <c r="N14" s="145">
        <f>CdTrp1!AR54+CdTrp2!AR54+CdTrp3!AR54+CdTrp4!AR54</f>
        <v>0</v>
      </c>
      <c r="O14" s="145">
        <f>CdTrp1!AS54+CdTrp2!AS54+CdTrp3!AS54+CdTrp4!AS54</f>
        <v>0</v>
      </c>
      <c r="P14" s="145">
        <f>CdTrp1!AT54+CdTrp2!AT54+CdTrp3!AT54+CdTrp4!AT54</f>
        <v>0</v>
      </c>
      <c r="Q14" s="145">
        <f>CdTrp1!AU54+CdTrp2!AU54+CdTrp3!AU54+CdTrp4!AU54</f>
        <v>0</v>
      </c>
      <c r="R14" s="145">
        <f>CdTrp1!AV54+CdTrp2!AV54+CdTrp3!AV54+CdTrp4!AV54</f>
        <v>0</v>
      </c>
      <c r="S14" s="145">
        <f>CdTrp1!AW54+CdTrp2!AW54+CdTrp3!AW54+CdTrp4!AW54</f>
        <v>0</v>
      </c>
      <c r="T14" s="145">
        <f>CdTrp1!AX54+CdTrp2!AX54+CdTrp3!AX54+CdTrp4!AX54</f>
        <v>0</v>
      </c>
      <c r="U14" s="145">
        <f>CdTrp1!AY54+CdTrp2!AY54+CdTrp3!AY54+CdTrp4!AY54</f>
        <v>0</v>
      </c>
      <c r="V14" s="145">
        <f>CdTrp1!AZ54+CdTrp2!AZ54+CdTrp3!AZ54+CdTrp4!AZ54</f>
        <v>0</v>
      </c>
      <c r="W14" s="145">
        <f>CdTrp1!BA54+CdTrp2!BA54+CdTrp3!BA54+CdTrp4!BA54</f>
        <v>4.4000000000000004</v>
      </c>
      <c r="X14" s="145">
        <f>CdTrp1!BB54+CdTrp2!BB54+CdTrp3!BB54+CdTrp4!BB54</f>
        <v>0</v>
      </c>
      <c r="Y14" s="145">
        <f>CdTrp1!BC54+CdTrp2!BC54+CdTrp3!BC54+CdTrp4!BC54</f>
        <v>0</v>
      </c>
      <c r="Z14" s="145">
        <f>CdTrp1!BD54+CdTrp2!BD54+CdTrp3!BD54+CdTrp4!BD54</f>
        <v>0</v>
      </c>
      <c r="AA14" s="145">
        <f>CdTrp1!BE54+CdTrp2!BE54+CdTrp3!BE54+CdTrp4!BE54</f>
        <v>0</v>
      </c>
      <c r="AB14" s="145">
        <f>CdTrp1!BF54+CdTrp2!BF54+CdTrp3!BF54+CdTrp4!BF54</f>
        <v>0</v>
      </c>
      <c r="AC14" s="145">
        <f>CdTrp1!BG54+CdTrp2!BG54+CdTrp3!BG54+CdTrp4!BG54</f>
        <v>0</v>
      </c>
      <c r="AD14" s="145">
        <f>CdTrp1!BH54+CdTrp2!BH54+CdTrp3!BH54+CdTrp4!BH54</f>
        <v>0</v>
      </c>
      <c r="AE14" s="145">
        <f>CdTrp1!BI54+CdTrp2!BI54+CdTrp3!BI54+CdTrp4!BI54</f>
        <v>0</v>
      </c>
      <c r="AF14" s="145">
        <f>CdTrp1!BJ54+CdTrp2!BJ54+CdTrp3!BJ54+CdTrp4!BJ54</f>
        <v>0</v>
      </c>
      <c r="AG14" s="145">
        <f>CdTrp1!BK54+CdTrp2!BK54+CdTrp3!BK54+CdTrp4!BK54</f>
        <v>0</v>
      </c>
      <c r="AH14" s="145">
        <f>CdTrp1!BL54+CdTrp2!BL54+CdTrp3!BL54+CdTrp4!BL54</f>
        <v>0</v>
      </c>
      <c r="AI14" s="145">
        <f>CdTrp1!BM54+CdTrp2!BM54+CdTrp3!BM54+CdTrp4!BM54</f>
        <v>0</v>
      </c>
      <c r="AJ14" s="145">
        <f>CdTrp1!BN54+CdTrp2!BN54+CdTrp3!BN54+CdTrp4!BN54</f>
        <v>0</v>
      </c>
      <c r="AK14" s="145">
        <f>CdTrp1!BO54+CdTrp2!BO54+CdTrp3!BO54+CdTrp4!BO54</f>
        <v>0</v>
      </c>
      <c r="AL14" s="145">
        <f>CdTrp1!BP54+CdTrp2!BP54+CdTrp3!BP54+CdTrp4!BP54</f>
        <v>0</v>
      </c>
      <c r="AM14" s="145">
        <f>CdTrp1!BQ54+CdTrp2!BQ54+CdTrp3!BQ54+CdTrp4!BQ54</f>
        <v>0</v>
      </c>
      <c r="AN14" s="145">
        <f>CdTrp1!BR54+CdTrp2!BR54+CdTrp3!BR54+CdTrp4!BR54</f>
        <v>0</v>
      </c>
      <c r="AO14" s="145">
        <f>CdTrp1!BS54+CdTrp2!BS54+CdTrp3!BS54+CdTrp4!BS54</f>
        <v>0</v>
      </c>
      <c r="AP14" s="145">
        <f>CdTrp1!BT54+CdTrp2!BT54+CdTrp3!BT54+CdTrp4!BT54</f>
        <v>0</v>
      </c>
      <c r="AQ14" s="145">
        <f>CdTrp1!BU54+CdTrp2!BU54+CdTrp3!BU54+CdTrp4!BU54</f>
        <v>0</v>
      </c>
      <c r="AR14" s="145">
        <f>CdTrp1!BV54+CdTrp2!BV54+CdTrp3!BV54+CdTrp4!BV54</f>
        <v>0</v>
      </c>
      <c r="AS14" s="145">
        <f>CdTrp1!BW54+CdTrp2!BW54+CdTrp3!BW54+CdTrp4!BW54</f>
        <v>0</v>
      </c>
      <c r="AT14" s="145">
        <f>CdTrp1!BX54+CdTrp2!BX54+CdTrp3!BX54+CdTrp4!BX54</f>
        <v>0</v>
      </c>
      <c r="AU14" s="145">
        <f>CdTrp1!BY54+CdTrp2!BY54+CdTrp3!BY54+CdTrp4!BY54</f>
        <v>0</v>
      </c>
      <c r="AV14" s="145">
        <f>CdTrp1!BZ54+CdTrp2!BZ54+CdTrp3!BZ54+CdTrp4!BZ54</f>
        <v>0</v>
      </c>
      <c r="AW14" s="145">
        <f>CdTrp1!CA54+CdTrp2!CA54+CdTrp3!CA54+CdTrp4!CA54</f>
        <v>0</v>
      </c>
      <c r="AX14" s="145">
        <f>CdTrp1!CB54+CdTrp2!CB54+CdTrp3!CB54+CdTrp4!CB54</f>
        <v>0</v>
      </c>
      <c r="AY14" s="145">
        <f>CdTrp1!CC54+CdTrp2!CC54+CdTrp3!CC54+CdTrp4!CC54</f>
        <v>0</v>
      </c>
      <c r="AZ14" s="145">
        <f>CdTrp1!CD54+CdTrp2!CD54+CdTrp3!CD54+CdTrp4!CD54</f>
        <v>0</v>
      </c>
      <c r="BA14" s="145">
        <f>CdTrp1!CE54+CdTrp2!CE54+CdTrp3!CE54+CdTrp4!CE54</f>
        <v>0</v>
      </c>
    </row>
    <row r="15" spans="1:53" x14ac:dyDescent="0.25">
      <c r="B15" s="19" t="str">
        <f>[1]Conc!C9</f>
        <v>5 -</v>
      </c>
      <c r="C15" s="144">
        <f>K14</f>
        <v>0</v>
      </c>
      <c r="D15" t="s">
        <v>190</v>
      </c>
      <c r="E15" s="21"/>
      <c r="F15" s="49"/>
      <c r="G15" s="49"/>
      <c r="H15" s="49"/>
      <c r="I15" s="49"/>
    </row>
    <row r="16" spans="1:53" x14ac:dyDescent="0.25">
      <c r="B16" s="19" t="str">
        <f>[1]Conc!C10</f>
        <v>6 -tourteaux soja</v>
      </c>
      <c r="C16" s="144">
        <f>L14</f>
        <v>2.2000000000000002</v>
      </c>
      <c r="F16" s="49"/>
      <c r="G16" s="140"/>
      <c r="H16" s="49"/>
      <c r="I16" s="49"/>
    </row>
    <row r="17" spans="2:9" x14ac:dyDescent="0.25">
      <c r="B17" s="19" t="str">
        <f>[1]Conc!C11</f>
        <v>7 -luzerne déshydratée</v>
      </c>
      <c r="C17" s="144">
        <f>M14</f>
        <v>0</v>
      </c>
      <c r="D17" s="130"/>
      <c r="E17" s="5"/>
      <c r="F17" s="49"/>
      <c r="G17" s="140"/>
      <c r="H17" s="49"/>
      <c r="I17" s="49"/>
    </row>
    <row r="18" spans="2:9" x14ac:dyDescent="0.25">
      <c r="B18" s="19" t="str">
        <f>[1]Conc!C12</f>
        <v>8 -CMV bovin allaitant</v>
      </c>
      <c r="C18" s="144">
        <f>N14</f>
        <v>0</v>
      </c>
      <c r="D18" s="131"/>
      <c r="E18" s="5"/>
      <c r="F18" s="49"/>
      <c r="G18" s="140"/>
      <c r="H18" s="49"/>
      <c r="I18" s="49"/>
    </row>
    <row r="19" spans="2:9" x14ac:dyDescent="0.25">
      <c r="B19" s="19" t="str">
        <f>[1]Conc!C13</f>
        <v>9 -croissance porcs</v>
      </c>
      <c r="C19" s="144">
        <f>O14</f>
        <v>0</v>
      </c>
      <c r="D19" s="59"/>
      <c r="E19" s="5"/>
      <c r="F19" s="49"/>
      <c r="G19" s="140"/>
      <c r="H19" s="49"/>
      <c r="I19" s="49"/>
    </row>
    <row r="20" spans="2:9" x14ac:dyDescent="0.25">
      <c r="B20" s="19" t="str">
        <f>[1]Conc!C14</f>
        <v xml:space="preserve">10 -finition porcs </v>
      </c>
      <c r="C20" s="144">
        <f>P14</f>
        <v>0</v>
      </c>
      <c r="D20" s="83"/>
      <c r="E20" s="5"/>
      <c r="F20" s="49"/>
      <c r="G20" s="140"/>
      <c r="H20" s="49"/>
      <c r="I20" s="49"/>
    </row>
    <row r="21" spans="2:9" x14ac:dyDescent="0.25">
      <c r="B21" s="19" t="str">
        <f>[1]Conc!C15</f>
        <v xml:space="preserve">11 -correcteur N brebis lait </v>
      </c>
      <c r="C21" s="144">
        <f>Q14</f>
        <v>0</v>
      </c>
      <c r="D21" s="83"/>
      <c r="E21" s="5"/>
    </row>
    <row r="22" spans="2:9" x14ac:dyDescent="0.25">
      <c r="B22" s="19" t="str">
        <f>[1]Conc!C16</f>
        <v>12 -méteil (tritical pois feverol maïs)</v>
      </c>
      <c r="C22" s="144">
        <f>R14</f>
        <v>0</v>
      </c>
      <c r="D22" s="5"/>
      <c r="E22" s="5"/>
    </row>
    <row r="23" spans="2:9" x14ac:dyDescent="0.25">
      <c r="B23" s="19" t="str">
        <f>[1]Conc!C17</f>
        <v>13 -aliment complet brebis lait</v>
      </c>
      <c r="C23" s="144">
        <f>S14</f>
        <v>0</v>
      </c>
      <c r="D23" s="5"/>
      <c r="E23" s="5"/>
    </row>
    <row r="24" spans="2:9" x14ac:dyDescent="0.25">
      <c r="B24" s="19" t="str">
        <f>[1]Conc!C18</f>
        <v xml:space="preserve">14 -concentré agnelle lait </v>
      </c>
      <c r="C24" s="144">
        <f>T14</f>
        <v>0</v>
      </c>
    </row>
    <row r="25" spans="2:9" x14ac:dyDescent="0.25">
      <c r="B25" s="19" t="str">
        <f>[1]Conc!C19</f>
        <v>15 -concentré bovin allaitant</v>
      </c>
      <c r="C25" s="144">
        <f>U14</f>
        <v>0</v>
      </c>
    </row>
    <row r="26" spans="2:9" x14ac:dyDescent="0.25">
      <c r="B26" s="19" t="str">
        <f>[1]Conc!C20</f>
        <v>16 -correcteur N bovin allaitant</v>
      </c>
      <c r="C26" s="144">
        <f>V14</f>
        <v>0</v>
      </c>
    </row>
    <row r="27" spans="2:9" x14ac:dyDescent="0.25">
      <c r="B27" s="19" t="str">
        <f>[1]Conc!C21</f>
        <v xml:space="preserve">17 -alim veau </v>
      </c>
      <c r="C27" s="144">
        <f>W14</f>
        <v>4.4000000000000004</v>
      </c>
    </row>
    <row r="28" spans="2:9" x14ac:dyDescent="0.25">
      <c r="B28" s="19" t="str">
        <f>[1]Conc!C22</f>
        <v xml:space="preserve">18 -cmv engraissement bovin </v>
      </c>
      <c r="C28" s="144">
        <f>X14</f>
        <v>0</v>
      </c>
    </row>
    <row r="29" spans="2:9" x14ac:dyDescent="0.25">
      <c r="B29" s="19" t="str">
        <f>[1]Conc!C23</f>
        <v>19 -concentré VL</v>
      </c>
      <c r="C29" s="144">
        <f>Y14</f>
        <v>0</v>
      </c>
    </row>
    <row r="30" spans="2:9" x14ac:dyDescent="0.25">
      <c r="B30" s="19" t="str">
        <f>[1]Conc!C24</f>
        <v>20 -</v>
      </c>
      <c r="C30" s="144">
        <f>Z14</f>
        <v>0</v>
      </c>
    </row>
    <row r="31" spans="2:9" x14ac:dyDescent="0.25">
      <c r="B31" s="19" t="str">
        <f>[1]Conc!C25</f>
        <v>21 -</v>
      </c>
      <c r="C31" s="144">
        <f>AA14</f>
        <v>0</v>
      </c>
    </row>
    <row r="32" spans="2:9" x14ac:dyDescent="0.25">
      <c r="B32" s="19" t="str">
        <f>[1]Conc!C26</f>
        <v>22 -</v>
      </c>
      <c r="C32" s="144">
        <f>AB14</f>
        <v>0</v>
      </c>
    </row>
    <row r="33" spans="2:3" x14ac:dyDescent="0.25">
      <c r="B33" s="19" t="str">
        <f>[1]Conc!C27</f>
        <v>23 -</v>
      </c>
      <c r="C33" s="144">
        <f>AC14</f>
        <v>0</v>
      </c>
    </row>
    <row r="34" spans="2:3" x14ac:dyDescent="0.25">
      <c r="B34" s="19" t="str">
        <f>[1]Conc!C28</f>
        <v>24 -</v>
      </c>
      <c r="C34" s="144">
        <f>AD14</f>
        <v>0</v>
      </c>
    </row>
    <row r="35" spans="2:3" x14ac:dyDescent="0.25">
      <c r="B35" s="19" t="str">
        <f>[1]Conc!C29</f>
        <v>25 -</v>
      </c>
      <c r="C35" s="144">
        <f>AE14</f>
        <v>0</v>
      </c>
    </row>
    <row r="36" spans="2:3" x14ac:dyDescent="0.25">
      <c r="B36" s="19" t="str">
        <f>[1]Conc!C30</f>
        <v>26 -</v>
      </c>
      <c r="C36" s="144">
        <f>AF14</f>
        <v>0</v>
      </c>
    </row>
    <row r="37" spans="2:3" x14ac:dyDescent="0.25">
      <c r="B37" s="19" t="str">
        <f>[1]Conc!C31</f>
        <v>27 -</v>
      </c>
      <c r="C37" s="144">
        <f>AG14</f>
        <v>0</v>
      </c>
    </row>
    <row r="38" spans="2:3" x14ac:dyDescent="0.25">
      <c r="B38" s="19" t="str">
        <f>[1]Conc!C32</f>
        <v>28 -</v>
      </c>
      <c r="C38" s="144">
        <f>AH14</f>
        <v>0</v>
      </c>
    </row>
    <row r="39" spans="2:3" x14ac:dyDescent="0.25">
      <c r="B39" s="19" t="str">
        <f>[1]Conc!C33</f>
        <v>29 -</v>
      </c>
      <c r="C39" s="144">
        <f>+AI14</f>
        <v>0</v>
      </c>
    </row>
    <row r="40" spans="2:3" x14ac:dyDescent="0.25">
      <c r="B40" s="19" t="str">
        <f>[1]Conc!C34</f>
        <v>30 -</v>
      </c>
      <c r="C40" s="144">
        <f>+AJ14</f>
        <v>0</v>
      </c>
    </row>
    <row r="41" spans="2:3" x14ac:dyDescent="0.25">
      <c r="B41" s="19" t="str">
        <f>[1]Conc!C35</f>
        <v>31 -</v>
      </c>
      <c r="C41" s="144">
        <f>+AK14</f>
        <v>0</v>
      </c>
    </row>
    <row r="42" spans="2:3" x14ac:dyDescent="0.25">
      <c r="B42" s="19" t="str">
        <f>[1]Conc!C36</f>
        <v>32 -</v>
      </c>
      <c r="C42" s="144">
        <f>+AL14</f>
        <v>0</v>
      </c>
    </row>
    <row r="43" spans="2:3" x14ac:dyDescent="0.25">
      <c r="B43" s="19" t="str">
        <f>[1]Conc!C37</f>
        <v>33 -</v>
      </c>
      <c r="C43" s="144">
        <f>+AM14</f>
        <v>0</v>
      </c>
    </row>
    <row r="44" spans="2:3" x14ac:dyDescent="0.25">
      <c r="B44" s="19" t="str">
        <f>[1]Conc!C38</f>
        <v>34 -</v>
      </c>
      <c r="C44" s="144">
        <f>+AN14</f>
        <v>0</v>
      </c>
    </row>
    <row r="45" spans="2:3" x14ac:dyDescent="0.25">
      <c r="B45" s="19" t="str">
        <f>[1]Conc!C39</f>
        <v>35 -</v>
      </c>
      <c r="C45" s="144">
        <f>+AO14</f>
        <v>0</v>
      </c>
    </row>
    <row r="46" spans="2:3" x14ac:dyDescent="0.25">
      <c r="B46" s="19" t="str">
        <f>[1]Conc!C40</f>
        <v>36 -</v>
      </c>
      <c r="C46" s="144">
        <f>+AP14</f>
        <v>0</v>
      </c>
    </row>
    <row r="47" spans="2:3" x14ac:dyDescent="0.25">
      <c r="B47" s="19" t="str">
        <f>[1]Conc!C41</f>
        <v>37 -</v>
      </c>
      <c r="C47" s="144">
        <f>+AQ14</f>
        <v>0</v>
      </c>
    </row>
    <row r="48" spans="2:3" x14ac:dyDescent="0.25">
      <c r="B48" s="19" t="str">
        <f>[1]Conc!C42</f>
        <v>38 -</v>
      </c>
      <c r="C48" s="144">
        <f>+AR14</f>
        <v>0</v>
      </c>
    </row>
    <row r="49" spans="2:3" x14ac:dyDescent="0.25">
      <c r="B49" s="19" t="str">
        <f>[1]Conc!C43</f>
        <v>39 -</v>
      </c>
      <c r="C49" s="144">
        <f>+AS14</f>
        <v>0</v>
      </c>
    </row>
    <row r="50" spans="2:3" x14ac:dyDescent="0.25">
      <c r="B50" s="19" t="str">
        <f>[1]Conc!C44</f>
        <v>40 -</v>
      </c>
      <c r="C50" s="144">
        <f>+AT14</f>
        <v>0</v>
      </c>
    </row>
    <row r="51" spans="2:3" x14ac:dyDescent="0.25">
      <c r="B51" s="19" t="str">
        <f>[1]Conc!C45</f>
        <v>41 -</v>
      </c>
      <c r="C51" s="144">
        <f>+AU14</f>
        <v>0</v>
      </c>
    </row>
    <row r="52" spans="2:3" x14ac:dyDescent="0.25">
      <c r="B52" s="19" t="str">
        <f>[1]Conc!C46</f>
        <v>42 -</v>
      </c>
      <c r="C52" s="144">
        <f>+AV14</f>
        <v>0</v>
      </c>
    </row>
    <row r="53" spans="2:3" x14ac:dyDescent="0.25">
      <c r="B53" s="19" t="str">
        <f>[1]Conc!C47</f>
        <v>43 -</v>
      </c>
      <c r="C53" s="144">
        <f>+AW14</f>
        <v>0</v>
      </c>
    </row>
    <row r="54" spans="2:3" x14ac:dyDescent="0.25">
      <c r="B54" s="19" t="str">
        <f>[1]Conc!C48</f>
        <v>44 -</v>
      </c>
      <c r="C54" s="144">
        <f>+AX14</f>
        <v>0</v>
      </c>
    </row>
    <row r="55" spans="2:3" x14ac:dyDescent="0.25">
      <c r="B55" s="19" t="str">
        <f>[1]Conc!C49</f>
        <v>45 -</v>
      </c>
      <c r="C55" s="144">
        <f>+AY14</f>
        <v>0</v>
      </c>
    </row>
    <row r="56" spans="2:3" x14ac:dyDescent="0.25">
      <c r="B56" s="19" t="str">
        <f>[1]Conc!C50</f>
        <v>46 -</v>
      </c>
      <c r="C56" s="144">
        <f>+AZ14</f>
        <v>0</v>
      </c>
    </row>
    <row r="57" spans="2:3" x14ac:dyDescent="0.25">
      <c r="B57" s="19" t="str">
        <f>[1]Conc!C51</f>
        <v>47 -</v>
      </c>
      <c r="C57" s="144">
        <f>+BA14</f>
        <v>0</v>
      </c>
    </row>
  </sheetData>
  <mergeCells count="12">
    <mergeCell ref="AC1:AD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102"/>
  <sheetViews>
    <sheetView topLeftCell="C3" zoomScale="90" zoomScaleNormal="90" workbookViewId="0">
      <selection activeCell="R12" sqref="R12"/>
    </sheetView>
  </sheetViews>
  <sheetFormatPr baseColWidth="10" defaultRowHeight="15" x14ac:dyDescent="0.25"/>
  <cols>
    <col min="1" max="1" width="4" style="81" customWidth="1"/>
    <col min="2" max="2" width="29.42578125" style="14" bestFit="1" customWidth="1"/>
    <col min="3" max="3" width="6.85546875" style="14" customWidth="1"/>
    <col min="4" max="5" width="8.140625" style="14" customWidth="1"/>
    <col min="6" max="6" width="9.28515625" customWidth="1"/>
    <col min="7" max="8" width="7.42578125" customWidth="1"/>
    <col min="9" max="9" width="19.5703125" hidden="1" customWidth="1"/>
    <col min="10" max="10" width="5.140625" customWidth="1"/>
    <col min="11" max="13" width="7.85546875" customWidth="1"/>
    <col min="14" max="14" width="37.7109375" customWidth="1"/>
    <col min="15" max="15" width="9" customWidth="1"/>
    <col min="16" max="16" width="4.7109375" customWidth="1"/>
    <col min="17" max="17" width="6.28515625" style="58" customWidth="1"/>
    <col min="18" max="18" width="6.28515625" customWidth="1"/>
    <col min="19" max="19" width="20.28515625" style="58" customWidth="1"/>
    <col min="20" max="20" width="20.28515625" customWidth="1"/>
    <col min="21" max="25" width="6.28515625" customWidth="1"/>
    <col min="26" max="26" width="6.140625" customWidth="1"/>
    <col min="27" max="27" width="6.140625" style="58" customWidth="1"/>
    <col min="28" max="28" width="2.42578125" customWidth="1"/>
    <col min="29" max="34" width="5.140625" customWidth="1"/>
    <col min="35" max="35" width="3" customWidth="1"/>
    <col min="36" max="36" width="5" customWidth="1"/>
    <col min="37" max="37" width="5" style="5" customWidth="1"/>
    <col min="38" max="38" width="15.140625" style="32" customWidth="1"/>
    <col min="39" max="41" width="6.140625" style="5" customWidth="1"/>
    <col min="42" max="44" width="5" style="5" customWidth="1"/>
    <col min="45" max="45" width="5.42578125" style="5" customWidth="1"/>
    <col min="46" max="68" width="5.42578125" customWidth="1"/>
    <col min="69" max="69" width="2" customWidth="1"/>
    <col min="70" max="70" width="20.5703125" customWidth="1"/>
    <col min="71" max="71" width="20.5703125" style="82" customWidth="1"/>
  </cols>
  <sheetData>
    <row r="1" spans="2:71" x14ac:dyDescent="0.25">
      <c r="B1" s="146" t="s">
        <v>412</v>
      </c>
      <c r="Q1" s="140"/>
      <c r="S1" s="140"/>
      <c r="AA1" s="140"/>
      <c r="AR1" s="37" t="s">
        <v>266</v>
      </c>
      <c r="AS1" s="59" t="s">
        <v>267</v>
      </c>
    </row>
    <row r="2" spans="2:71" x14ac:dyDescent="0.25">
      <c r="B2" s="146" t="s">
        <v>417</v>
      </c>
      <c r="Q2" s="140"/>
      <c r="S2" s="140"/>
      <c r="AA2" s="140"/>
      <c r="AS2" s="306" t="s">
        <v>251</v>
      </c>
      <c r="AT2" s="306"/>
      <c r="AU2" s="305" t="s">
        <v>252</v>
      </c>
      <c r="AV2" s="305"/>
      <c r="AW2" s="305" t="s">
        <v>253</v>
      </c>
      <c r="AX2" s="305"/>
      <c r="AY2" s="305" t="s">
        <v>254</v>
      </c>
      <c r="AZ2" s="305"/>
      <c r="BA2" s="305" t="s">
        <v>255</v>
      </c>
      <c r="BB2" s="305"/>
      <c r="BC2" s="305" t="s">
        <v>256</v>
      </c>
      <c r="BD2" s="305"/>
      <c r="BE2" s="305" t="s">
        <v>257</v>
      </c>
      <c r="BF2" s="305"/>
      <c r="BG2" s="305" t="s">
        <v>258</v>
      </c>
      <c r="BH2" s="305"/>
      <c r="BI2" s="305" t="s">
        <v>259</v>
      </c>
      <c r="BJ2" s="305"/>
      <c r="BK2" s="305" t="s">
        <v>260</v>
      </c>
      <c r="BL2" s="305"/>
      <c r="BM2" s="305" t="s">
        <v>261</v>
      </c>
      <c r="BN2" s="305"/>
      <c r="BO2" s="305" t="s">
        <v>262</v>
      </c>
      <c r="BP2" s="305"/>
    </row>
    <row r="3" spans="2:71" x14ac:dyDescent="0.25">
      <c r="B3" s="146" t="s">
        <v>413</v>
      </c>
      <c r="U3" s="147" t="s">
        <v>77</v>
      </c>
      <c r="AK3" s="21"/>
      <c r="AQ3" s="32"/>
      <c r="AR3" s="71" t="s">
        <v>264</v>
      </c>
      <c r="AS3" s="5">
        <v>1</v>
      </c>
      <c r="AT3">
        <v>2</v>
      </c>
      <c r="AU3" s="5">
        <v>3</v>
      </c>
      <c r="AV3">
        <v>4</v>
      </c>
      <c r="AW3" s="5">
        <v>5</v>
      </c>
      <c r="AX3">
        <v>6</v>
      </c>
      <c r="AY3" s="5">
        <v>7</v>
      </c>
      <c r="AZ3">
        <v>8</v>
      </c>
      <c r="BA3" s="5">
        <v>9</v>
      </c>
      <c r="BB3">
        <v>10</v>
      </c>
      <c r="BC3" s="5">
        <v>11</v>
      </c>
      <c r="BD3">
        <v>12</v>
      </c>
      <c r="BE3" s="5">
        <v>13</v>
      </c>
      <c r="BF3">
        <v>14</v>
      </c>
      <c r="BG3" s="5">
        <v>15</v>
      </c>
      <c r="BH3">
        <v>16</v>
      </c>
      <c r="BI3" s="5">
        <v>17</v>
      </c>
      <c r="BJ3">
        <v>18</v>
      </c>
      <c r="BK3" s="5">
        <v>19</v>
      </c>
      <c r="BL3">
        <v>20</v>
      </c>
      <c r="BM3" s="5">
        <v>21</v>
      </c>
      <c r="BN3">
        <v>22</v>
      </c>
      <c r="BO3" s="5">
        <v>23</v>
      </c>
      <c r="BP3">
        <v>24</v>
      </c>
      <c r="BQ3" s="5"/>
    </row>
    <row r="4" spans="2:71" ht="15.75" thickBot="1" x14ac:dyDescent="0.3">
      <c r="O4" s="58" t="s">
        <v>37</v>
      </c>
      <c r="S4" s="139"/>
      <c r="T4" s="58"/>
      <c r="U4" s="147" t="s">
        <v>83</v>
      </c>
      <c r="AA4"/>
      <c r="AC4" s="33" t="s">
        <v>79</v>
      </c>
      <c r="AE4" s="34" t="s">
        <v>80</v>
      </c>
      <c r="AL4" s="35" t="s">
        <v>81</v>
      </c>
      <c r="AQ4" s="32"/>
      <c r="AR4" s="73" t="s">
        <v>263</v>
      </c>
      <c r="AS4" s="1">
        <v>4</v>
      </c>
      <c r="AT4" s="1">
        <v>4</v>
      </c>
      <c r="AU4" s="1">
        <v>5</v>
      </c>
      <c r="AV4" s="1">
        <v>5</v>
      </c>
      <c r="AW4" s="1">
        <v>5</v>
      </c>
      <c r="AX4" s="1">
        <v>5</v>
      </c>
      <c r="AY4" s="1">
        <v>1</v>
      </c>
      <c r="AZ4" s="1">
        <v>1</v>
      </c>
      <c r="BA4" s="1">
        <v>1</v>
      </c>
      <c r="BB4" s="1">
        <v>1</v>
      </c>
      <c r="BC4" s="1">
        <v>1</v>
      </c>
      <c r="BD4" s="1">
        <v>1</v>
      </c>
      <c r="BE4" s="1">
        <v>2</v>
      </c>
      <c r="BF4" s="1">
        <v>2</v>
      </c>
      <c r="BG4" s="1">
        <v>2</v>
      </c>
      <c r="BH4" s="1">
        <v>2</v>
      </c>
      <c r="BI4" s="1">
        <v>3</v>
      </c>
      <c r="BJ4" s="1">
        <v>3</v>
      </c>
      <c r="BK4" s="1">
        <v>3</v>
      </c>
      <c r="BL4" s="1">
        <v>3</v>
      </c>
      <c r="BM4" s="1">
        <v>3</v>
      </c>
      <c r="BN4" s="1">
        <v>3</v>
      </c>
      <c r="BO4" s="1">
        <v>4</v>
      </c>
      <c r="BP4" s="1">
        <v>4</v>
      </c>
      <c r="BR4" s="44" t="s">
        <v>265</v>
      </c>
    </row>
    <row r="5" spans="2:71" ht="15" customHeight="1" x14ac:dyDescent="0.3">
      <c r="B5" s="94" t="s">
        <v>414</v>
      </c>
      <c r="C5" s="95"/>
      <c r="D5" s="95"/>
      <c r="E5" s="95"/>
      <c r="F5" s="96"/>
      <c r="G5" s="96"/>
      <c r="H5" s="96"/>
      <c r="I5" s="96"/>
      <c r="J5" s="96"/>
      <c r="K5" s="96"/>
      <c r="L5" s="96"/>
      <c r="M5" s="97"/>
      <c r="O5" s="58" t="s">
        <v>82</v>
      </c>
      <c r="Q5" s="58" t="s">
        <v>268</v>
      </c>
      <c r="R5" s="17"/>
      <c r="S5" s="139"/>
      <c r="T5" s="58"/>
      <c r="V5" s="2" t="s">
        <v>420</v>
      </c>
      <c r="AA5"/>
      <c r="AC5" s="58" t="s">
        <v>84</v>
      </c>
      <c r="AE5" t="s">
        <v>38</v>
      </c>
      <c r="AK5" s="21"/>
      <c r="AL5" s="35" t="s">
        <v>85</v>
      </c>
      <c r="AQ5" s="32"/>
      <c r="AR5" s="71" t="s">
        <v>250</v>
      </c>
      <c r="AS5" s="13">
        <f>'Conduite Trp'!G8</f>
        <v>0</v>
      </c>
      <c r="AT5" s="13">
        <f>'Conduite Trp'!H8</f>
        <v>0</v>
      </c>
      <c r="AU5" s="13">
        <f>'Conduite Trp'!I8</f>
        <v>0</v>
      </c>
      <c r="AV5" s="13">
        <f>'Conduite Trp'!J8</f>
        <v>0</v>
      </c>
      <c r="AW5" s="13">
        <f>'Conduite Trp'!K8</f>
        <v>7.5974799999999991</v>
      </c>
      <c r="AX5" s="13">
        <f>'Conduite Trp'!L8</f>
        <v>7.5974799999999991</v>
      </c>
      <c r="AY5" s="13">
        <f>'Conduite Trp'!M8</f>
        <v>6.6205499999999979</v>
      </c>
      <c r="AZ5" s="13">
        <f>'Conduite Trp'!N8</f>
        <v>6.6205499999999979</v>
      </c>
      <c r="BA5" s="13">
        <f>'Conduite Trp'!O8</f>
        <v>6.8412349999999993</v>
      </c>
      <c r="BB5" s="13">
        <f>'Conduite Trp'!P8</f>
        <v>7.1894269999999993</v>
      </c>
      <c r="BC5" s="13">
        <f>'Conduite Trp'!Q8</f>
        <v>6.9575099999999974</v>
      </c>
      <c r="BD5" s="13">
        <f>'Conduite Trp'!R8</f>
        <v>7.1821499999999983</v>
      </c>
      <c r="BE5" s="13">
        <f>'Conduite Trp'!S8</f>
        <v>7.4215549999999997</v>
      </c>
      <c r="BF5" s="13">
        <f>'Conduite Trp'!T8</f>
        <v>7.4215549999999997</v>
      </c>
      <c r="BG5" s="13">
        <f>'Conduite Trp'!U8</f>
        <v>7.4215549999999997</v>
      </c>
      <c r="BH5" s="13">
        <f>'Conduite Trp'!V8</f>
        <v>7.1633250000000004</v>
      </c>
      <c r="BI5" s="13">
        <f>'Conduite Trp'!W8</f>
        <v>5.9802</v>
      </c>
      <c r="BJ5" s="13">
        <f>'Conduite Trp'!X8</f>
        <v>5.4188400000000003</v>
      </c>
      <c r="BK5" s="13">
        <f>'Conduite Trp'!Y8</f>
        <v>7.0918079999999994</v>
      </c>
      <c r="BL5" s="13">
        <f>'Conduite Trp'!Z8</f>
        <v>1.7796479999999999</v>
      </c>
      <c r="BM5" s="13">
        <f>'Conduite Trp'!AA8</f>
        <v>1.7222399999999998</v>
      </c>
      <c r="BN5" s="13">
        <f>'Conduite Trp'!AB8</f>
        <v>0</v>
      </c>
      <c r="BO5" s="13">
        <f>'Conduite Trp'!AC8</f>
        <v>0</v>
      </c>
      <c r="BP5" s="13">
        <f>'Conduite Trp'!AD8</f>
        <v>0</v>
      </c>
    </row>
    <row r="6" spans="2:71" ht="15" customHeight="1" x14ac:dyDescent="0.25">
      <c r="B6" s="98"/>
      <c r="C6" s="99"/>
      <c r="D6" s="99"/>
      <c r="E6" s="99"/>
      <c r="F6" s="101" t="s">
        <v>302</v>
      </c>
      <c r="G6" s="102"/>
      <c r="H6" s="102" t="s">
        <v>81</v>
      </c>
      <c r="I6" s="102"/>
      <c r="J6" s="102"/>
      <c r="K6" s="102" t="s">
        <v>307</v>
      </c>
      <c r="L6" s="81"/>
      <c r="M6" s="100"/>
      <c r="O6" s="58" t="s">
        <v>88</v>
      </c>
      <c r="Q6" s="151" t="s">
        <v>76</v>
      </c>
      <c r="R6" s="33" t="s">
        <v>52</v>
      </c>
      <c r="S6" s="151" t="s">
        <v>418</v>
      </c>
      <c r="T6" s="33" t="s">
        <v>419</v>
      </c>
      <c r="U6" s="2" t="s">
        <v>76</v>
      </c>
      <c r="V6" s="33">
        <v>1</v>
      </c>
      <c r="W6" s="33">
        <v>2</v>
      </c>
      <c r="X6" s="33">
        <v>3</v>
      </c>
      <c r="Y6" s="33">
        <v>4</v>
      </c>
      <c r="Z6" s="33">
        <v>5</v>
      </c>
      <c r="AA6" s="33">
        <v>6</v>
      </c>
      <c r="AB6" s="58"/>
      <c r="AE6" s="33">
        <v>1</v>
      </c>
      <c r="AF6" s="33">
        <v>2</v>
      </c>
      <c r="AG6" s="33">
        <v>3</v>
      </c>
      <c r="AH6" s="33">
        <v>4</v>
      </c>
      <c r="AI6" s="33">
        <v>5</v>
      </c>
      <c r="AJ6" s="33">
        <v>6</v>
      </c>
      <c r="AK6" s="141"/>
      <c r="AL6" s="58" t="s">
        <v>38</v>
      </c>
      <c r="AQ6" s="32"/>
      <c r="AR6" s="69"/>
      <c r="BR6" s="74" t="s">
        <v>453</v>
      </c>
      <c r="BS6" s="74" t="s">
        <v>272</v>
      </c>
    </row>
    <row r="7" spans="2:71" x14ac:dyDescent="0.25">
      <c r="B7" s="98" t="s">
        <v>303</v>
      </c>
      <c r="C7" s="103" t="s">
        <v>87</v>
      </c>
      <c r="D7" s="99"/>
      <c r="E7" s="99"/>
      <c r="F7" s="76">
        <f>'Conduite Trp'!C5</f>
        <v>0</v>
      </c>
      <c r="G7" s="81"/>
      <c r="H7" s="81"/>
      <c r="I7" s="81"/>
      <c r="J7" s="81"/>
      <c r="K7" s="99"/>
      <c r="L7" s="81"/>
      <c r="M7" s="100"/>
      <c r="N7" s="40" t="s">
        <v>269</v>
      </c>
      <c r="O7" s="39">
        <v>32.4</v>
      </c>
      <c r="P7">
        <v>1</v>
      </c>
      <c r="Q7" s="39">
        <v>88</v>
      </c>
      <c r="R7" s="39">
        <v>5</v>
      </c>
      <c r="S7" s="76" t="str">
        <f>VLOOKUP($Q7,[1]MEP!$A$5:$D$300,3)</f>
        <v>PT 1 coupe</v>
      </c>
      <c r="T7" s="76" t="str">
        <f>VLOOKUP($Q7,[1]MEP!$A$5:$D$300,4)</f>
        <v>zone 1</v>
      </c>
      <c r="U7" s="76" t="str">
        <f>VLOOKUP($Q7,[1]MEP!$A$4:$K$300,2)</f>
        <v>F/P</v>
      </c>
      <c r="V7" s="76">
        <f>VLOOKUP($Q7,[1]MEP!$A$4:$K$300,5)</f>
        <v>0.85600000000000009</v>
      </c>
      <c r="W7" s="76">
        <f>VLOOKUP($Q7,[1]MEP!$A$4:$K$300,6)</f>
        <v>1.4231</v>
      </c>
      <c r="X7" s="76">
        <f>VLOOKUP($Q7,[1]MEP!$A$4:$K$300,7)</f>
        <v>1.0015200000000002</v>
      </c>
      <c r="Y7" s="76">
        <f>VLOOKUP($Q7,[1]MEP!$A$4:$K$300,8)</f>
        <v>0.25038000000000005</v>
      </c>
      <c r="Z7" s="76">
        <f>VLOOKUP($Q7,[1]MEP!$A$4:$K$300,9)</f>
        <v>1.2519000000000002</v>
      </c>
      <c r="AA7" s="76">
        <f>VLOOKUP($Q7,[1]MEP!$A$4:$K$300,10)</f>
        <v>0</v>
      </c>
      <c r="AC7" s="76">
        <f>VLOOKUP($Q7,[1]MEP!$A$4:$K$300,11)</f>
        <v>3.4668000000000005</v>
      </c>
      <c r="AE7" s="61">
        <f t="shared" ref="AE7:AE26" si="0">$R7*V7</f>
        <v>4.28</v>
      </c>
      <c r="AF7" s="61">
        <f t="shared" ref="AF7:AF26" si="1">$R7*W7</f>
        <v>7.1154999999999999</v>
      </c>
      <c r="AG7" s="61">
        <f t="shared" ref="AG7:AG26" si="2">$R7*X7</f>
        <v>5.0076000000000009</v>
      </c>
      <c r="AH7" s="61">
        <f t="shared" ref="AH7:AH26" si="3">$R7*Y7</f>
        <v>1.2519000000000002</v>
      </c>
      <c r="AI7" s="61">
        <f t="shared" ref="AI7:AI26" si="4">$R7*Z7</f>
        <v>6.259500000000001</v>
      </c>
      <c r="AJ7" s="61">
        <f t="shared" ref="AJ7:AJ26" si="5">$R7*AA7</f>
        <v>0</v>
      </c>
      <c r="AK7" s="141"/>
      <c r="AL7" s="61">
        <f t="shared" ref="AL7:AL26" si="6">R7*AC7</f>
        <v>17.334000000000003</v>
      </c>
      <c r="AQ7" s="32"/>
      <c r="AR7" s="69">
        <v>1</v>
      </c>
      <c r="AS7" s="61">
        <f>IF(AS$4=1,AS$5,0)</f>
        <v>0</v>
      </c>
      <c r="AT7" s="61">
        <f t="shared" ref="AT7:BP7" si="7">IF(AT$4=1,AT$5,0)</f>
        <v>0</v>
      </c>
      <c r="AU7" s="61">
        <f t="shared" si="7"/>
        <v>0</v>
      </c>
      <c r="AV7" s="61">
        <f t="shared" si="7"/>
        <v>0</v>
      </c>
      <c r="AW7" s="61">
        <f t="shared" si="7"/>
        <v>0</v>
      </c>
      <c r="AX7" s="61">
        <f t="shared" si="7"/>
        <v>0</v>
      </c>
      <c r="AY7" s="61">
        <f t="shared" si="7"/>
        <v>6.6205499999999979</v>
      </c>
      <c r="AZ7" s="61">
        <f t="shared" si="7"/>
        <v>6.6205499999999979</v>
      </c>
      <c r="BA7" s="61">
        <f t="shared" si="7"/>
        <v>6.8412349999999993</v>
      </c>
      <c r="BB7" s="61">
        <f t="shared" si="7"/>
        <v>7.1894269999999993</v>
      </c>
      <c r="BC7" s="61">
        <f t="shared" si="7"/>
        <v>6.9575099999999974</v>
      </c>
      <c r="BD7" s="61">
        <f t="shared" si="7"/>
        <v>7.1821499999999983</v>
      </c>
      <c r="BE7" s="61">
        <f t="shared" si="7"/>
        <v>0</v>
      </c>
      <c r="BF7" s="61">
        <f t="shared" si="7"/>
        <v>0</v>
      </c>
      <c r="BG7" s="61">
        <f t="shared" si="7"/>
        <v>0</v>
      </c>
      <c r="BH7" s="61">
        <f t="shared" si="7"/>
        <v>0</v>
      </c>
      <c r="BI7" s="61">
        <f t="shared" si="7"/>
        <v>0</v>
      </c>
      <c r="BJ7" s="61">
        <f t="shared" si="7"/>
        <v>0</v>
      </c>
      <c r="BK7" s="61">
        <f t="shared" si="7"/>
        <v>0</v>
      </c>
      <c r="BL7" s="61">
        <f t="shared" si="7"/>
        <v>0</v>
      </c>
      <c r="BM7" s="61">
        <f t="shared" si="7"/>
        <v>0</v>
      </c>
      <c r="BN7" s="61">
        <f t="shared" si="7"/>
        <v>0</v>
      </c>
      <c r="BO7" s="61">
        <f t="shared" si="7"/>
        <v>0</v>
      </c>
      <c r="BP7" s="61">
        <f t="shared" si="7"/>
        <v>0</v>
      </c>
      <c r="BR7" s="61">
        <f>SUM(AS7:BP7)</f>
        <v>41.411421999999988</v>
      </c>
      <c r="BS7" s="61">
        <f>COUNTIF($AS$4:$BP$4,1)/2</f>
        <v>3</v>
      </c>
    </row>
    <row r="8" spans="2:71" x14ac:dyDescent="0.25">
      <c r="B8" s="98" t="s">
        <v>304</v>
      </c>
      <c r="C8" s="103" t="s">
        <v>87</v>
      </c>
      <c r="D8" s="99"/>
      <c r="E8" s="99"/>
      <c r="F8" s="76">
        <f>'Conduite Trp'!C3</f>
        <v>61.229411764705887</v>
      </c>
      <c r="G8" s="99"/>
      <c r="H8" s="99"/>
      <c r="I8" s="99"/>
      <c r="J8" s="99"/>
      <c r="K8" s="99"/>
      <c r="L8" s="81"/>
      <c r="M8" s="100"/>
      <c r="N8" s="147" t="s">
        <v>89</v>
      </c>
      <c r="O8" s="42">
        <f>SUM(R7:R26)</f>
        <v>32.629999999999995</v>
      </c>
      <c r="P8">
        <v>2</v>
      </c>
      <c r="Q8" s="39">
        <v>78</v>
      </c>
      <c r="R8" s="39">
        <v>5.66</v>
      </c>
      <c r="S8" s="76" t="str">
        <f>VLOOKUP($Q8,[1]MEP!$A$5:$D$300,3)</f>
        <v>PP bonne 1 coupe</v>
      </c>
      <c r="T8" s="76" t="str">
        <f>VLOOKUP($Q8,[1]MEP!$A$5:$D$300,4)</f>
        <v>zone 1</v>
      </c>
      <c r="U8" s="76" t="str">
        <f>VLOOKUP($Q8,[1]MEP!$A$4:$K$300,2)</f>
        <v>F/P</v>
      </c>
      <c r="V8" s="76">
        <f>VLOOKUP($Q8,[1]MEP!$A$4:$K$300,5)</f>
        <v>0.85600000000000009</v>
      </c>
      <c r="W8" s="76">
        <f>VLOOKUP($Q8,[1]MEP!$A$4:$K$300,6)</f>
        <v>1.4231</v>
      </c>
      <c r="X8" s="76">
        <f>VLOOKUP($Q8,[1]MEP!$A$4:$K$300,7)</f>
        <v>0.8474400000000003</v>
      </c>
      <c r="Y8" s="76">
        <f>VLOOKUP($Q8,[1]MEP!$A$4:$K$300,8)</f>
        <v>0.21186000000000008</v>
      </c>
      <c r="Z8" s="76">
        <f>VLOOKUP($Q8,[1]MEP!$A$4:$K$300,9)</f>
        <v>1.0593000000000004</v>
      </c>
      <c r="AA8" s="76">
        <f>VLOOKUP($Q8,[1]MEP!$A$4:$K$300,10)</f>
        <v>0</v>
      </c>
      <c r="AC8" s="76">
        <f>VLOOKUP($Q8,[1]MEP!$A$4:$K$300,11)</f>
        <v>3.2742</v>
      </c>
      <c r="AE8" s="61">
        <f t="shared" si="0"/>
        <v>4.8449600000000004</v>
      </c>
      <c r="AF8" s="61">
        <f t="shared" si="1"/>
        <v>8.0547459999999997</v>
      </c>
      <c r="AG8" s="61">
        <f t="shared" si="2"/>
        <v>4.7965104000000016</v>
      </c>
      <c r="AH8" s="61">
        <f t="shared" si="3"/>
        <v>1.1991276000000004</v>
      </c>
      <c r="AI8" s="61">
        <f t="shared" si="4"/>
        <v>5.9956380000000022</v>
      </c>
      <c r="AJ8" s="61">
        <f t="shared" si="5"/>
        <v>0</v>
      </c>
      <c r="AK8" s="141"/>
      <c r="AL8" s="61">
        <f t="shared" si="6"/>
        <v>18.531972</v>
      </c>
      <c r="AQ8" s="32"/>
      <c r="AR8" s="70">
        <v>2</v>
      </c>
      <c r="AS8" s="61">
        <f>IF(AS$4=2,AS$5,0)</f>
        <v>0</v>
      </c>
      <c r="AT8" s="61">
        <f t="shared" ref="AT8:BP8" si="8">IF(AT$4=2,AT$5,0)</f>
        <v>0</v>
      </c>
      <c r="AU8" s="61">
        <f t="shared" si="8"/>
        <v>0</v>
      </c>
      <c r="AV8" s="61">
        <f t="shared" si="8"/>
        <v>0</v>
      </c>
      <c r="AW8" s="61">
        <f t="shared" si="8"/>
        <v>0</v>
      </c>
      <c r="AX8" s="61">
        <f t="shared" si="8"/>
        <v>0</v>
      </c>
      <c r="AY8" s="61">
        <f t="shared" si="8"/>
        <v>0</v>
      </c>
      <c r="AZ8" s="61">
        <f t="shared" si="8"/>
        <v>0</v>
      </c>
      <c r="BA8" s="61">
        <f t="shared" si="8"/>
        <v>0</v>
      </c>
      <c r="BB8" s="61">
        <f t="shared" si="8"/>
        <v>0</v>
      </c>
      <c r="BC8" s="61">
        <f t="shared" si="8"/>
        <v>0</v>
      </c>
      <c r="BD8" s="61">
        <f t="shared" si="8"/>
        <v>0</v>
      </c>
      <c r="BE8" s="61">
        <f t="shared" si="8"/>
        <v>7.4215549999999997</v>
      </c>
      <c r="BF8" s="61">
        <f t="shared" si="8"/>
        <v>7.4215549999999997</v>
      </c>
      <c r="BG8" s="61">
        <f t="shared" si="8"/>
        <v>7.4215549999999997</v>
      </c>
      <c r="BH8" s="61">
        <f t="shared" si="8"/>
        <v>7.1633250000000004</v>
      </c>
      <c r="BI8" s="61">
        <f t="shared" si="8"/>
        <v>0</v>
      </c>
      <c r="BJ8" s="61">
        <f t="shared" si="8"/>
        <v>0</v>
      </c>
      <c r="BK8" s="61">
        <f t="shared" si="8"/>
        <v>0</v>
      </c>
      <c r="BL8" s="61">
        <f t="shared" si="8"/>
        <v>0</v>
      </c>
      <c r="BM8" s="61">
        <f t="shared" si="8"/>
        <v>0</v>
      </c>
      <c r="BN8" s="61">
        <f t="shared" si="8"/>
        <v>0</v>
      </c>
      <c r="BO8" s="61">
        <f t="shared" si="8"/>
        <v>0</v>
      </c>
      <c r="BP8" s="61">
        <f t="shared" si="8"/>
        <v>0</v>
      </c>
      <c r="BR8" s="61">
        <f t="shared" ref="BR8:BR12" si="9">SUM(AS8:BP8)</f>
        <v>29.427990000000001</v>
      </c>
      <c r="BS8" s="61">
        <f>COUNTIF($AS$4:$BP$4,2)/2</f>
        <v>2</v>
      </c>
    </row>
    <row r="9" spans="2:71" x14ac:dyDescent="0.25">
      <c r="B9" s="98" t="s">
        <v>305</v>
      </c>
      <c r="C9" s="103" t="s">
        <v>87</v>
      </c>
      <c r="D9" s="99"/>
      <c r="E9" s="99"/>
      <c r="F9" s="61">
        <f>F7+F8</f>
        <v>61.229411764705887</v>
      </c>
      <c r="G9" s="81"/>
      <c r="H9" s="61">
        <f>SUM(L34:L43)</f>
        <v>0</v>
      </c>
      <c r="I9" s="81"/>
      <c r="J9" s="81"/>
      <c r="K9" s="93">
        <f>H9-F9</f>
        <v>-61.229411764705887</v>
      </c>
      <c r="L9" s="81"/>
      <c r="M9" s="100"/>
      <c r="P9">
        <v>3</v>
      </c>
      <c r="Q9" s="39">
        <v>13</v>
      </c>
      <c r="R9" s="39">
        <v>4.42</v>
      </c>
      <c r="S9" s="76" t="str">
        <f>VLOOKUP($Q9,[1]MEP!$A$5:$D$300,3)</f>
        <v>PP bonne 2 coupes</v>
      </c>
      <c r="T9" s="76" t="str">
        <f>VLOOKUP($Q9,[1]MEP!$A$5:$D$300,4)</f>
        <v>zone 1</v>
      </c>
      <c r="U9" s="76" t="str">
        <f>VLOOKUP($Q9,[1]MEP!$A$4:$K$300,2)</f>
        <v>F/P</v>
      </c>
      <c r="V9" s="76">
        <f>VLOOKUP($Q9,[1]MEP!$A$4:$K$300,5)</f>
        <v>0.85600000000000009</v>
      </c>
      <c r="W9" s="76">
        <f>VLOOKUP($Q9,[1]MEP!$A$4:$K$300,6)</f>
        <v>0</v>
      </c>
      <c r="X9" s="76">
        <f>VLOOKUP($Q9,[1]MEP!$A$4:$K$300,7)</f>
        <v>0.77040000000000008</v>
      </c>
      <c r="Y9" s="76">
        <f>VLOOKUP($Q9,[1]MEP!$A$4:$K$300,8)</f>
        <v>0.19260000000000002</v>
      </c>
      <c r="Z9" s="76">
        <f>VLOOKUP($Q9,[1]MEP!$A$4:$K$300,9)</f>
        <v>0.96300000000000008</v>
      </c>
      <c r="AA9" s="76">
        <f>VLOOKUP($Q9,[1]MEP!$A$4:$K$300,10)</f>
        <v>0</v>
      </c>
      <c r="AC9" s="76">
        <f>VLOOKUP($Q9,[1]MEP!$A$4:$K$300,11)</f>
        <v>4.9112999999999998</v>
      </c>
      <c r="AE9" s="61">
        <f t="shared" si="0"/>
        <v>3.7835200000000002</v>
      </c>
      <c r="AF9" s="61">
        <f t="shared" si="1"/>
        <v>0</v>
      </c>
      <c r="AG9" s="61">
        <f t="shared" si="2"/>
        <v>3.4051680000000002</v>
      </c>
      <c r="AH9" s="61">
        <f t="shared" si="3"/>
        <v>0.85129200000000005</v>
      </c>
      <c r="AI9" s="61">
        <f t="shared" si="4"/>
        <v>4.2564600000000006</v>
      </c>
      <c r="AJ9" s="61">
        <f t="shared" si="5"/>
        <v>0</v>
      </c>
      <c r="AK9" s="141"/>
      <c r="AL9" s="61">
        <f t="shared" si="6"/>
        <v>21.707946</v>
      </c>
      <c r="AQ9" s="32"/>
      <c r="AR9" s="69">
        <v>3</v>
      </c>
      <c r="AS9" s="61">
        <f>IF(AS$4=3,AS$5,0)</f>
        <v>0</v>
      </c>
      <c r="AT9" s="61">
        <f t="shared" ref="AT9:BP9" si="10">IF(AT$4=3,AT$5,0)</f>
        <v>0</v>
      </c>
      <c r="AU9" s="61">
        <f t="shared" si="10"/>
        <v>0</v>
      </c>
      <c r="AV9" s="61">
        <f t="shared" si="10"/>
        <v>0</v>
      </c>
      <c r="AW9" s="61">
        <f t="shared" si="10"/>
        <v>0</v>
      </c>
      <c r="AX9" s="61">
        <f t="shared" si="10"/>
        <v>0</v>
      </c>
      <c r="AY9" s="61">
        <f t="shared" si="10"/>
        <v>0</v>
      </c>
      <c r="AZ9" s="61">
        <f t="shared" si="10"/>
        <v>0</v>
      </c>
      <c r="BA9" s="61">
        <f t="shared" si="10"/>
        <v>0</v>
      </c>
      <c r="BB9" s="61">
        <f t="shared" si="10"/>
        <v>0</v>
      </c>
      <c r="BC9" s="61">
        <f t="shared" si="10"/>
        <v>0</v>
      </c>
      <c r="BD9" s="61">
        <f t="shared" si="10"/>
        <v>0</v>
      </c>
      <c r="BE9" s="61">
        <f t="shared" si="10"/>
        <v>0</v>
      </c>
      <c r="BF9" s="61">
        <f t="shared" si="10"/>
        <v>0</v>
      </c>
      <c r="BG9" s="61">
        <f t="shared" si="10"/>
        <v>0</v>
      </c>
      <c r="BH9" s="61">
        <f t="shared" si="10"/>
        <v>0</v>
      </c>
      <c r="BI9" s="61">
        <f t="shared" si="10"/>
        <v>5.9802</v>
      </c>
      <c r="BJ9" s="61">
        <f t="shared" si="10"/>
        <v>5.4188400000000003</v>
      </c>
      <c r="BK9" s="61">
        <f t="shared" si="10"/>
        <v>7.0918079999999994</v>
      </c>
      <c r="BL9" s="61">
        <f t="shared" si="10"/>
        <v>1.7796479999999999</v>
      </c>
      <c r="BM9" s="61">
        <f t="shared" si="10"/>
        <v>1.7222399999999998</v>
      </c>
      <c r="BN9" s="61">
        <f t="shared" si="10"/>
        <v>0</v>
      </c>
      <c r="BO9" s="61">
        <f t="shared" si="10"/>
        <v>0</v>
      </c>
      <c r="BP9" s="61">
        <f t="shared" si="10"/>
        <v>0</v>
      </c>
      <c r="BR9" s="61">
        <f t="shared" si="9"/>
        <v>21.992736000000001</v>
      </c>
      <c r="BS9" s="61">
        <f>COUNTIF($AS$4:$BP$4,3)/2</f>
        <v>3</v>
      </c>
    </row>
    <row r="10" spans="2:71" ht="15" customHeight="1" x14ac:dyDescent="0.25">
      <c r="B10" s="98" t="s">
        <v>306</v>
      </c>
      <c r="C10" s="103" t="s">
        <v>86</v>
      </c>
      <c r="D10" s="99"/>
      <c r="E10" s="99"/>
      <c r="F10" s="76">
        <f>'Conduite Trp'!C6</f>
        <v>33.6</v>
      </c>
      <c r="G10" s="81"/>
      <c r="H10" s="61">
        <f>SUM(M34:M43)</f>
        <v>35.1</v>
      </c>
      <c r="I10" s="81"/>
      <c r="J10" s="81"/>
      <c r="K10" s="93">
        <f>H10-F10</f>
        <v>1.5</v>
      </c>
      <c r="L10" s="81"/>
      <c r="M10" s="100"/>
      <c r="P10">
        <v>4</v>
      </c>
      <c r="Q10" s="39">
        <v>187</v>
      </c>
      <c r="R10" s="39">
        <v>6</v>
      </c>
      <c r="S10" s="76" t="str">
        <f>VLOOKUP($Q10,[1]MEP!$A$5:$D$300,3)</f>
        <v>PP moyenne 1 coupe</v>
      </c>
      <c r="T10" s="76" t="str">
        <f>VLOOKUP($Q10,[1]MEP!$A$5:$D$300,4)</f>
        <v>zone 1</v>
      </c>
      <c r="U10" s="76" t="str">
        <f>VLOOKUP($Q10,[1]MEP!$A$4:$K$300,2)</f>
        <v>F/P</v>
      </c>
      <c r="V10" s="76">
        <f>VLOOKUP($Q10,[1]MEP!$A$4:$K$300,5)</f>
        <v>0.4</v>
      </c>
      <c r="W10" s="76">
        <f>VLOOKUP($Q10,[1]MEP!$A$4:$K$300,6)</f>
        <v>0.66499999999999992</v>
      </c>
      <c r="X10" s="76">
        <f>VLOOKUP($Q10,[1]MEP!$A$4:$K$300,7)</f>
        <v>0.68400000000000005</v>
      </c>
      <c r="Y10" s="76">
        <f>VLOOKUP($Q10,[1]MEP!$A$4:$K$300,8)</f>
        <v>0.17100000000000001</v>
      </c>
      <c r="Z10" s="76">
        <f>VLOOKUP($Q10,[1]MEP!$A$4:$K$300,9)</f>
        <v>0.85499999999999998</v>
      </c>
      <c r="AA10" s="76">
        <f>VLOOKUP($Q10,[1]MEP!$A$4:$K$300,10)</f>
        <v>0</v>
      </c>
      <c r="AC10" s="76">
        <f>VLOOKUP($Q10,[1]MEP!$A$4:$K$300,11)</f>
        <v>2.52</v>
      </c>
      <c r="AE10" s="61">
        <f t="shared" si="0"/>
        <v>2.4000000000000004</v>
      </c>
      <c r="AF10" s="61">
        <f t="shared" si="1"/>
        <v>3.9899999999999993</v>
      </c>
      <c r="AG10" s="61">
        <f t="shared" si="2"/>
        <v>4.1040000000000001</v>
      </c>
      <c r="AH10" s="61">
        <f t="shared" si="3"/>
        <v>1.026</v>
      </c>
      <c r="AI10" s="61">
        <f t="shared" si="4"/>
        <v>5.13</v>
      </c>
      <c r="AJ10" s="61">
        <f t="shared" si="5"/>
        <v>0</v>
      </c>
      <c r="AK10" s="141"/>
      <c r="AL10" s="61">
        <f t="shared" si="6"/>
        <v>15.120000000000001</v>
      </c>
      <c r="AQ10" s="32"/>
      <c r="AR10" s="70">
        <v>4</v>
      </c>
      <c r="AS10" s="61">
        <f>IF(AS$4=4,AS$5,0)</f>
        <v>0</v>
      </c>
      <c r="AT10" s="61">
        <f t="shared" ref="AT10:BP10" si="11">IF(AT$4=4,AT$5,0)</f>
        <v>0</v>
      </c>
      <c r="AU10" s="61">
        <f t="shared" si="11"/>
        <v>0</v>
      </c>
      <c r="AV10" s="61">
        <f t="shared" si="11"/>
        <v>0</v>
      </c>
      <c r="AW10" s="61">
        <f t="shared" si="11"/>
        <v>0</v>
      </c>
      <c r="AX10" s="61">
        <f t="shared" si="11"/>
        <v>0</v>
      </c>
      <c r="AY10" s="61">
        <f t="shared" si="11"/>
        <v>0</v>
      </c>
      <c r="AZ10" s="61">
        <f t="shared" si="11"/>
        <v>0</v>
      </c>
      <c r="BA10" s="61">
        <f t="shared" si="11"/>
        <v>0</v>
      </c>
      <c r="BB10" s="61">
        <f t="shared" si="11"/>
        <v>0</v>
      </c>
      <c r="BC10" s="61">
        <f t="shared" si="11"/>
        <v>0</v>
      </c>
      <c r="BD10" s="61">
        <f t="shared" si="11"/>
        <v>0</v>
      </c>
      <c r="BE10" s="61">
        <f t="shared" si="11"/>
        <v>0</v>
      </c>
      <c r="BF10" s="61">
        <f t="shared" si="11"/>
        <v>0</v>
      </c>
      <c r="BG10" s="61">
        <f t="shared" si="11"/>
        <v>0</v>
      </c>
      <c r="BH10" s="61">
        <f t="shared" si="11"/>
        <v>0</v>
      </c>
      <c r="BI10" s="61">
        <f t="shared" si="11"/>
        <v>0</v>
      </c>
      <c r="BJ10" s="61">
        <f t="shared" si="11"/>
        <v>0</v>
      </c>
      <c r="BK10" s="61">
        <f t="shared" si="11"/>
        <v>0</v>
      </c>
      <c r="BL10" s="61">
        <f t="shared" si="11"/>
        <v>0</v>
      </c>
      <c r="BM10" s="61">
        <f t="shared" si="11"/>
        <v>0</v>
      </c>
      <c r="BN10" s="61">
        <f t="shared" si="11"/>
        <v>0</v>
      </c>
      <c r="BO10" s="61">
        <f t="shared" si="11"/>
        <v>0</v>
      </c>
      <c r="BP10" s="61">
        <f t="shared" si="11"/>
        <v>0</v>
      </c>
      <c r="BR10" s="61">
        <f t="shared" si="9"/>
        <v>0</v>
      </c>
      <c r="BS10" s="61">
        <f>COUNTIF($AS$4:$BP$4,4)/2</f>
        <v>2</v>
      </c>
    </row>
    <row r="11" spans="2:71" x14ac:dyDescent="0.25">
      <c r="B11" s="98"/>
      <c r="C11" s="99"/>
      <c r="D11" s="99"/>
      <c r="E11" s="99"/>
      <c r="F11" s="81"/>
      <c r="G11" s="81"/>
      <c r="H11" s="81"/>
      <c r="I11" s="81"/>
      <c r="J11" s="81"/>
      <c r="K11" s="81"/>
      <c r="L11" s="81"/>
      <c r="M11" s="100"/>
      <c r="P11">
        <v>5</v>
      </c>
      <c r="Q11" s="39">
        <v>185</v>
      </c>
      <c r="R11" s="39">
        <v>9.11</v>
      </c>
      <c r="S11" s="76" t="str">
        <f>VLOOKUP($Q11,[1]MEP!$A$5:$D$300,3)</f>
        <v>PP moyenne</v>
      </c>
      <c r="T11" s="76" t="str">
        <f>VLOOKUP($Q11,[1]MEP!$A$5:$D$300,4)</f>
        <v>zone 1</v>
      </c>
      <c r="U11" s="76" t="str">
        <f>VLOOKUP($Q11,[1]MEP!$A$4:$K$300,2)</f>
        <v>P</v>
      </c>
      <c r="V11" s="76">
        <f>VLOOKUP($Q11,[1]MEP!$A$4:$K$300,5)</f>
        <v>2.16</v>
      </c>
      <c r="W11" s="76">
        <f>VLOOKUP($Q11,[1]MEP!$A$4:$K$300,6)</f>
        <v>0.85499999999999998</v>
      </c>
      <c r="X11" s="76">
        <f>VLOOKUP($Q11,[1]MEP!$A$4:$K$300,7)</f>
        <v>0.57600000000000007</v>
      </c>
      <c r="Y11" s="76">
        <f>VLOOKUP($Q11,[1]MEP!$A$4:$K$300,8)</f>
        <v>0.14400000000000002</v>
      </c>
      <c r="Z11" s="76">
        <f>VLOOKUP($Q11,[1]MEP!$A$4:$K$300,9)</f>
        <v>0.72000000000000008</v>
      </c>
      <c r="AA11" s="76">
        <f>VLOOKUP($Q11,[1]MEP!$A$4:$K$300,10)</f>
        <v>0</v>
      </c>
      <c r="AC11" s="76">
        <f>VLOOKUP($Q11,[1]MEP!$A$4:$K$300,11)</f>
        <v>0</v>
      </c>
      <c r="AE11" s="61">
        <f t="shared" si="0"/>
        <v>19.677600000000002</v>
      </c>
      <c r="AF11" s="61">
        <f t="shared" si="1"/>
        <v>7.7890499999999996</v>
      </c>
      <c r="AG11" s="61">
        <f t="shared" si="2"/>
        <v>5.2473600000000005</v>
      </c>
      <c r="AH11" s="61">
        <f t="shared" si="3"/>
        <v>1.3118400000000001</v>
      </c>
      <c r="AI11" s="61">
        <f t="shared" si="4"/>
        <v>6.5592000000000006</v>
      </c>
      <c r="AJ11" s="61">
        <f t="shared" si="5"/>
        <v>0</v>
      </c>
      <c r="AK11" s="141"/>
      <c r="AL11" s="61">
        <f t="shared" si="6"/>
        <v>0</v>
      </c>
      <c r="AR11" s="69">
        <v>5</v>
      </c>
      <c r="AS11" s="61">
        <f>IF(AS$4=5,AS$5,0)</f>
        <v>0</v>
      </c>
      <c r="AT11" s="61">
        <f t="shared" ref="AT11:BP11" si="12">IF(AT$4=5,AT$5,0)</f>
        <v>0</v>
      </c>
      <c r="AU11" s="61">
        <f t="shared" si="12"/>
        <v>0</v>
      </c>
      <c r="AV11" s="61">
        <f t="shared" si="12"/>
        <v>0</v>
      </c>
      <c r="AW11" s="61">
        <f t="shared" si="12"/>
        <v>7.5974799999999991</v>
      </c>
      <c r="AX11" s="61">
        <f t="shared" si="12"/>
        <v>7.5974799999999991</v>
      </c>
      <c r="AY11" s="61">
        <f t="shared" si="12"/>
        <v>0</v>
      </c>
      <c r="AZ11" s="61">
        <f t="shared" si="12"/>
        <v>0</v>
      </c>
      <c r="BA11" s="61">
        <f t="shared" si="12"/>
        <v>0</v>
      </c>
      <c r="BB11" s="61">
        <f t="shared" si="12"/>
        <v>0</v>
      </c>
      <c r="BC11" s="61">
        <f t="shared" si="12"/>
        <v>0</v>
      </c>
      <c r="BD11" s="61">
        <f t="shared" si="12"/>
        <v>0</v>
      </c>
      <c r="BE11" s="61">
        <f t="shared" si="12"/>
        <v>0</v>
      </c>
      <c r="BF11" s="61">
        <f t="shared" si="12"/>
        <v>0</v>
      </c>
      <c r="BG11" s="61">
        <f t="shared" si="12"/>
        <v>0</v>
      </c>
      <c r="BH11" s="61">
        <f t="shared" si="12"/>
        <v>0</v>
      </c>
      <c r="BI11" s="61">
        <f t="shared" si="12"/>
        <v>0</v>
      </c>
      <c r="BJ11" s="61">
        <f t="shared" si="12"/>
        <v>0</v>
      </c>
      <c r="BK11" s="61">
        <f t="shared" si="12"/>
        <v>0</v>
      </c>
      <c r="BL11" s="61">
        <f t="shared" si="12"/>
        <v>0</v>
      </c>
      <c r="BM11" s="61">
        <f t="shared" si="12"/>
        <v>0</v>
      </c>
      <c r="BN11" s="61">
        <f t="shared" si="12"/>
        <v>0</v>
      </c>
      <c r="BO11" s="61">
        <f t="shared" si="12"/>
        <v>0</v>
      </c>
      <c r="BP11" s="61">
        <f t="shared" si="12"/>
        <v>0</v>
      </c>
      <c r="BR11" s="61">
        <f t="shared" si="9"/>
        <v>15.194959999999998</v>
      </c>
      <c r="BS11" s="61">
        <f>COUNTIF($AS$4:$BP$4,5)/2</f>
        <v>2</v>
      </c>
    </row>
    <row r="12" spans="2:71" x14ac:dyDescent="0.25">
      <c r="B12" s="104"/>
      <c r="C12" s="99"/>
      <c r="D12" s="99"/>
      <c r="E12" s="99"/>
      <c r="F12" s="81" t="s">
        <v>190</v>
      </c>
      <c r="G12" s="81"/>
      <c r="H12" s="81"/>
      <c r="I12" s="81"/>
      <c r="J12" s="52"/>
      <c r="K12" s="28"/>
      <c r="L12" s="81"/>
      <c r="M12" s="100"/>
      <c r="P12">
        <v>6</v>
      </c>
      <c r="Q12" s="39">
        <v>14</v>
      </c>
      <c r="R12" s="39">
        <v>1.94</v>
      </c>
      <c r="S12" s="76" t="str">
        <f>VLOOKUP($Q12,[1]MEP!$A$5:$D$300,3)</f>
        <v>PP bonne</v>
      </c>
      <c r="T12" s="76" t="str">
        <f>VLOOKUP($Q12,[1]MEP!$A$5:$D$300,4)</f>
        <v>zone 1</v>
      </c>
      <c r="U12" s="76" t="str">
        <f>VLOOKUP($Q12,[1]MEP!$A$4:$K$300,2)</f>
        <v>P</v>
      </c>
      <c r="V12" s="76">
        <f>VLOOKUP($Q12,[1]MEP!$A$4:$K$300,5)</f>
        <v>3.6808000000000001</v>
      </c>
      <c r="W12" s="76">
        <f>VLOOKUP($Q12,[1]MEP!$A$4:$K$300,6)</f>
        <v>1.4231</v>
      </c>
      <c r="X12" s="76">
        <f>VLOOKUP($Q12,[1]MEP!$A$4:$K$300,7)</f>
        <v>0.8474400000000003</v>
      </c>
      <c r="Y12" s="76">
        <f>VLOOKUP($Q12,[1]MEP!$A$4:$K$300,8)</f>
        <v>0.21186000000000008</v>
      </c>
      <c r="Z12" s="76">
        <f>VLOOKUP($Q12,[1]MEP!$A$4:$K$300,9)</f>
        <v>1.0593000000000004</v>
      </c>
      <c r="AA12" s="76">
        <f>VLOOKUP($Q12,[1]MEP!$A$4:$K$300,10)</f>
        <v>0</v>
      </c>
      <c r="AC12" s="76">
        <f>VLOOKUP($Q12,[1]MEP!$A$4:$K$300,11)</f>
        <v>0</v>
      </c>
      <c r="AE12" s="61">
        <f t="shared" si="0"/>
        <v>7.140752</v>
      </c>
      <c r="AF12" s="61">
        <f t="shared" si="1"/>
        <v>2.7608139999999999</v>
      </c>
      <c r="AG12" s="61">
        <f t="shared" si="2"/>
        <v>1.6440336000000006</v>
      </c>
      <c r="AH12" s="61">
        <f t="shared" si="3"/>
        <v>0.41100840000000016</v>
      </c>
      <c r="AI12" s="61">
        <f t="shared" si="4"/>
        <v>2.0550420000000007</v>
      </c>
      <c r="AJ12" s="61">
        <f t="shared" si="5"/>
        <v>0</v>
      </c>
      <c r="AK12" s="141"/>
      <c r="AL12" s="61">
        <f t="shared" si="6"/>
        <v>0</v>
      </c>
      <c r="AR12" s="69">
        <v>6</v>
      </c>
      <c r="AS12" s="61">
        <f>IF(AS$4=6,AS$5,0)</f>
        <v>0</v>
      </c>
      <c r="AT12" s="61">
        <f t="shared" ref="AT12:BP12" si="13">IF(AT$4=6,AT$5,0)</f>
        <v>0</v>
      </c>
      <c r="AU12" s="61">
        <f t="shared" si="13"/>
        <v>0</v>
      </c>
      <c r="AV12" s="61">
        <f t="shared" si="13"/>
        <v>0</v>
      </c>
      <c r="AW12" s="61">
        <f t="shared" si="13"/>
        <v>0</v>
      </c>
      <c r="AX12" s="61">
        <f t="shared" si="13"/>
        <v>0</v>
      </c>
      <c r="AY12" s="61">
        <f t="shared" si="13"/>
        <v>0</v>
      </c>
      <c r="AZ12" s="61">
        <f t="shared" si="13"/>
        <v>0</v>
      </c>
      <c r="BA12" s="61">
        <f t="shared" si="13"/>
        <v>0</v>
      </c>
      <c r="BB12" s="61">
        <f t="shared" si="13"/>
        <v>0</v>
      </c>
      <c r="BC12" s="61">
        <f t="shared" si="13"/>
        <v>0</v>
      </c>
      <c r="BD12" s="61">
        <f t="shared" si="13"/>
        <v>0</v>
      </c>
      <c r="BE12" s="61">
        <f t="shared" si="13"/>
        <v>0</v>
      </c>
      <c r="BF12" s="61">
        <f t="shared" si="13"/>
        <v>0</v>
      </c>
      <c r="BG12" s="61">
        <f t="shared" si="13"/>
        <v>0</v>
      </c>
      <c r="BH12" s="61">
        <f t="shared" si="13"/>
        <v>0</v>
      </c>
      <c r="BI12" s="61">
        <f t="shared" si="13"/>
        <v>0</v>
      </c>
      <c r="BJ12" s="61">
        <f t="shared" si="13"/>
        <v>0</v>
      </c>
      <c r="BK12" s="61">
        <f t="shared" si="13"/>
        <v>0</v>
      </c>
      <c r="BL12" s="61">
        <f t="shared" si="13"/>
        <v>0</v>
      </c>
      <c r="BM12" s="61">
        <f t="shared" si="13"/>
        <v>0</v>
      </c>
      <c r="BN12" s="61">
        <f t="shared" si="13"/>
        <v>0</v>
      </c>
      <c r="BO12" s="61">
        <f t="shared" si="13"/>
        <v>0</v>
      </c>
      <c r="BP12" s="61">
        <f t="shared" si="13"/>
        <v>0</v>
      </c>
      <c r="BR12" s="61">
        <f t="shared" si="9"/>
        <v>0</v>
      </c>
      <c r="BS12" s="61">
        <f>COUNTIF($AS$4:$BP$4,6)/2</f>
        <v>0</v>
      </c>
    </row>
    <row r="13" spans="2:71" x14ac:dyDescent="0.25">
      <c r="B13" s="98"/>
      <c r="C13" s="76"/>
      <c r="D13" s="76"/>
      <c r="E13" s="92" t="str">
        <f>'Conduite Trp'!B11</f>
        <v>1 -maïs-grain</v>
      </c>
      <c r="F13" s="76">
        <f>'Conduite Trp'!C11</f>
        <v>2.6</v>
      </c>
      <c r="G13" s="81"/>
      <c r="H13" s="61">
        <f>F61</f>
        <v>0</v>
      </c>
      <c r="I13" s="81"/>
      <c r="J13" s="81"/>
      <c r="K13" s="93">
        <f>H13-F13</f>
        <v>-2.6</v>
      </c>
      <c r="L13" s="81"/>
      <c r="M13" s="100"/>
      <c r="P13">
        <v>7</v>
      </c>
      <c r="Q13" s="39">
        <v>187</v>
      </c>
      <c r="R13" s="39">
        <v>0.5</v>
      </c>
      <c r="S13" s="76" t="str">
        <f>VLOOKUP($Q13,[1]MEP!$A$5:$D$300,3)</f>
        <v>PP moyenne 1 coupe</v>
      </c>
      <c r="T13" s="76" t="str">
        <f>VLOOKUP($Q13,[1]MEP!$A$5:$D$300,4)</f>
        <v>zone 1</v>
      </c>
      <c r="U13" s="76" t="str">
        <f>VLOOKUP($Q13,[1]MEP!$A$4:$K$300,2)</f>
        <v>F/P</v>
      </c>
      <c r="V13" s="76">
        <f>VLOOKUP($Q13,[1]MEP!$A$4:$K$300,5)</f>
        <v>0.4</v>
      </c>
      <c r="W13" s="76">
        <f>VLOOKUP($Q13,[1]MEP!$A$4:$K$300,6)</f>
        <v>0.66499999999999992</v>
      </c>
      <c r="X13" s="76">
        <f>VLOOKUP($Q13,[1]MEP!$A$4:$K$300,7)</f>
        <v>0.68400000000000005</v>
      </c>
      <c r="Y13" s="76">
        <f>VLOOKUP($Q13,[1]MEP!$A$4:$K$300,8)</f>
        <v>0.17100000000000001</v>
      </c>
      <c r="Z13" s="76">
        <f>VLOOKUP($Q13,[1]MEP!$A$4:$K$300,9)</f>
        <v>0.85499999999999998</v>
      </c>
      <c r="AA13" s="76">
        <f>VLOOKUP($Q13,[1]MEP!$A$4:$K$300,10)</f>
        <v>0</v>
      </c>
      <c r="AC13" s="76">
        <f>VLOOKUP($Q13,[1]MEP!$A$4:$K$300,11)</f>
        <v>2.52</v>
      </c>
      <c r="AE13" s="61">
        <f t="shared" si="0"/>
        <v>0.2</v>
      </c>
      <c r="AF13" s="61">
        <f t="shared" si="1"/>
        <v>0.33249999999999996</v>
      </c>
      <c r="AG13" s="61">
        <f t="shared" si="2"/>
        <v>0.34200000000000003</v>
      </c>
      <c r="AH13" s="61">
        <f t="shared" si="3"/>
        <v>8.5500000000000007E-2</v>
      </c>
      <c r="AI13" s="61">
        <f t="shared" si="4"/>
        <v>0.42749999999999999</v>
      </c>
      <c r="AJ13" s="61">
        <f t="shared" si="5"/>
        <v>0</v>
      </c>
      <c r="AK13" s="141"/>
      <c r="AL13" s="61">
        <f t="shared" si="6"/>
        <v>1.26</v>
      </c>
    </row>
    <row r="14" spans="2:71" x14ac:dyDescent="0.25">
      <c r="B14" s="98"/>
      <c r="C14" s="76"/>
      <c r="D14" s="76"/>
      <c r="E14" s="92" t="str">
        <f>'Conduite Trp'!B12</f>
        <v>2 -grain céréales à paille</v>
      </c>
      <c r="F14" s="76">
        <f>'Conduite Trp'!C12</f>
        <v>2.6999999999999997</v>
      </c>
      <c r="G14" s="81"/>
      <c r="H14" s="61">
        <f>G61</f>
        <v>0</v>
      </c>
      <c r="I14" s="81"/>
      <c r="J14" s="81"/>
      <c r="K14" s="93">
        <f t="shared" ref="K14:K17" si="14">H14-F14</f>
        <v>-2.6999999999999997</v>
      </c>
      <c r="L14" s="81"/>
      <c r="M14" s="100"/>
      <c r="P14">
        <v>8</v>
      </c>
      <c r="Q14" s="39"/>
      <c r="R14" s="39"/>
      <c r="S14" s="76" t="e">
        <f>VLOOKUP($Q14,[1]MEP!$A$5:$D$300,3)</f>
        <v>#N/A</v>
      </c>
      <c r="T14" s="76" t="e">
        <f>VLOOKUP($Q14,[1]MEP!$A$5:$D$300,4)</f>
        <v>#N/A</v>
      </c>
      <c r="U14" s="76">
        <f>VLOOKUP($Q14,[1]MEP!$A$4:$K$300,2)</f>
        <v>0</v>
      </c>
      <c r="V14" s="76">
        <f>VLOOKUP($Q14,[1]MEP!$A$4:$K$300,5)</f>
        <v>0</v>
      </c>
      <c r="W14" s="76">
        <f>VLOOKUP($Q14,[1]MEP!$A$4:$K$300,6)</f>
        <v>0</v>
      </c>
      <c r="X14" s="76">
        <f>VLOOKUP($Q14,[1]MEP!$A$4:$K$300,7)</f>
        <v>0</v>
      </c>
      <c r="Y14" s="76">
        <f>VLOOKUP($Q14,[1]MEP!$A$4:$K$300,8)</f>
        <v>0</v>
      </c>
      <c r="Z14" s="76">
        <f>VLOOKUP($Q14,[1]MEP!$A$4:$K$300,9)</f>
        <v>0</v>
      </c>
      <c r="AA14" s="76">
        <f>VLOOKUP($Q14,[1]MEP!$A$4:$K$300,10)</f>
        <v>0</v>
      </c>
      <c r="AC14" s="76">
        <f>VLOOKUP($Q14,[1]MEP!$A$4:$K$300,11)</f>
        <v>0</v>
      </c>
      <c r="AE14" s="61">
        <f t="shared" si="0"/>
        <v>0</v>
      </c>
      <c r="AF14" s="61">
        <f t="shared" si="1"/>
        <v>0</v>
      </c>
      <c r="AG14" s="61">
        <f t="shared" si="2"/>
        <v>0</v>
      </c>
      <c r="AH14" s="61">
        <f t="shared" si="3"/>
        <v>0</v>
      </c>
      <c r="AI14" s="61">
        <f t="shared" si="4"/>
        <v>0</v>
      </c>
      <c r="AJ14" s="61">
        <f t="shared" si="5"/>
        <v>0</v>
      </c>
      <c r="AK14" s="141"/>
      <c r="AL14" s="61">
        <f t="shared" si="6"/>
        <v>0</v>
      </c>
      <c r="AP14" s="163"/>
      <c r="AQ14" s="163"/>
      <c r="AR14" s="164" t="s">
        <v>469</v>
      </c>
      <c r="AS14" s="36"/>
      <c r="AU14" s="2"/>
      <c r="AV14" s="2"/>
      <c r="BA14" s="33"/>
    </row>
    <row r="15" spans="2:71" x14ac:dyDescent="0.25">
      <c r="B15" s="98"/>
      <c r="C15" s="76"/>
      <c r="D15" s="76"/>
      <c r="E15" s="92" t="str">
        <f>'Conduite Trp'!B13</f>
        <v>3 -graines protéagineux</v>
      </c>
      <c r="F15" s="76">
        <f>'Conduite Trp'!C13</f>
        <v>0</v>
      </c>
      <c r="G15" s="81"/>
      <c r="H15" s="61">
        <f>H61</f>
        <v>0</v>
      </c>
      <c r="I15" s="81"/>
      <c r="J15" s="81"/>
      <c r="K15" s="93">
        <f t="shared" si="14"/>
        <v>0</v>
      </c>
      <c r="L15" s="81"/>
      <c r="M15" s="100"/>
      <c r="P15">
        <v>9</v>
      </c>
      <c r="Q15" s="39"/>
      <c r="R15" s="39"/>
      <c r="S15" s="76" t="e">
        <f>VLOOKUP($Q15,[1]MEP!$A$5:$D$300,3)</f>
        <v>#N/A</v>
      </c>
      <c r="T15" s="76" t="e">
        <f>VLOOKUP($Q15,[1]MEP!$A$5:$D$300,4)</f>
        <v>#N/A</v>
      </c>
      <c r="U15" s="76">
        <f>VLOOKUP($Q15,[1]MEP!$A$4:$K$300,2)</f>
        <v>0</v>
      </c>
      <c r="V15" s="76">
        <f>VLOOKUP($Q15,[1]MEP!$A$4:$K$300,5)</f>
        <v>0</v>
      </c>
      <c r="W15" s="76">
        <f>VLOOKUP($Q15,[1]MEP!$A$4:$K$300,6)</f>
        <v>0</v>
      </c>
      <c r="X15" s="76">
        <f>VLOOKUP($Q15,[1]MEP!$A$4:$K$300,7)</f>
        <v>0</v>
      </c>
      <c r="Y15" s="76">
        <f>VLOOKUP($Q15,[1]MEP!$A$4:$K$300,8)</f>
        <v>0</v>
      </c>
      <c r="Z15" s="76">
        <f>VLOOKUP($Q15,[1]MEP!$A$4:$K$300,9)</f>
        <v>0</v>
      </c>
      <c r="AA15" s="76">
        <f>VLOOKUP($Q15,[1]MEP!$A$4:$K$300,10)</f>
        <v>0</v>
      </c>
      <c r="AC15" s="76">
        <f>VLOOKUP($Q15,[1]MEP!$A$4:$K$300,11)</f>
        <v>0</v>
      </c>
      <c r="AE15" s="61">
        <f t="shared" si="0"/>
        <v>0</v>
      </c>
      <c r="AF15" s="61">
        <f t="shared" si="1"/>
        <v>0</v>
      </c>
      <c r="AG15" s="61">
        <f t="shared" si="2"/>
        <v>0</v>
      </c>
      <c r="AH15" s="61">
        <f t="shared" si="3"/>
        <v>0</v>
      </c>
      <c r="AI15" s="61">
        <f t="shared" si="4"/>
        <v>0</v>
      </c>
      <c r="AJ15" s="61">
        <f t="shared" si="5"/>
        <v>0</v>
      </c>
      <c r="AK15" s="141"/>
      <c r="AL15" s="61">
        <f t="shared" si="6"/>
        <v>0</v>
      </c>
      <c r="AR15" s="32" t="s">
        <v>470</v>
      </c>
      <c r="AS15" s="13">
        <f>'Conduite Trp'!G5</f>
        <v>0</v>
      </c>
      <c r="AT15" s="13">
        <f>'Conduite Trp'!H5</f>
        <v>0</v>
      </c>
      <c r="AU15" s="13">
        <f>'Conduite Trp'!I5</f>
        <v>0</v>
      </c>
      <c r="AV15" s="13">
        <f>'Conduite Trp'!J5</f>
        <v>0</v>
      </c>
      <c r="AW15" s="13">
        <f>'Conduite Trp'!K5</f>
        <v>7.5974799999999991</v>
      </c>
      <c r="AX15" s="13">
        <f>'Conduite Trp'!L5</f>
        <v>7.5974799999999991</v>
      </c>
      <c r="AY15" s="13">
        <f>'Conduite Trp'!M5</f>
        <v>6.6205499999999979</v>
      </c>
      <c r="AZ15" s="13">
        <f>'Conduite Trp'!N5</f>
        <v>6.6205499999999979</v>
      </c>
      <c r="BA15" s="13">
        <f>'Conduite Trp'!O5</f>
        <v>6.8412349999999993</v>
      </c>
      <c r="BB15" s="13">
        <f>'Conduite Trp'!P5</f>
        <v>7.1894269999999993</v>
      </c>
      <c r="BC15" s="13">
        <f>'Conduite Trp'!Q5</f>
        <v>6.9575099999999974</v>
      </c>
      <c r="BD15" s="13">
        <f>'Conduite Trp'!R5</f>
        <v>7.1821499999999983</v>
      </c>
      <c r="BE15" s="13">
        <f>'Conduite Trp'!S5</f>
        <v>7.4215549999999997</v>
      </c>
      <c r="BF15" s="13">
        <f>'Conduite Trp'!T5</f>
        <v>7.4215549999999997</v>
      </c>
      <c r="BG15" s="13">
        <f>'Conduite Trp'!U5</f>
        <v>7.4215549999999997</v>
      </c>
      <c r="BH15" s="13">
        <f>'Conduite Trp'!V5</f>
        <v>7.1633250000000004</v>
      </c>
      <c r="BI15" s="13">
        <f>'Conduite Trp'!W5</f>
        <v>5.9802</v>
      </c>
      <c r="BJ15" s="13">
        <f>'Conduite Trp'!X5</f>
        <v>5.4188400000000003</v>
      </c>
      <c r="BK15" s="13">
        <f>'Conduite Trp'!Y5</f>
        <v>7.0918079999999994</v>
      </c>
      <c r="BL15" s="13">
        <f>'Conduite Trp'!Z5</f>
        <v>1.7796479999999999</v>
      </c>
      <c r="BM15" s="13">
        <f>'Conduite Trp'!AA5</f>
        <v>1.7222399999999998</v>
      </c>
      <c r="BN15" s="13">
        <f>'Conduite Trp'!AB5</f>
        <v>0</v>
      </c>
      <c r="BO15" s="13">
        <f>'Conduite Trp'!AC5</f>
        <v>0</v>
      </c>
      <c r="BP15" s="13">
        <f>'Conduite Trp'!AD5</f>
        <v>0</v>
      </c>
    </row>
    <row r="16" spans="2:71" x14ac:dyDescent="0.25">
      <c r="B16" s="98"/>
      <c r="C16" s="76"/>
      <c r="D16" s="76"/>
      <c r="E16" s="92" t="str">
        <f>'Conduite Trp'!B14</f>
        <v>4 -</v>
      </c>
      <c r="F16" s="76">
        <f>'Conduite Trp'!C14</f>
        <v>0</v>
      </c>
      <c r="G16" s="81"/>
      <c r="H16" s="61">
        <f>J61</f>
        <v>0</v>
      </c>
      <c r="I16" s="81"/>
      <c r="J16" s="81"/>
      <c r="K16" s="93">
        <f t="shared" si="14"/>
        <v>0</v>
      </c>
      <c r="L16" s="81"/>
      <c r="M16" s="100"/>
      <c r="P16">
        <v>10</v>
      </c>
      <c r="Q16" s="39"/>
      <c r="R16" s="39"/>
      <c r="S16" s="76" t="e">
        <f>VLOOKUP($Q16,[1]MEP!$A$5:$D$300,3)</f>
        <v>#N/A</v>
      </c>
      <c r="T16" s="76" t="e">
        <f>VLOOKUP($Q16,[1]MEP!$A$5:$D$300,4)</f>
        <v>#N/A</v>
      </c>
      <c r="U16" s="76">
        <f>VLOOKUP($Q16,[1]MEP!$A$4:$K$300,2)</f>
        <v>0</v>
      </c>
      <c r="V16" s="76">
        <f>VLOOKUP($Q16,[1]MEP!$A$4:$K$300,5)</f>
        <v>0</v>
      </c>
      <c r="W16" s="76">
        <f>VLOOKUP($Q16,[1]MEP!$A$4:$K$300,6)</f>
        <v>0</v>
      </c>
      <c r="X16" s="76">
        <f>VLOOKUP($Q16,[1]MEP!$A$4:$K$300,7)</f>
        <v>0</v>
      </c>
      <c r="Y16" s="76">
        <f>VLOOKUP($Q16,[1]MEP!$A$4:$K$300,8)</f>
        <v>0</v>
      </c>
      <c r="Z16" s="76">
        <f>VLOOKUP($Q16,[1]MEP!$A$4:$K$300,9)</f>
        <v>0</v>
      </c>
      <c r="AA16" s="76">
        <f>VLOOKUP($Q16,[1]MEP!$A$4:$K$300,10)</f>
        <v>0</v>
      </c>
      <c r="AC16" s="76">
        <f>VLOOKUP($Q16,[1]MEP!$A$4:$K$300,11)</f>
        <v>0</v>
      </c>
      <c r="AE16" s="61">
        <f t="shared" si="0"/>
        <v>0</v>
      </c>
      <c r="AF16" s="61">
        <f t="shared" si="1"/>
        <v>0</v>
      </c>
      <c r="AG16" s="61">
        <f t="shared" si="2"/>
        <v>0</v>
      </c>
      <c r="AH16" s="61">
        <f t="shared" si="3"/>
        <v>0</v>
      </c>
      <c r="AI16" s="61">
        <f t="shared" si="4"/>
        <v>0</v>
      </c>
      <c r="AJ16" s="61">
        <f t="shared" si="5"/>
        <v>0</v>
      </c>
      <c r="AK16" s="141"/>
      <c r="AL16" s="61">
        <f t="shared" si="6"/>
        <v>0</v>
      </c>
      <c r="AR16" s="32" t="s">
        <v>471</v>
      </c>
      <c r="AS16" s="13">
        <f>'Conduite Trp'!G6</f>
        <v>0</v>
      </c>
      <c r="AT16" s="13">
        <f>'Conduite Trp'!H6</f>
        <v>0</v>
      </c>
      <c r="AU16" s="13">
        <f>'Conduite Trp'!I6</f>
        <v>0</v>
      </c>
      <c r="AV16" s="13">
        <f>'Conduite Trp'!J6</f>
        <v>0</v>
      </c>
      <c r="AW16" s="13">
        <f>'Conduite Trp'!K6</f>
        <v>0</v>
      </c>
      <c r="AX16" s="13">
        <f>'Conduite Trp'!L6</f>
        <v>0</v>
      </c>
      <c r="AY16" s="13">
        <f>'Conduite Trp'!M6</f>
        <v>0</v>
      </c>
      <c r="AZ16" s="13">
        <f>'Conduite Trp'!N6</f>
        <v>0</v>
      </c>
      <c r="BA16" s="13">
        <f>'Conduite Trp'!O6</f>
        <v>0</v>
      </c>
      <c r="BB16" s="13">
        <f>'Conduite Trp'!P6</f>
        <v>0</v>
      </c>
      <c r="BC16" s="13">
        <f>'Conduite Trp'!Q6</f>
        <v>0</v>
      </c>
      <c r="BD16" s="13">
        <f>'Conduite Trp'!R6</f>
        <v>0</v>
      </c>
      <c r="BE16" s="13">
        <f>'Conduite Trp'!S6</f>
        <v>0</v>
      </c>
      <c r="BF16" s="13">
        <f>'Conduite Trp'!T6</f>
        <v>0</v>
      </c>
      <c r="BG16" s="13">
        <f>'Conduite Trp'!U6</f>
        <v>0</v>
      </c>
      <c r="BH16" s="13">
        <f>'Conduite Trp'!V6</f>
        <v>0</v>
      </c>
      <c r="BI16" s="13">
        <f>'Conduite Trp'!W6</f>
        <v>0</v>
      </c>
      <c r="BJ16" s="13">
        <f>'Conduite Trp'!X6</f>
        <v>0</v>
      </c>
      <c r="BK16" s="13">
        <f>'Conduite Trp'!Y6</f>
        <v>0</v>
      </c>
      <c r="BL16" s="13">
        <f>'Conduite Trp'!Z6</f>
        <v>0</v>
      </c>
      <c r="BM16" s="13">
        <f>'Conduite Trp'!AA6</f>
        <v>0</v>
      </c>
      <c r="BN16" s="13">
        <f>'Conduite Trp'!AB6</f>
        <v>0</v>
      </c>
      <c r="BO16" s="13">
        <f>'Conduite Trp'!AC6</f>
        <v>0</v>
      </c>
      <c r="BP16" s="13">
        <f>'Conduite Trp'!AD6</f>
        <v>0</v>
      </c>
      <c r="BS16" s="140"/>
    </row>
    <row r="17" spans="2:72" x14ac:dyDescent="0.25">
      <c r="B17" s="98"/>
      <c r="C17" s="76"/>
      <c r="D17" s="76"/>
      <c r="E17" s="92" t="str">
        <f>'Conduite Trp'!B15</f>
        <v>5 -</v>
      </c>
      <c r="F17" s="76">
        <f>'Conduite Trp'!C15</f>
        <v>0</v>
      </c>
      <c r="G17" s="81"/>
      <c r="H17" s="61">
        <f>K61</f>
        <v>0</v>
      </c>
      <c r="I17" s="81"/>
      <c r="J17" s="81"/>
      <c r="K17" s="93">
        <f t="shared" si="14"/>
        <v>0</v>
      </c>
      <c r="L17" s="81"/>
      <c r="M17" s="100"/>
      <c r="P17">
        <v>11</v>
      </c>
      <c r="Q17" s="39"/>
      <c r="R17" s="39"/>
      <c r="S17" s="76" t="e">
        <f>VLOOKUP($Q17,[1]MEP!$A$5:$D$300,3)</f>
        <v>#N/A</v>
      </c>
      <c r="T17" s="76" t="e">
        <f>VLOOKUP($Q17,[1]MEP!$A$5:$D$300,4)</f>
        <v>#N/A</v>
      </c>
      <c r="U17" s="76">
        <f>VLOOKUP($Q17,[1]MEP!$A$4:$K$300,2)</f>
        <v>0</v>
      </c>
      <c r="V17" s="76">
        <f>VLOOKUP($Q17,[1]MEP!$A$4:$K$300,5)</f>
        <v>0</v>
      </c>
      <c r="W17" s="76">
        <f>VLOOKUP($Q17,[1]MEP!$A$4:$K$300,6)</f>
        <v>0</v>
      </c>
      <c r="X17" s="76">
        <f>VLOOKUP($Q17,[1]MEP!$A$4:$K$300,7)</f>
        <v>0</v>
      </c>
      <c r="Y17" s="76">
        <f>VLOOKUP($Q17,[1]MEP!$A$4:$K$300,8)</f>
        <v>0</v>
      </c>
      <c r="Z17" s="76">
        <f>VLOOKUP($Q17,[1]MEP!$A$4:$K$300,9)</f>
        <v>0</v>
      </c>
      <c r="AA17" s="76">
        <f>VLOOKUP($Q17,[1]MEP!$A$4:$K$300,10)</f>
        <v>0</v>
      </c>
      <c r="AC17" s="76">
        <f>VLOOKUP($Q17,[1]MEP!$A$4:$K$300,11)</f>
        <v>0</v>
      </c>
      <c r="AE17" s="61">
        <f t="shared" si="0"/>
        <v>0</v>
      </c>
      <c r="AF17" s="61">
        <f t="shared" si="1"/>
        <v>0</v>
      </c>
      <c r="AG17" s="61">
        <f t="shared" si="2"/>
        <v>0</v>
      </c>
      <c r="AH17" s="61">
        <f t="shared" si="3"/>
        <v>0</v>
      </c>
      <c r="AI17" s="61">
        <f t="shared" si="4"/>
        <v>0</v>
      </c>
      <c r="AJ17" s="61">
        <f t="shared" si="5"/>
        <v>0</v>
      </c>
      <c r="AK17" s="141"/>
      <c r="AL17" s="61">
        <f t="shared" si="6"/>
        <v>0</v>
      </c>
      <c r="AR17" s="32" t="s">
        <v>472</v>
      </c>
      <c r="AS17" s="13">
        <f>'Conduite Trp'!G7</f>
        <v>0</v>
      </c>
      <c r="AT17" s="13">
        <f>'Conduite Trp'!H7</f>
        <v>0</v>
      </c>
      <c r="AU17" s="13">
        <f>'Conduite Trp'!I7</f>
        <v>0</v>
      </c>
      <c r="AV17" s="13">
        <f>'Conduite Trp'!J7</f>
        <v>0</v>
      </c>
      <c r="AW17" s="13">
        <f>'Conduite Trp'!K7</f>
        <v>0</v>
      </c>
      <c r="AX17" s="13">
        <f>'Conduite Trp'!L7</f>
        <v>0</v>
      </c>
      <c r="AY17" s="13">
        <f>'Conduite Trp'!M7</f>
        <v>0</v>
      </c>
      <c r="AZ17" s="13">
        <f>'Conduite Trp'!N7</f>
        <v>0</v>
      </c>
      <c r="BA17" s="13">
        <f>'Conduite Trp'!O7</f>
        <v>0</v>
      </c>
      <c r="BB17" s="13">
        <f>'Conduite Trp'!P7</f>
        <v>0</v>
      </c>
      <c r="BC17" s="13">
        <f>'Conduite Trp'!Q7</f>
        <v>0</v>
      </c>
      <c r="BD17" s="13">
        <f>'Conduite Trp'!R7</f>
        <v>0</v>
      </c>
      <c r="BE17" s="13">
        <f>'Conduite Trp'!S7</f>
        <v>0</v>
      </c>
      <c r="BF17" s="13">
        <f>'Conduite Trp'!T7</f>
        <v>0</v>
      </c>
      <c r="BG17" s="13">
        <f>'Conduite Trp'!U7</f>
        <v>0</v>
      </c>
      <c r="BH17" s="13">
        <f>'Conduite Trp'!V7</f>
        <v>0</v>
      </c>
      <c r="BI17" s="13">
        <f>'Conduite Trp'!W7</f>
        <v>0</v>
      </c>
      <c r="BJ17" s="13">
        <f>'Conduite Trp'!X7</f>
        <v>0</v>
      </c>
      <c r="BK17" s="13">
        <f>'Conduite Trp'!Y7</f>
        <v>0</v>
      </c>
      <c r="BL17" s="13">
        <f>'Conduite Trp'!Z7</f>
        <v>0</v>
      </c>
      <c r="BM17" s="13">
        <f>'Conduite Trp'!AA7</f>
        <v>0</v>
      </c>
      <c r="BN17" s="13">
        <f>'Conduite Trp'!AB7</f>
        <v>0</v>
      </c>
      <c r="BO17" s="13">
        <f>'Conduite Trp'!AC7</f>
        <v>0</v>
      </c>
      <c r="BP17" s="13">
        <f>'Conduite Trp'!AD7</f>
        <v>0</v>
      </c>
      <c r="BS17" s="140"/>
    </row>
    <row r="18" spans="2:72" ht="15" customHeight="1" thickBot="1" x14ac:dyDescent="0.3">
      <c r="B18" s="105"/>
      <c r="C18" s="106"/>
      <c r="D18" s="106"/>
      <c r="E18" s="106"/>
      <c r="F18" s="107"/>
      <c r="G18" s="107"/>
      <c r="H18" s="107"/>
      <c r="I18" s="107"/>
      <c r="J18" s="107"/>
      <c r="K18" s="107"/>
      <c r="L18" s="107"/>
      <c r="M18" s="108"/>
      <c r="P18">
        <v>12</v>
      </c>
      <c r="Q18" s="39"/>
      <c r="R18" s="39"/>
      <c r="S18" s="76" t="e">
        <f>VLOOKUP($Q18,[1]MEP!$A$5:$D$300,3)</f>
        <v>#N/A</v>
      </c>
      <c r="T18" s="76" t="e">
        <f>VLOOKUP($Q18,[1]MEP!$A$5:$D$300,4)</f>
        <v>#N/A</v>
      </c>
      <c r="U18" s="76">
        <f>VLOOKUP($Q18,[1]MEP!$A$4:$K$300,2)</f>
        <v>0</v>
      </c>
      <c r="V18" s="76">
        <f>VLOOKUP($Q18,[1]MEP!$A$4:$K$300,5)</f>
        <v>0</v>
      </c>
      <c r="W18" s="76">
        <f>VLOOKUP($Q18,[1]MEP!$A$4:$K$300,6)</f>
        <v>0</v>
      </c>
      <c r="X18" s="76">
        <f>VLOOKUP($Q18,[1]MEP!$A$4:$K$300,7)</f>
        <v>0</v>
      </c>
      <c r="Y18" s="76">
        <f>VLOOKUP($Q18,[1]MEP!$A$4:$K$300,8)</f>
        <v>0</v>
      </c>
      <c r="Z18" s="76">
        <f>VLOOKUP($Q18,[1]MEP!$A$4:$K$300,9)</f>
        <v>0</v>
      </c>
      <c r="AA18" s="76">
        <f>VLOOKUP($Q18,[1]MEP!$A$4:$K$300,10)</f>
        <v>0</v>
      </c>
      <c r="AC18" s="76">
        <f>VLOOKUP($Q18,[1]MEP!$A$4:$K$300,11)</f>
        <v>0</v>
      </c>
      <c r="AE18" s="61">
        <f t="shared" si="0"/>
        <v>0</v>
      </c>
      <c r="AF18" s="61">
        <f t="shared" si="1"/>
        <v>0</v>
      </c>
      <c r="AG18" s="61">
        <f t="shared" si="2"/>
        <v>0</v>
      </c>
      <c r="AH18" s="61">
        <f t="shared" si="3"/>
        <v>0</v>
      </c>
      <c r="AI18" s="61">
        <f t="shared" si="4"/>
        <v>0</v>
      </c>
      <c r="AJ18" s="61">
        <f t="shared" si="5"/>
        <v>0</v>
      </c>
      <c r="AK18" s="21"/>
      <c r="AL18" s="61">
        <f t="shared" si="6"/>
        <v>0</v>
      </c>
      <c r="BS18" s="140"/>
    </row>
    <row r="19" spans="2:72" ht="15" customHeight="1" x14ac:dyDescent="0.3">
      <c r="B19" s="123" t="s">
        <v>310</v>
      </c>
      <c r="C19" s="96"/>
      <c r="D19" s="110"/>
      <c r="E19" s="124"/>
      <c r="F19" s="111"/>
      <c r="G19" s="111"/>
      <c r="H19" s="111"/>
      <c r="I19" s="111"/>
      <c r="J19" s="111"/>
      <c r="K19" s="111"/>
      <c r="L19" s="96"/>
      <c r="M19" s="97"/>
      <c r="P19">
        <v>13</v>
      </c>
      <c r="Q19" s="39"/>
      <c r="R19" s="39"/>
      <c r="S19" s="76" t="e">
        <f>VLOOKUP($Q19,[1]MEP!$A$5:$D$300,3)</f>
        <v>#N/A</v>
      </c>
      <c r="T19" s="76" t="e">
        <f>VLOOKUP($Q19,[1]MEP!$A$5:$D$300,4)</f>
        <v>#N/A</v>
      </c>
      <c r="U19" s="76">
        <f>VLOOKUP($Q19,[1]MEP!$A$4:$K$300,2)</f>
        <v>0</v>
      </c>
      <c r="V19" s="76">
        <f>VLOOKUP($Q19,[1]MEP!$A$4:$K$300,5)</f>
        <v>0</v>
      </c>
      <c r="W19" s="76">
        <f>VLOOKUP($Q19,[1]MEP!$A$4:$K$300,6)</f>
        <v>0</v>
      </c>
      <c r="X19" s="76">
        <f>VLOOKUP($Q19,[1]MEP!$A$4:$K$300,7)</f>
        <v>0</v>
      </c>
      <c r="Y19" s="76">
        <f>VLOOKUP($Q19,[1]MEP!$A$4:$K$300,8)</f>
        <v>0</v>
      </c>
      <c r="Z19" s="76">
        <f>VLOOKUP($Q19,[1]MEP!$A$4:$K$300,9)</f>
        <v>0</v>
      </c>
      <c r="AA19" s="76">
        <f>VLOOKUP($Q19,[1]MEP!$A$4:$K$300,10)</f>
        <v>0</v>
      </c>
      <c r="AC19" s="76">
        <f>VLOOKUP($Q19,[1]MEP!$A$4:$K$300,11)</f>
        <v>0</v>
      </c>
      <c r="AE19" s="61">
        <f t="shared" si="0"/>
        <v>0</v>
      </c>
      <c r="AF19" s="61">
        <f t="shared" si="1"/>
        <v>0</v>
      </c>
      <c r="AG19" s="61">
        <f t="shared" si="2"/>
        <v>0</v>
      </c>
      <c r="AH19" s="61">
        <f t="shared" si="3"/>
        <v>0</v>
      </c>
      <c r="AI19" s="61">
        <f t="shared" si="4"/>
        <v>0</v>
      </c>
      <c r="AJ19" s="61">
        <f t="shared" si="5"/>
        <v>0</v>
      </c>
      <c r="AL19" s="61">
        <f t="shared" si="6"/>
        <v>0</v>
      </c>
      <c r="AQ19" s="32" t="s">
        <v>470</v>
      </c>
      <c r="AR19" s="69">
        <v>1</v>
      </c>
      <c r="AS19" s="61">
        <f>IF(AS$4=1,AS$15,0)</f>
        <v>0</v>
      </c>
      <c r="AT19" s="61">
        <f t="shared" ref="AT19:BP19" si="15">IF(AT$4=1,AT$15,0)</f>
        <v>0</v>
      </c>
      <c r="AU19" s="61">
        <f t="shared" si="15"/>
        <v>0</v>
      </c>
      <c r="AV19" s="61">
        <f t="shared" si="15"/>
        <v>0</v>
      </c>
      <c r="AW19" s="61">
        <f t="shared" si="15"/>
        <v>0</v>
      </c>
      <c r="AX19" s="61">
        <f t="shared" si="15"/>
        <v>0</v>
      </c>
      <c r="AY19" s="61">
        <f t="shared" si="15"/>
        <v>6.6205499999999979</v>
      </c>
      <c r="AZ19" s="61">
        <f t="shared" si="15"/>
        <v>6.6205499999999979</v>
      </c>
      <c r="BA19" s="61">
        <f t="shared" si="15"/>
        <v>6.8412349999999993</v>
      </c>
      <c r="BB19" s="61">
        <f t="shared" si="15"/>
        <v>7.1894269999999993</v>
      </c>
      <c r="BC19" s="61">
        <f t="shared" si="15"/>
        <v>6.9575099999999974</v>
      </c>
      <c r="BD19" s="61">
        <f t="shared" si="15"/>
        <v>7.1821499999999983</v>
      </c>
      <c r="BE19" s="61">
        <f t="shared" si="15"/>
        <v>0</v>
      </c>
      <c r="BF19" s="61">
        <f t="shared" si="15"/>
        <v>0</v>
      </c>
      <c r="BG19" s="61">
        <f t="shared" si="15"/>
        <v>0</v>
      </c>
      <c r="BH19" s="61">
        <f t="shared" si="15"/>
        <v>0</v>
      </c>
      <c r="BI19" s="61">
        <f t="shared" si="15"/>
        <v>0</v>
      </c>
      <c r="BJ19" s="61">
        <f t="shared" si="15"/>
        <v>0</v>
      </c>
      <c r="BK19" s="61">
        <f t="shared" si="15"/>
        <v>0</v>
      </c>
      <c r="BL19" s="61">
        <f t="shared" si="15"/>
        <v>0</v>
      </c>
      <c r="BM19" s="61">
        <f t="shared" si="15"/>
        <v>0</v>
      </c>
      <c r="BN19" s="61">
        <f t="shared" si="15"/>
        <v>0</v>
      </c>
      <c r="BO19" s="61">
        <f t="shared" si="15"/>
        <v>0</v>
      </c>
      <c r="BP19" s="61">
        <f t="shared" si="15"/>
        <v>0</v>
      </c>
      <c r="BR19" s="61">
        <f>SUM(AS19:BP19)</f>
        <v>41.411421999999988</v>
      </c>
      <c r="BS19" s="140"/>
    </row>
    <row r="20" spans="2:72" ht="15" customHeight="1" x14ac:dyDescent="0.25">
      <c r="B20" s="112"/>
      <c r="C20" s="81"/>
      <c r="D20" s="29"/>
      <c r="E20" s="52"/>
      <c r="F20" s="113"/>
      <c r="G20" s="113"/>
      <c r="H20" s="113"/>
      <c r="I20" s="52"/>
      <c r="J20" s="113"/>
      <c r="K20" s="63"/>
      <c r="L20" s="81"/>
      <c r="M20" s="149"/>
      <c r="P20">
        <v>14</v>
      </c>
      <c r="Q20" s="39"/>
      <c r="R20" s="39"/>
      <c r="S20" s="76" t="e">
        <f>VLOOKUP($Q20,[1]MEP!$A$5:$D$300,3)</f>
        <v>#N/A</v>
      </c>
      <c r="T20" s="76" t="e">
        <f>VLOOKUP($Q20,[1]MEP!$A$5:$D$300,4)</f>
        <v>#N/A</v>
      </c>
      <c r="U20" s="76">
        <f>VLOOKUP($Q20,[1]MEP!$A$4:$K$300,2)</f>
        <v>0</v>
      </c>
      <c r="V20" s="76">
        <f>VLOOKUP($Q20,[1]MEP!$A$4:$K$300,5)</f>
        <v>0</v>
      </c>
      <c r="W20" s="76">
        <f>VLOOKUP($Q20,[1]MEP!$A$4:$K$300,6)</f>
        <v>0</v>
      </c>
      <c r="X20" s="76">
        <f>VLOOKUP($Q20,[1]MEP!$A$4:$K$300,7)</f>
        <v>0</v>
      </c>
      <c r="Y20" s="76">
        <f>VLOOKUP($Q20,[1]MEP!$A$4:$K$300,8)</f>
        <v>0</v>
      </c>
      <c r="Z20" s="76">
        <f>VLOOKUP($Q20,[1]MEP!$A$4:$K$300,9)</f>
        <v>0</v>
      </c>
      <c r="AA20" s="76">
        <f>VLOOKUP($Q20,[1]MEP!$A$4:$K$300,10)</f>
        <v>0</v>
      </c>
      <c r="AC20" s="76">
        <f>VLOOKUP($Q20,[1]MEP!$A$4:$K$300,11)</f>
        <v>0</v>
      </c>
      <c r="AE20" s="61">
        <f t="shared" si="0"/>
        <v>0</v>
      </c>
      <c r="AF20" s="61">
        <f t="shared" si="1"/>
        <v>0</v>
      </c>
      <c r="AG20" s="61">
        <f t="shared" si="2"/>
        <v>0</v>
      </c>
      <c r="AH20" s="61">
        <f t="shared" si="3"/>
        <v>0</v>
      </c>
      <c r="AI20" s="61">
        <f t="shared" si="4"/>
        <v>0</v>
      </c>
      <c r="AJ20" s="61">
        <f t="shared" si="5"/>
        <v>0</v>
      </c>
      <c r="AK20" s="21"/>
      <c r="AL20" s="61">
        <f t="shared" si="6"/>
        <v>0</v>
      </c>
      <c r="AR20" s="70">
        <v>2</v>
      </c>
      <c r="AS20" s="61">
        <f>IF(AS$4=2,AS$15,0)</f>
        <v>0</v>
      </c>
      <c r="AT20" s="61">
        <f t="shared" ref="AT20:BP20" si="16">IF(AT$4=2,AT$15,0)</f>
        <v>0</v>
      </c>
      <c r="AU20" s="61">
        <f t="shared" si="16"/>
        <v>0</v>
      </c>
      <c r="AV20" s="61">
        <f t="shared" si="16"/>
        <v>0</v>
      </c>
      <c r="AW20" s="61">
        <f t="shared" si="16"/>
        <v>0</v>
      </c>
      <c r="AX20" s="61">
        <f t="shared" si="16"/>
        <v>0</v>
      </c>
      <c r="AY20" s="61">
        <f t="shared" si="16"/>
        <v>0</v>
      </c>
      <c r="AZ20" s="61">
        <f t="shared" si="16"/>
        <v>0</v>
      </c>
      <c r="BA20" s="61">
        <f t="shared" si="16"/>
        <v>0</v>
      </c>
      <c r="BB20" s="61">
        <f t="shared" si="16"/>
        <v>0</v>
      </c>
      <c r="BC20" s="61">
        <f t="shared" si="16"/>
        <v>0</v>
      </c>
      <c r="BD20" s="61">
        <f t="shared" si="16"/>
        <v>0</v>
      </c>
      <c r="BE20" s="61">
        <f t="shared" si="16"/>
        <v>7.4215549999999997</v>
      </c>
      <c r="BF20" s="61">
        <f t="shared" si="16"/>
        <v>7.4215549999999997</v>
      </c>
      <c r="BG20" s="61">
        <f t="shared" si="16"/>
        <v>7.4215549999999997</v>
      </c>
      <c r="BH20" s="61">
        <f t="shared" si="16"/>
        <v>7.1633250000000004</v>
      </c>
      <c r="BI20" s="61">
        <f t="shared" si="16"/>
        <v>0</v>
      </c>
      <c r="BJ20" s="61">
        <f t="shared" si="16"/>
        <v>0</v>
      </c>
      <c r="BK20" s="61">
        <f t="shared" si="16"/>
        <v>0</v>
      </c>
      <c r="BL20" s="61">
        <f t="shared" si="16"/>
        <v>0</v>
      </c>
      <c r="BM20" s="61">
        <f t="shared" si="16"/>
        <v>0</v>
      </c>
      <c r="BN20" s="61">
        <f t="shared" si="16"/>
        <v>0</v>
      </c>
      <c r="BO20" s="61">
        <f t="shared" si="16"/>
        <v>0</v>
      </c>
      <c r="BP20" s="61">
        <f t="shared" si="16"/>
        <v>0</v>
      </c>
      <c r="BR20" s="61">
        <f t="shared" ref="BR20:BR24" si="17">SUM(AS20:BP20)</f>
        <v>29.427990000000001</v>
      </c>
      <c r="BS20" s="140"/>
    </row>
    <row r="21" spans="2:72" ht="15" customHeight="1" x14ac:dyDescent="0.25">
      <c r="B21" s="112"/>
      <c r="C21" s="28"/>
      <c r="D21" s="114" t="s">
        <v>78</v>
      </c>
      <c r="E21" s="63"/>
      <c r="F21" s="63"/>
      <c r="G21" s="115"/>
      <c r="H21" s="52"/>
      <c r="I21" s="63"/>
      <c r="J21" s="63"/>
      <c r="K21" s="116" t="s">
        <v>309</v>
      </c>
      <c r="L21" s="101"/>
      <c r="M21" s="100"/>
      <c r="P21">
        <v>15</v>
      </c>
      <c r="Q21" s="39"/>
      <c r="R21" s="39"/>
      <c r="S21" s="76" t="e">
        <f>VLOOKUP($Q21,[1]MEP!$A$5:$D$300,3)</f>
        <v>#N/A</v>
      </c>
      <c r="T21" s="76" t="e">
        <f>VLOOKUP($Q21,[1]MEP!$A$5:$D$300,4)</f>
        <v>#N/A</v>
      </c>
      <c r="U21" s="76">
        <f>VLOOKUP($Q21,[1]MEP!$A$4:$K$300,2)</f>
        <v>0</v>
      </c>
      <c r="V21" s="76">
        <f>VLOOKUP($Q21,[1]MEP!$A$4:$K$300,5)</f>
        <v>0</v>
      </c>
      <c r="W21" s="76">
        <f>VLOOKUP($Q21,[1]MEP!$A$4:$K$300,6)</f>
        <v>0</v>
      </c>
      <c r="X21" s="76">
        <f>VLOOKUP($Q21,[1]MEP!$A$4:$K$300,7)</f>
        <v>0</v>
      </c>
      <c r="Y21" s="76">
        <f>VLOOKUP($Q21,[1]MEP!$A$4:$K$300,8)</f>
        <v>0</v>
      </c>
      <c r="Z21" s="76">
        <f>VLOOKUP($Q21,[1]MEP!$A$4:$K$300,9)</f>
        <v>0</v>
      </c>
      <c r="AA21" s="76">
        <f>VLOOKUP($Q21,[1]MEP!$A$4:$K$300,10)</f>
        <v>0</v>
      </c>
      <c r="AC21" s="76">
        <f>VLOOKUP($Q21,[1]MEP!$A$4:$K$300,11)</f>
        <v>0</v>
      </c>
      <c r="AE21" s="61">
        <f t="shared" si="0"/>
        <v>0</v>
      </c>
      <c r="AF21" s="61">
        <f t="shared" si="1"/>
        <v>0</v>
      </c>
      <c r="AG21" s="61">
        <f t="shared" si="2"/>
        <v>0</v>
      </c>
      <c r="AH21" s="61">
        <f t="shared" si="3"/>
        <v>0</v>
      </c>
      <c r="AI21" s="61">
        <f t="shared" si="4"/>
        <v>0</v>
      </c>
      <c r="AJ21" s="61">
        <f t="shared" si="5"/>
        <v>0</v>
      </c>
      <c r="AK21" s="21"/>
      <c r="AL21" s="61">
        <f t="shared" si="6"/>
        <v>0</v>
      </c>
      <c r="AR21" s="69">
        <v>3</v>
      </c>
      <c r="AS21" s="61">
        <f>IF(AS$4=3,AS$15,0)</f>
        <v>0</v>
      </c>
      <c r="AT21" s="61">
        <f t="shared" ref="AT21:BP21" si="18">IF(AT$4=3,AT$15,0)</f>
        <v>0</v>
      </c>
      <c r="AU21" s="61">
        <f t="shared" si="18"/>
        <v>0</v>
      </c>
      <c r="AV21" s="61">
        <f t="shared" si="18"/>
        <v>0</v>
      </c>
      <c r="AW21" s="61">
        <f t="shared" si="18"/>
        <v>0</v>
      </c>
      <c r="AX21" s="61">
        <f t="shared" si="18"/>
        <v>0</v>
      </c>
      <c r="AY21" s="61">
        <f t="shared" si="18"/>
        <v>0</v>
      </c>
      <c r="AZ21" s="61">
        <f t="shared" si="18"/>
        <v>0</v>
      </c>
      <c r="BA21" s="61">
        <f t="shared" si="18"/>
        <v>0</v>
      </c>
      <c r="BB21" s="61">
        <f t="shared" si="18"/>
        <v>0</v>
      </c>
      <c r="BC21" s="61">
        <f t="shared" si="18"/>
        <v>0</v>
      </c>
      <c r="BD21" s="61">
        <f t="shared" si="18"/>
        <v>0</v>
      </c>
      <c r="BE21" s="61">
        <f t="shared" si="18"/>
        <v>0</v>
      </c>
      <c r="BF21" s="61">
        <f t="shared" si="18"/>
        <v>0</v>
      </c>
      <c r="BG21" s="61">
        <f t="shared" si="18"/>
        <v>0</v>
      </c>
      <c r="BH21" s="61">
        <f t="shared" si="18"/>
        <v>0</v>
      </c>
      <c r="BI21" s="61">
        <f t="shared" si="18"/>
        <v>5.9802</v>
      </c>
      <c r="BJ21" s="61">
        <f t="shared" si="18"/>
        <v>5.4188400000000003</v>
      </c>
      <c r="BK21" s="61">
        <f t="shared" si="18"/>
        <v>7.0918079999999994</v>
      </c>
      <c r="BL21" s="61">
        <f t="shared" si="18"/>
        <v>1.7796479999999999</v>
      </c>
      <c r="BM21" s="61">
        <f t="shared" si="18"/>
        <v>1.7222399999999998</v>
      </c>
      <c r="BN21" s="61">
        <f t="shared" si="18"/>
        <v>0</v>
      </c>
      <c r="BO21" s="61">
        <f t="shared" si="18"/>
        <v>0</v>
      </c>
      <c r="BP21" s="61">
        <f t="shared" si="18"/>
        <v>0</v>
      </c>
      <c r="BR21" s="61">
        <f t="shared" si="17"/>
        <v>21.992736000000001</v>
      </c>
      <c r="BS21" s="140"/>
    </row>
    <row r="22" spans="2:72" ht="15" customHeight="1" x14ac:dyDescent="0.25">
      <c r="B22" s="112"/>
      <c r="C22" s="117"/>
      <c r="D22" s="101">
        <v>1</v>
      </c>
      <c r="E22" s="101">
        <v>2</v>
      </c>
      <c r="F22" s="101">
        <v>3</v>
      </c>
      <c r="G22" s="101">
        <v>4</v>
      </c>
      <c r="H22" s="101">
        <v>5</v>
      </c>
      <c r="I22" s="101">
        <v>6</v>
      </c>
      <c r="J22" s="63"/>
      <c r="K22" s="118" t="s">
        <v>416</v>
      </c>
      <c r="L22" s="63"/>
      <c r="M22" s="100"/>
      <c r="P22">
        <v>16</v>
      </c>
      <c r="Q22" s="39"/>
      <c r="R22" s="39"/>
      <c r="S22" s="76" t="e">
        <f>VLOOKUP($Q22,[1]MEP!$A$5:$D$300,3)</f>
        <v>#N/A</v>
      </c>
      <c r="T22" s="76" t="e">
        <f>VLOOKUP($Q22,[1]MEP!$A$5:$D$300,4)</f>
        <v>#N/A</v>
      </c>
      <c r="U22" s="76">
        <f>VLOOKUP($Q22,[1]MEP!$A$4:$K$300,2)</f>
        <v>0</v>
      </c>
      <c r="V22" s="76">
        <f>VLOOKUP($Q22,[1]MEP!$A$4:$K$300,5)</f>
        <v>0</v>
      </c>
      <c r="W22" s="76">
        <f>VLOOKUP($Q22,[1]MEP!$A$4:$K$300,6)</f>
        <v>0</v>
      </c>
      <c r="X22" s="76">
        <f>VLOOKUP($Q22,[1]MEP!$A$4:$K$300,7)</f>
        <v>0</v>
      </c>
      <c r="Y22" s="76">
        <f>VLOOKUP($Q22,[1]MEP!$A$4:$K$300,8)</f>
        <v>0</v>
      </c>
      <c r="Z22" s="76">
        <f>VLOOKUP($Q22,[1]MEP!$A$4:$K$300,9)</f>
        <v>0</v>
      </c>
      <c r="AA22" s="76">
        <f>VLOOKUP($Q22,[1]MEP!$A$4:$K$300,10)</f>
        <v>0</v>
      </c>
      <c r="AC22" s="76">
        <f>VLOOKUP($Q22,[1]MEP!$A$4:$K$300,11)</f>
        <v>0</v>
      </c>
      <c r="AE22" s="61">
        <f t="shared" si="0"/>
        <v>0</v>
      </c>
      <c r="AF22" s="61">
        <f t="shared" si="1"/>
        <v>0</v>
      </c>
      <c r="AG22" s="61">
        <f t="shared" si="2"/>
        <v>0</v>
      </c>
      <c r="AH22" s="61">
        <f t="shared" si="3"/>
        <v>0</v>
      </c>
      <c r="AI22" s="61">
        <f t="shared" si="4"/>
        <v>0</v>
      </c>
      <c r="AJ22" s="61">
        <f t="shared" si="5"/>
        <v>0</v>
      </c>
      <c r="AK22"/>
      <c r="AL22" s="61">
        <f t="shared" si="6"/>
        <v>0</v>
      </c>
      <c r="AR22" s="70">
        <v>4</v>
      </c>
      <c r="AS22" s="61">
        <f>IF(AS$4=4,AS$15,0)</f>
        <v>0</v>
      </c>
      <c r="AT22" s="61">
        <f t="shared" ref="AT22:BP22" si="19">IF(AT$4=4,AT$15,0)</f>
        <v>0</v>
      </c>
      <c r="AU22" s="61">
        <f t="shared" si="19"/>
        <v>0</v>
      </c>
      <c r="AV22" s="61">
        <f t="shared" si="19"/>
        <v>0</v>
      </c>
      <c r="AW22" s="61">
        <f t="shared" si="19"/>
        <v>0</v>
      </c>
      <c r="AX22" s="61">
        <f t="shared" si="19"/>
        <v>0</v>
      </c>
      <c r="AY22" s="61">
        <f t="shared" si="19"/>
        <v>0</v>
      </c>
      <c r="AZ22" s="61">
        <f t="shared" si="19"/>
        <v>0</v>
      </c>
      <c r="BA22" s="61">
        <f t="shared" si="19"/>
        <v>0</v>
      </c>
      <c r="BB22" s="61">
        <f t="shared" si="19"/>
        <v>0</v>
      </c>
      <c r="BC22" s="61">
        <f t="shared" si="19"/>
        <v>0</v>
      </c>
      <c r="BD22" s="61">
        <f t="shared" si="19"/>
        <v>0</v>
      </c>
      <c r="BE22" s="61">
        <f t="shared" si="19"/>
        <v>0</v>
      </c>
      <c r="BF22" s="61">
        <f t="shared" si="19"/>
        <v>0</v>
      </c>
      <c r="BG22" s="61">
        <f t="shared" si="19"/>
        <v>0</v>
      </c>
      <c r="BH22" s="61">
        <f t="shared" si="19"/>
        <v>0</v>
      </c>
      <c r="BI22" s="61">
        <f t="shared" si="19"/>
        <v>0</v>
      </c>
      <c r="BJ22" s="61">
        <f t="shared" si="19"/>
        <v>0</v>
      </c>
      <c r="BK22" s="61">
        <f t="shared" si="19"/>
        <v>0</v>
      </c>
      <c r="BL22" s="61">
        <f t="shared" si="19"/>
        <v>0</v>
      </c>
      <c r="BM22" s="61">
        <f t="shared" si="19"/>
        <v>0</v>
      </c>
      <c r="BN22" s="61">
        <f t="shared" si="19"/>
        <v>0</v>
      </c>
      <c r="BO22" s="61">
        <f t="shared" si="19"/>
        <v>0</v>
      </c>
      <c r="BP22" s="61">
        <f t="shared" si="19"/>
        <v>0</v>
      </c>
      <c r="BR22" s="61">
        <f t="shared" si="17"/>
        <v>0</v>
      </c>
      <c r="BS22" s="140"/>
    </row>
    <row r="23" spans="2:72" ht="15" customHeight="1" x14ac:dyDescent="0.25">
      <c r="B23" s="112"/>
      <c r="C23" s="119" t="s">
        <v>273</v>
      </c>
      <c r="D23" s="78">
        <f>BS7</f>
        <v>3</v>
      </c>
      <c r="E23" s="78">
        <f>BS8</f>
        <v>2</v>
      </c>
      <c r="F23" s="78">
        <f>BS9</f>
        <v>3</v>
      </c>
      <c r="G23" s="78">
        <f>BS10</f>
        <v>2</v>
      </c>
      <c r="H23" s="78">
        <f>BS11</f>
        <v>2</v>
      </c>
      <c r="I23" s="78">
        <f>BS12</f>
        <v>0</v>
      </c>
      <c r="J23" s="63"/>
      <c r="K23" s="148" t="s">
        <v>415</v>
      </c>
      <c r="L23" s="63"/>
      <c r="M23" s="100"/>
      <c r="P23">
        <v>17</v>
      </c>
      <c r="Q23" s="39"/>
      <c r="R23" s="39"/>
      <c r="S23" s="76" t="e">
        <f>VLOOKUP($Q23,[1]MEP!$A$5:$D$300,3)</f>
        <v>#N/A</v>
      </c>
      <c r="T23" s="76" t="e">
        <f>VLOOKUP($Q23,[1]MEP!$A$5:$D$300,4)</f>
        <v>#N/A</v>
      </c>
      <c r="U23" s="76">
        <f>VLOOKUP($Q23,[1]MEP!$A$4:$K$300,2)</f>
        <v>0</v>
      </c>
      <c r="V23" s="76">
        <f>VLOOKUP($Q23,[1]MEP!$A$4:$K$300,5)</f>
        <v>0</v>
      </c>
      <c r="W23" s="76">
        <f>VLOOKUP($Q23,[1]MEP!$A$4:$K$300,6)</f>
        <v>0</v>
      </c>
      <c r="X23" s="76">
        <f>VLOOKUP($Q23,[1]MEP!$A$4:$K$300,7)</f>
        <v>0</v>
      </c>
      <c r="Y23" s="76">
        <f>VLOOKUP($Q23,[1]MEP!$A$4:$K$300,8)</f>
        <v>0</v>
      </c>
      <c r="Z23" s="76">
        <f>VLOOKUP($Q23,[1]MEP!$A$4:$K$300,9)</f>
        <v>0</v>
      </c>
      <c r="AA23" s="76">
        <f>VLOOKUP($Q23,[1]MEP!$A$4:$K$300,10)</f>
        <v>0</v>
      </c>
      <c r="AC23" s="76">
        <f>VLOOKUP($Q23,[1]MEP!$A$4:$K$300,11)</f>
        <v>0</v>
      </c>
      <c r="AE23" s="61">
        <f t="shared" si="0"/>
        <v>0</v>
      </c>
      <c r="AF23" s="61">
        <f t="shared" si="1"/>
        <v>0</v>
      </c>
      <c r="AG23" s="61">
        <f t="shared" si="2"/>
        <v>0</v>
      </c>
      <c r="AH23" s="61">
        <f t="shared" si="3"/>
        <v>0</v>
      </c>
      <c r="AI23" s="61">
        <f t="shared" si="4"/>
        <v>0</v>
      </c>
      <c r="AJ23" s="61">
        <f t="shared" si="5"/>
        <v>0</v>
      </c>
      <c r="AK23"/>
      <c r="AL23" s="61">
        <f t="shared" si="6"/>
        <v>0</v>
      </c>
      <c r="AR23" s="69">
        <v>5</v>
      </c>
      <c r="AS23" s="61">
        <f>IF(AS$4=5,AS$15,0)</f>
        <v>0</v>
      </c>
      <c r="AT23" s="61">
        <f t="shared" ref="AT23:BP23" si="20">IF(AT$4=5,AT$15,0)</f>
        <v>0</v>
      </c>
      <c r="AU23" s="61">
        <f t="shared" si="20"/>
        <v>0</v>
      </c>
      <c r="AV23" s="61">
        <f t="shared" si="20"/>
        <v>0</v>
      </c>
      <c r="AW23" s="61">
        <f t="shared" si="20"/>
        <v>7.5974799999999991</v>
      </c>
      <c r="AX23" s="61">
        <f t="shared" si="20"/>
        <v>7.5974799999999991</v>
      </c>
      <c r="AY23" s="61">
        <f t="shared" si="20"/>
        <v>0</v>
      </c>
      <c r="AZ23" s="61">
        <f t="shared" si="20"/>
        <v>0</v>
      </c>
      <c r="BA23" s="61">
        <f t="shared" si="20"/>
        <v>0</v>
      </c>
      <c r="BB23" s="61">
        <f t="shared" si="20"/>
        <v>0</v>
      </c>
      <c r="BC23" s="61">
        <f t="shared" si="20"/>
        <v>0</v>
      </c>
      <c r="BD23" s="61">
        <f t="shared" si="20"/>
        <v>0</v>
      </c>
      <c r="BE23" s="61">
        <f t="shared" si="20"/>
        <v>0</v>
      </c>
      <c r="BF23" s="61">
        <f t="shared" si="20"/>
        <v>0</v>
      </c>
      <c r="BG23" s="61">
        <f t="shared" si="20"/>
        <v>0</v>
      </c>
      <c r="BH23" s="61">
        <f t="shared" si="20"/>
        <v>0</v>
      </c>
      <c r="BI23" s="61">
        <f t="shared" si="20"/>
        <v>0</v>
      </c>
      <c r="BJ23" s="61">
        <f t="shared" si="20"/>
        <v>0</v>
      </c>
      <c r="BK23" s="61">
        <f t="shared" si="20"/>
        <v>0</v>
      </c>
      <c r="BL23" s="61">
        <f t="shared" si="20"/>
        <v>0</v>
      </c>
      <c r="BM23" s="61">
        <f t="shared" si="20"/>
        <v>0</v>
      </c>
      <c r="BN23" s="61">
        <f t="shared" si="20"/>
        <v>0</v>
      </c>
      <c r="BO23" s="61">
        <f t="shared" si="20"/>
        <v>0</v>
      </c>
      <c r="BP23" s="61">
        <f t="shared" si="20"/>
        <v>0</v>
      </c>
      <c r="BR23" s="61">
        <f t="shared" si="17"/>
        <v>15.194959999999998</v>
      </c>
      <c r="BS23" s="140"/>
    </row>
    <row r="24" spans="2:72" ht="15" customHeight="1" x14ac:dyDescent="0.25">
      <c r="B24" s="112"/>
      <c r="C24" s="117" t="s">
        <v>90</v>
      </c>
      <c r="D24" s="61">
        <f t="shared" ref="D24:I24" si="21">AE27+AE49+AE71</f>
        <v>42.326832000000003</v>
      </c>
      <c r="E24" s="61">
        <f t="shared" si="21"/>
        <v>30.042609999999996</v>
      </c>
      <c r="F24" s="61">
        <f t="shared" si="21"/>
        <v>24.546672000000001</v>
      </c>
      <c r="G24" s="61">
        <f t="shared" si="21"/>
        <v>6.1366680000000002</v>
      </c>
      <c r="H24" s="61">
        <f t="shared" si="21"/>
        <v>30.683340000000001</v>
      </c>
      <c r="I24" s="61">
        <f t="shared" si="21"/>
        <v>0</v>
      </c>
      <c r="J24" s="63"/>
      <c r="K24" s="61">
        <f>AL27+AL49+AL71</f>
        <v>73.953918000000002</v>
      </c>
      <c r="L24" s="52"/>
      <c r="M24" s="100"/>
      <c r="P24">
        <v>18</v>
      </c>
      <c r="Q24" s="39"/>
      <c r="R24" s="39"/>
      <c r="S24" s="76" t="e">
        <f>VLOOKUP($Q24,[1]MEP!$A$5:$D$300,3)</f>
        <v>#N/A</v>
      </c>
      <c r="T24" s="76" t="e">
        <f>VLOOKUP($Q24,[1]MEP!$A$5:$D$300,4)</f>
        <v>#N/A</v>
      </c>
      <c r="U24" s="76">
        <f>VLOOKUP($Q24,[1]MEP!$A$4:$K$300,2)</f>
        <v>0</v>
      </c>
      <c r="V24" s="76">
        <f>VLOOKUP($Q24,[1]MEP!$A$4:$K$300,5)</f>
        <v>0</v>
      </c>
      <c r="W24" s="76">
        <f>VLOOKUP($Q24,[1]MEP!$A$4:$K$300,6)</f>
        <v>0</v>
      </c>
      <c r="X24" s="76">
        <f>VLOOKUP($Q24,[1]MEP!$A$4:$K$300,7)</f>
        <v>0</v>
      </c>
      <c r="Y24" s="76">
        <f>VLOOKUP($Q24,[1]MEP!$A$4:$K$300,8)</f>
        <v>0</v>
      </c>
      <c r="Z24" s="76">
        <f>VLOOKUP($Q24,[1]MEP!$A$4:$K$300,9)</f>
        <v>0</v>
      </c>
      <c r="AA24" s="76">
        <f>VLOOKUP($Q24,[1]MEP!$A$4:$K$300,10)</f>
        <v>0</v>
      </c>
      <c r="AC24" s="76">
        <f>VLOOKUP($Q24,[1]MEP!$A$4:$K$300,11)</f>
        <v>0</v>
      </c>
      <c r="AE24" s="61">
        <f t="shared" si="0"/>
        <v>0</v>
      </c>
      <c r="AF24" s="61">
        <f t="shared" si="1"/>
        <v>0</v>
      </c>
      <c r="AG24" s="61">
        <f t="shared" si="2"/>
        <v>0</v>
      </c>
      <c r="AH24" s="61">
        <f t="shared" si="3"/>
        <v>0</v>
      </c>
      <c r="AI24" s="61">
        <f t="shared" si="4"/>
        <v>0</v>
      </c>
      <c r="AJ24" s="61">
        <f t="shared" si="5"/>
        <v>0</v>
      </c>
      <c r="AK24"/>
      <c r="AL24" s="61">
        <f t="shared" si="6"/>
        <v>0</v>
      </c>
      <c r="AR24" s="69">
        <v>6</v>
      </c>
      <c r="AS24" s="61">
        <f>IF(AS$4=6,AS$15,0)</f>
        <v>0</v>
      </c>
      <c r="AT24" s="61">
        <f t="shared" ref="AT24:BP24" si="22">IF(AT$4=6,AT$15,0)</f>
        <v>0</v>
      </c>
      <c r="AU24" s="61">
        <f t="shared" si="22"/>
        <v>0</v>
      </c>
      <c r="AV24" s="61">
        <f t="shared" si="22"/>
        <v>0</v>
      </c>
      <c r="AW24" s="61">
        <f t="shared" si="22"/>
        <v>0</v>
      </c>
      <c r="AX24" s="61">
        <f t="shared" si="22"/>
        <v>0</v>
      </c>
      <c r="AY24" s="61">
        <f t="shared" si="22"/>
        <v>0</v>
      </c>
      <c r="AZ24" s="61">
        <f t="shared" si="22"/>
        <v>0</v>
      </c>
      <c r="BA24" s="61">
        <f t="shared" si="22"/>
        <v>0</v>
      </c>
      <c r="BB24" s="61">
        <f t="shared" si="22"/>
        <v>0</v>
      </c>
      <c r="BC24" s="61">
        <f t="shared" si="22"/>
        <v>0</v>
      </c>
      <c r="BD24" s="61">
        <f t="shared" si="22"/>
        <v>0</v>
      </c>
      <c r="BE24" s="61">
        <f t="shared" si="22"/>
        <v>0</v>
      </c>
      <c r="BF24" s="61">
        <f t="shared" si="22"/>
        <v>0</v>
      </c>
      <c r="BG24" s="61">
        <f t="shared" si="22"/>
        <v>0</v>
      </c>
      <c r="BH24" s="61">
        <f t="shared" si="22"/>
        <v>0</v>
      </c>
      <c r="BI24" s="61">
        <f t="shared" si="22"/>
        <v>0</v>
      </c>
      <c r="BJ24" s="61">
        <f t="shared" si="22"/>
        <v>0</v>
      </c>
      <c r="BK24" s="61">
        <f t="shared" si="22"/>
        <v>0</v>
      </c>
      <c r="BL24" s="61">
        <f t="shared" si="22"/>
        <v>0</v>
      </c>
      <c r="BM24" s="61">
        <f t="shared" si="22"/>
        <v>0</v>
      </c>
      <c r="BN24" s="61">
        <f t="shared" si="22"/>
        <v>0</v>
      </c>
      <c r="BO24" s="61">
        <f t="shared" si="22"/>
        <v>0</v>
      </c>
      <c r="BP24" s="61">
        <f t="shared" si="22"/>
        <v>0</v>
      </c>
      <c r="BR24" s="61">
        <f t="shared" si="17"/>
        <v>0</v>
      </c>
      <c r="BS24" s="140"/>
    </row>
    <row r="25" spans="2:72" ht="15" customHeight="1" x14ac:dyDescent="0.25">
      <c r="B25" s="112"/>
      <c r="C25" s="117" t="s">
        <v>91</v>
      </c>
      <c r="D25" s="61">
        <f>BR7</f>
        <v>41.411421999999988</v>
      </c>
      <c r="E25" s="61">
        <f>BR8</f>
        <v>29.427990000000001</v>
      </c>
      <c r="F25" s="61">
        <f>BR9</f>
        <v>21.992736000000001</v>
      </c>
      <c r="G25" s="61">
        <f>BR10</f>
        <v>0</v>
      </c>
      <c r="H25" s="61">
        <f>BR11</f>
        <v>15.194959999999998</v>
      </c>
      <c r="I25" s="61">
        <f>BR12</f>
        <v>0</v>
      </c>
      <c r="J25" s="63"/>
      <c r="K25" s="76">
        <f>'Conduite Trp'!C7</f>
        <v>70.8</v>
      </c>
      <c r="L25" s="63"/>
      <c r="M25" s="100"/>
      <c r="P25">
        <v>19</v>
      </c>
      <c r="Q25" s="39"/>
      <c r="R25" s="39"/>
      <c r="S25" s="76" t="e">
        <f>VLOOKUP($Q25,[1]MEP!$A$5:$D$300,3)</f>
        <v>#N/A</v>
      </c>
      <c r="T25" s="76" t="e">
        <f>VLOOKUP($Q25,[1]MEP!$A$5:$D$300,4)</f>
        <v>#N/A</v>
      </c>
      <c r="U25" s="76">
        <f>VLOOKUP($Q25,[1]MEP!$A$4:$K$300,2)</f>
        <v>0</v>
      </c>
      <c r="V25" s="76">
        <f>VLOOKUP($Q25,[1]MEP!$A$4:$K$300,5)</f>
        <v>0</v>
      </c>
      <c r="W25" s="76">
        <f>VLOOKUP($Q25,[1]MEP!$A$4:$K$300,6)</f>
        <v>0</v>
      </c>
      <c r="X25" s="76">
        <f>VLOOKUP($Q25,[1]MEP!$A$4:$K$300,7)</f>
        <v>0</v>
      </c>
      <c r="Y25" s="76">
        <f>VLOOKUP($Q25,[1]MEP!$A$4:$K$300,8)</f>
        <v>0</v>
      </c>
      <c r="Z25" s="76">
        <f>VLOOKUP($Q25,[1]MEP!$A$4:$K$300,9)</f>
        <v>0</v>
      </c>
      <c r="AA25" s="76">
        <f>VLOOKUP($Q25,[1]MEP!$A$4:$K$300,10)</f>
        <v>0</v>
      </c>
      <c r="AC25" s="76">
        <f>VLOOKUP($Q25,[1]MEP!$A$4:$K$300,11)</f>
        <v>0</v>
      </c>
      <c r="AE25" s="61">
        <f t="shared" si="0"/>
        <v>0</v>
      </c>
      <c r="AF25" s="61">
        <f t="shared" si="1"/>
        <v>0</v>
      </c>
      <c r="AG25" s="61">
        <f t="shared" si="2"/>
        <v>0</v>
      </c>
      <c r="AH25" s="61">
        <f t="shared" si="3"/>
        <v>0</v>
      </c>
      <c r="AI25" s="61">
        <f t="shared" si="4"/>
        <v>0</v>
      </c>
      <c r="AJ25" s="61">
        <f t="shared" si="5"/>
        <v>0</v>
      </c>
      <c r="AK25"/>
      <c r="AL25" s="61">
        <f t="shared" si="6"/>
        <v>0</v>
      </c>
      <c r="BS25" s="140"/>
    </row>
    <row r="26" spans="2:72" ht="15" customHeight="1" x14ac:dyDescent="0.25">
      <c r="B26" s="112"/>
      <c r="C26" s="81"/>
      <c r="D26" s="120"/>
      <c r="E26" s="120"/>
      <c r="F26" s="81"/>
      <c r="G26" s="81"/>
      <c r="H26" s="81"/>
      <c r="I26" s="81"/>
      <c r="J26" s="81"/>
      <c r="K26" s="81"/>
      <c r="L26" s="63"/>
      <c r="M26" s="100"/>
      <c r="P26">
        <v>20</v>
      </c>
      <c r="Q26" s="39"/>
      <c r="R26" s="39"/>
      <c r="S26" s="76" t="e">
        <f>VLOOKUP($Q26,[1]MEP!$A$5:$D$300,3)</f>
        <v>#N/A</v>
      </c>
      <c r="T26" s="76" t="e">
        <f>VLOOKUP($Q26,[1]MEP!$A$5:$D$300,4)</f>
        <v>#N/A</v>
      </c>
      <c r="U26" s="76">
        <f>VLOOKUP($Q26,[1]MEP!$A$4:$K$300,2)</f>
        <v>0</v>
      </c>
      <c r="V26" s="76">
        <f>VLOOKUP($Q26,[1]MEP!$A$4:$K$300,5)</f>
        <v>0</v>
      </c>
      <c r="W26" s="76">
        <f>VLOOKUP($Q26,[1]MEP!$A$4:$K$300,6)</f>
        <v>0</v>
      </c>
      <c r="X26" s="76">
        <f>VLOOKUP($Q26,[1]MEP!$A$4:$K$300,7)</f>
        <v>0</v>
      </c>
      <c r="Y26" s="76">
        <f>VLOOKUP($Q26,[1]MEP!$A$4:$K$300,8)</f>
        <v>0</v>
      </c>
      <c r="Z26" s="76">
        <f>VLOOKUP($Q26,[1]MEP!$A$4:$K$300,9)</f>
        <v>0</v>
      </c>
      <c r="AA26" s="76">
        <f>VLOOKUP($Q26,[1]MEP!$A$4:$K$300,10)</f>
        <v>0</v>
      </c>
      <c r="AC26" s="76">
        <f>VLOOKUP($Q26,[1]MEP!$A$4:$K$300,11)</f>
        <v>0</v>
      </c>
      <c r="AE26" s="61">
        <f t="shared" si="0"/>
        <v>0</v>
      </c>
      <c r="AF26" s="61">
        <f t="shared" si="1"/>
        <v>0</v>
      </c>
      <c r="AG26" s="61">
        <f t="shared" si="2"/>
        <v>0</v>
      </c>
      <c r="AH26" s="61">
        <f t="shared" si="3"/>
        <v>0</v>
      </c>
      <c r="AI26" s="61">
        <f t="shared" si="4"/>
        <v>0</v>
      </c>
      <c r="AJ26" s="61">
        <f t="shared" si="5"/>
        <v>0</v>
      </c>
      <c r="AK26"/>
      <c r="AL26" s="61">
        <f t="shared" si="6"/>
        <v>0</v>
      </c>
      <c r="BS26" s="140"/>
    </row>
    <row r="27" spans="2:72" ht="15" customHeight="1" x14ac:dyDescent="0.25">
      <c r="B27" s="112"/>
      <c r="C27" s="117" t="s">
        <v>92</v>
      </c>
      <c r="D27" s="93">
        <f t="shared" ref="D27:I27" si="23">D24-D25</f>
        <v>0.9154100000000156</v>
      </c>
      <c r="E27" s="93">
        <f t="shared" si="23"/>
        <v>0.61461999999999506</v>
      </c>
      <c r="F27" s="93">
        <f t="shared" si="23"/>
        <v>2.5539360000000002</v>
      </c>
      <c r="G27" s="93">
        <f t="shared" si="23"/>
        <v>6.1366680000000002</v>
      </c>
      <c r="H27" s="93">
        <f t="shared" si="23"/>
        <v>15.488380000000003</v>
      </c>
      <c r="I27" s="93">
        <f t="shared" si="23"/>
        <v>0</v>
      </c>
      <c r="J27" s="63"/>
      <c r="K27" s="93">
        <f>K24-K25</f>
        <v>3.1539180000000044</v>
      </c>
      <c r="L27" s="81"/>
      <c r="M27" s="100"/>
      <c r="O27" s="52"/>
      <c r="P27" s="28"/>
      <c r="Q27" s="63"/>
      <c r="R27" s="63"/>
      <c r="S27" s="63"/>
      <c r="T27" s="63"/>
      <c r="U27" s="52"/>
      <c r="V27" s="63"/>
      <c r="W27" s="63"/>
      <c r="X27" s="63"/>
      <c r="Y27" s="63"/>
      <c r="Z27" s="63"/>
      <c r="AA27" s="63"/>
      <c r="AB27" s="63"/>
      <c r="AC27" s="63"/>
      <c r="AE27" s="75">
        <f>SUM(AE7:AE26)</f>
        <v>42.326832000000003</v>
      </c>
      <c r="AF27" s="75">
        <f t="shared" ref="AF27:AJ27" si="24">SUM(AF7:AF26)</f>
        <v>30.042609999999996</v>
      </c>
      <c r="AG27" s="75">
        <f t="shared" si="24"/>
        <v>24.546672000000001</v>
      </c>
      <c r="AH27" s="75">
        <f t="shared" si="24"/>
        <v>6.1366680000000002</v>
      </c>
      <c r="AI27" s="75">
        <f t="shared" si="24"/>
        <v>30.683340000000001</v>
      </c>
      <c r="AJ27" s="75">
        <f t="shared" si="24"/>
        <v>0</v>
      </c>
      <c r="AK27"/>
      <c r="AL27" s="75">
        <f>SUM(AL7:AL26)</f>
        <v>73.953918000000002</v>
      </c>
      <c r="AQ27" s="32" t="s">
        <v>471</v>
      </c>
      <c r="AR27" s="69">
        <v>1</v>
      </c>
      <c r="AS27" s="61">
        <f>IF(AS$4=1,AS$16,0)</f>
        <v>0</v>
      </c>
      <c r="AT27" s="61">
        <f t="shared" ref="AT27:BP27" si="25">IF(AT$4=1,AT$16,0)</f>
        <v>0</v>
      </c>
      <c r="AU27" s="61">
        <f t="shared" si="25"/>
        <v>0</v>
      </c>
      <c r="AV27" s="61">
        <f t="shared" si="25"/>
        <v>0</v>
      </c>
      <c r="AW27" s="61">
        <f t="shared" si="25"/>
        <v>0</v>
      </c>
      <c r="AX27" s="61">
        <f t="shared" si="25"/>
        <v>0</v>
      </c>
      <c r="AY27" s="61">
        <f t="shared" si="25"/>
        <v>0</v>
      </c>
      <c r="AZ27" s="61">
        <f t="shared" si="25"/>
        <v>0</v>
      </c>
      <c r="BA27" s="61">
        <f t="shared" si="25"/>
        <v>0</v>
      </c>
      <c r="BB27" s="61">
        <f t="shared" si="25"/>
        <v>0</v>
      </c>
      <c r="BC27" s="61">
        <f t="shared" si="25"/>
        <v>0</v>
      </c>
      <c r="BD27" s="61">
        <f t="shared" si="25"/>
        <v>0</v>
      </c>
      <c r="BE27" s="61">
        <f t="shared" si="25"/>
        <v>0</v>
      </c>
      <c r="BF27" s="61">
        <f t="shared" si="25"/>
        <v>0</v>
      </c>
      <c r="BG27" s="61">
        <f t="shared" si="25"/>
        <v>0</v>
      </c>
      <c r="BH27" s="61">
        <f t="shared" si="25"/>
        <v>0</v>
      </c>
      <c r="BI27" s="61">
        <f t="shared" si="25"/>
        <v>0</v>
      </c>
      <c r="BJ27" s="61">
        <f t="shared" si="25"/>
        <v>0</v>
      </c>
      <c r="BK27" s="61">
        <f t="shared" si="25"/>
        <v>0</v>
      </c>
      <c r="BL27" s="61">
        <f t="shared" si="25"/>
        <v>0</v>
      </c>
      <c r="BM27" s="61">
        <f t="shared" si="25"/>
        <v>0</v>
      </c>
      <c r="BN27" s="61">
        <f t="shared" si="25"/>
        <v>0</v>
      </c>
      <c r="BO27" s="61">
        <f t="shared" si="25"/>
        <v>0</v>
      </c>
      <c r="BP27" s="61">
        <f t="shared" si="25"/>
        <v>0</v>
      </c>
      <c r="BR27" s="61">
        <f>SUM(AS27:BP27)</f>
        <v>0</v>
      </c>
      <c r="BS27" s="140"/>
    </row>
    <row r="28" spans="2:72" ht="15" customHeight="1" x14ac:dyDescent="0.25">
      <c r="B28" s="112"/>
      <c r="C28" s="81"/>
      <c r="D28" s="81"/>
      <c r="E28" s="120"/>
      <c r="F28" s="120"/>
      <c r="G28" s="102"/>
      <c r="H28" s="81"/>
      <c r="I28" s="81"/>
      <c r="J28" s="81"/>
      <c r="K28" s="81"/>
      <c r="L28" s="81"/>
      <c r="M28" s="100"/>
      <c r="R28" s="58"/>
      <c r="S28" s="139"/>
      <c r="T28" s="139"/>
      <c r="AA28"/>
      <c r="AC28" s="58"/>
      <c r="AK28"/>
      <c r="AL28"/>
      <c r="AR28" s="70">
        <v>2</v>
      </c>
      <c r="AS28" s="61">
        <f>IF(AS$4=2,AS$16,0)</f>
        <v>0</v>
      </c>
      <c r="AT28" s="61">
        <f t="shared" ref="AT28:BP28" si="26">IF(AT$4=2,AT$16,0)</f>
        <v>0</v>
      </c>
      <c r="AU28" s="61">
        <f t="shared" si="26"/>
        <v>0</v>
      </c>
      <c r="AV28" s="61">
        <f t="shared" si="26"/>
        <v>0</v>
      </c>
      <c r="AW28" s="61">
        <f t="shared" si="26"/>
        <v>0</v>
      </c>
      <c r="AX28" s="61">
        <f t="shared" si="26"/>
        <v>0</v>
      </c>
      <c r="AY28" s="61">
        <f t="shared" si="26"/>
        <v>0</v>
      </c>
      <c r="AZ28" s="61">
        <f t="shared" si="26"/>
        <v>0</v>
      </c>
      <c r="BA28" s="61">
        <f t="shared" si="26"/>
        <v>0</v>
      </c>
      <c r="BB28" s="61">
        <f t="shared" si="26"/>
        <v>0</v>
      </c>
      <c r="BC28" s="61">
        <f t="shared" si="26"/>
        <v>0</v>
      </c>
      <c r="BD28" s="61">
        <f t="shared" si="26"/>
        <v>0</v>
      </c>
      <c r="BE28" s="61">
        <f t="shared" si="26"/>
        <v>0</v>
      </c>
      <c r="BF28" s="61">
        <f t="shared" si="26"/>
        <v>0</v>
      </c>
      <c r="BG28" s="61">
        <f t="shared" si="26"/>
        <v>0</v>
      </c>
      <c r="BH28" s="61">
        <f t="shared" si="26"/>
        <v>0</v>
      </c>
      <c r="BI28" s="61">
        <f t="shared" si="26"/>
        <v>0</v>
      </c>
      <c r="BJ28" s="61">
        <f t="shared" si="26"/>
        <v>0</v>
      </c>
      <c r="BK28" s="61">
        <f t="shared" si="26"/>
        <v>0</v>
      </c>
      <c r="BL28" s="61">
        <f t="shared" si="26"/>
        <v>0</v>
      </c>
      <c r="BM28" s="61">
        <f t="shared" si="26"/>
        <v>0</v>
      </c>
      <c r="BN28" s="61">
        <f t="shared" si="26"/>
        <v>0</v>
      </c>
      <c r="BO28" s="61">
        <f t="shared" si="26"/>
        <v>0</v>
      </c>
      <c r="BP28" s="61">
        <f t="shared" si="26"/>
        <v>0</v>
      </c>
      <c r="BR28" s="61">
        <f t="shared" ref="BR28:BR32" si="27">SUM(AS28:BP28)</f>
        <v>0</v>
      </c>
    </row>
    <row r="29" spans="2:72" ht="15" customHeight="1" thickBot="1" x14ac:dyDescent="0.3">
      <c r="B29" s="150" t="s">
        <v>274</v>
      </c>
      <c r="C29" s="107"/>
      <c r="D29" s="107"/>
      <c r="E29" s="122"/>
      <c r="F29" s="122"/>
      <c r="G29" s="107"/>
      <c r="H29" s="107"/>
      <c r="I29" s="107"/>
      <c r="J29" s="107"/>
      <c r="K29" s="107"/>
      <c r="L29" s="107"/>
      <c r="M29" s="108"/>
      <c r="N29" s="40" t="s">
        <v>270</v>
      </c>
      <c r="O29" s="39"/>
      <c r="P29">
        <v>1</v>
      </c>
      <c r="Q29" s="39"/>
      <c r="R29" s="39"/>
      <c r="S29" s="76" t="e">
        <f>VLOOKUP($Q29,[1]MEP!$A$5:$D$300,3)</f>
        <v>#N/A</v>
      </c>
      <c r="T29" s="76" t="e">
        <f>VLOOKUP($Q29,[1]MEP!$A$5:$D$300,4)</f>
        <v>#N/A</v>
      </c>
      <c r="U29" s="76">
        <f>VLOOKUP($Q29,[1]MEP!$A$4:$K$300,2)</f>
        <v>0</v>
      </c>
      <c r="V29" s="76">
        <f>VLOOKUP($Q29,[1]MEP!$A$4:$K$300,5)</f>
        <v>0</v>
      </c>
      <c r="W29" s="76">
        <f>VLOOKUP($Q29,[1]MEP!$A$4:$K$300,6)</f>
        <v>0</v>
      </c>
      <c r="X29" s="76">
        <f>VLOOKUP($Q29,[1]MEP!$A$4:$K$300,7)</f>
        <v>0</v>
      </c>
      <c r="Y29" s="76">
        <f>VLOOKUP($Q29,[1]MEP!$A$4:$K$300,8)</f>
        <v>0</v>
      </c>
      <c r="Z29" s="76">
        <f>VLOOKUP($Q29,[1]MEP!$A$4:$K$300,9)</f>
        <v>0</v>
      </c>
      <c r="AA29" s="76">
        <f>VLOOKUP($Q29,[1]MEP!$A$4:$K$300,10)</f>
        <v>0</v>
      </c>
      <c r="AC29" s="76">
        <f>VLOOKUP($Q29,[1]MEP!$A$4:$K$300,11)</f>
        <v>0</v>
      </c>
      <c r="AE29" s="61">
        <f t="shared" ref="AE29:AE48" si="28">$R29*V29</f>
        <v>0</v>
      </c>
      <c r="AF29" s="61">
        <f t="shared" ref="AF29:AF48" si="29">$R29*W29</f>
        <v>0</v>
      </c>
      <c r="AG29" s="61">
        <f t="shared" ref="AG29:AG48" si="30">$R29*X29</f>
        <v>0</v>
      </c>
      <c r="AH29" s="61">
        <f t="shared" ref="AH29:AH48" si="31">$R29*Y29</f>
        <v>0</v>
      </c>
      <c r="AI29" s="61">
        <f t="shared" ref="AI29:AI48" si="32">$R29*Z29</f>
        <v>0</v>
      </c>
      <c r="AJ29" s="61">
        <f t="shared" ref="AJ29:AJ48" si="33">$R29*AA29</f>
        <v>0</v>
      </c>
      <c r="AK29"/>
      <c r="AL29" s="61">
        <f t="shared" ref="AL29:AL48" si="34">R29*AC29</f>
        <v>0</v>
      </c>
      <c r="AR29" s="69">
        <v>3</v>
      </c>
      <c r="AS29" s="61">
        <f>IF(AS$4=3,AS$16,0)</f>
        <v>0</v>
      </c>
      <c r="AT29" s="61">
        <f t="shared" ref="AT29:BP29" si="35">IF(AT$4=3,AT$16,0)</f>
        <v>0</v>
      </c>
      <c r="AU29" s="61">
        <f t="shared" si="35"/>
        <v>0</v>
      </c>
      <c r="AV29" s="61">
        <f t="shared" si="35"/>
        <v>0</v>
      </c>
      <c r="AW29" s="61">
        <f t="shared" si="35"/>
        <v>0</v>
      </c>
      <c r="AX29" s="61">
        <f t="shared" si="35"/>
        <v>0</v>
      </c>
      <c r="AY29" s="61">
        <f t="shared" si="35"/>
        <v>0</v>
      </c>
      <c r="AZ29" s="61">
        <f t="shared" si="35"/>
        <v>0</v>
      </c>
      <c r="BA29" s="61">
        <f t="shared" si="35"/>
        <v>0</v>
      </c>
      <c r="BB29" s="61">
        <f t="shared" si="35"/>
        <v>0</v>
      </c>
      <c r="BC29" s="61">
        <f t="shared" si="35"/>
        <v>0</v>
      </c>
      <c r="BD29" s="61">
        <f t="shared" si="35"/>
        <v>0</v>
      </c>
      <c r="BE29" s="61">
        <f t="shared" si="35"/>
        <v>0</v>
      </c>
      <c r="BF29" s="61">
        <f t="shared" si="35"/>
        <v>0</v>
      </c>
      <c r="BG29" s="61">
        <f t="shared" si="35"/>
        <v>0</v>
      </c>
      <c r="BH29" s="61">
        <f t="shared" si="35"/>
        <v>0</v>
      </c>
      <c r="BI29" s="61">
        <f t="shared" si="35"/>
        <v>0</v>
      </c>
      <c r="BJ29" s="61">
        <f t="shared" si="35"/>
        <v>0</v>
      </c>
      <c r="BK29" s="61">
        <f t="shared" si="35"/>
        <v>0</v>
      </c>
      <c r="BL29" s="61">
        <f t="shared" si="35"/>
        <v>0</v>
      </c>
      <c r="BM29" s="61">
        <f t="shared" si="35"/>
        <v>0</v>
      </c>
      <c r="BN29" s="61">
        <f t="shared" si="35"/>
        <v>0</v>
      </c>
      <c r="BO29" s="61">
        <f t="shared" si="35"/>
        <v>0</v>
      </c>
      <c r="BP29" s="61">
        <f t="shared" si="35"/>
        <v>0</v>
      </c>
      <c r="BR29" s="61">
        <f t="shared" si="27"/>
        <v>0</v>
      </c>
    </row>
    <row r="30" spans="2:72" ht="15" customHeight="1" x14ac:dyDescent="0.25">
      <c r="N30" s="17" t="s">
        <v>89</v>
      </c>
      <c r="O30" s="42">
        <f>SUM(R29:R48)</f>
        <v>0</v>
      </c>
      <c r="P30">
        <v>2</v>
      </c>
      <c r="Q30" s="39"/>
      <c r="R30" s="39"/>
      <c r="S30" s="76" t="e">
        <f>VLOOKUP($Q30,[1]MEP!$A$5:$D$300,3)</f>
        <v>#N/A</v>
      </c>
      <c r="T30" s="76" t="e">
        <f>VLOOKUP($Q30,[1]MEP!$A$5:$D$300,4)</f>
        <v>#N/A</v>
      </c>
      <c r="U30" s="76">
        <f>VLOOKUP($Q30,[1]MEP!$A$4:$K$300,2)</f>
        <v>0</v>
      </c>
      <c r="V30" s="76">
        <f>VLOOKUP($Q30,[1]MEP!$A$4:$K$300,5)</f>
        <v>0</v>
      </c>
      <c r="W30" s="76">
        <f>VLOOKUP($Q30,[1]MEP!$A$4:$K$300,6)</f>
        <v>0</v>
      </c>
      <c r="X30" s="76">
        <f>VLOOKUP($Q30,[1]MEP!$A$4:$K$300,7)</f>
        <v>0</v>
      </c>
      <c r="Y30" s="76">
        <f>VLOOKUP($Q30,[1]MEP!$A$4:$K$300,8)</f>
        <v>0</v>
      </c>
      <c r="Z30" s="76">
        <f>VLOOKUP($Q30,[1]MEP!$A$4:$K$300,9)</f>
        <v>0</v>
      </c>
      <c r="AA30" s="76">
        <f>VLOOKUP($Q30,[1]MEP!$A$4:$K$300,10)</f>
        <v>0</v>
      </c>
      <c r="AC30" s="76">
        <f>VLOOKUP($Q30,[1]MEP!$A$4:$K$300,11)</f>
        <v>0</v>
      </c>
      <c r="AE30" s="61">
        <f t="shared" si="28"/>
        <v>0</v>
      </c>
      <c r="AF30" s="61">
        <f t="shared" si="29"/>
        <v>0</v>
      </c>
      <c r="AG30" s="61">
        <f t="shared" si="30"/>
        <v>0</v>
      </c>
      <c r="AH30" s="61">
        <f t="shared" si="31"/>
        <v>0</v>
      </c>
      <c r="AI30" s="61">
        <f t="shared" si="32"/>
        <v>0</v>
      </c>
      <c r="AJ30" s="61">
        <f t="shared" si="33"/>
        <v>0</v>
      </c>
      <c r="AK30"/>
      <c r="AL30" s="61">
        <f t="shared" si="34"/>
        <v>0</v>
      </c>
      <c r="AR30" s="70">
        <v>4</v>
      </c>
      <c r="AS30" s="61">
        <f>IF(AS$4=4,AS$16,0)</f>
        <v>0</v>
      </c>
      <c r="AT30" s="61">
        <f t="shared" ref="AT30:BP30" si="36">IF(AT$4=4,AT$16,0)</f>
        <v>0</v>
      </c>
      <c r="AU30" s="61">
        <f t="shared" si="36"/>
        <v>0</v>
      </c>
      <c r="AV30" s="61">
        <f t="shared" si="36"/>
        <v>0</v>
      </c>
      <c r="AW30" s="61">
        <f t="shared" si="36"/>
        <v>0</v>
      </c>
      <c r="AX30" s="61">
        <f t="shared" si="36"/>
        <v>0</v>
      </c>
      <c r="AY30" s="61">
        <f t="shared" si="36"/>
        <v>0</v>
      </c>
      <c r="AZ30" s="61">
        <f t="shared" si="36"/>
        <v>0</v>
      </c>
      <c r="BA30" s="61">
        <f t="shared" si="36"/>
        <v>0</v>
      </c>
      <c r="BB30" s="61">
        <f t="shared" si="36"/>
        <v>0</v>
      </c>
      <c r="BC30" s="61">
        <f t="shared" si="36"/>
        <v>0</v>
      </c>
      <c r="BD30" s="61">
        <f t="shared" si="36"/>
        <v>0</v>
      </c>
      <c r="BE30" s="61">
        <f t="shared" si="36"/>
        <v>0</v>
      </c>
      <c r="BF30" s="61">
        <f t="shared" si="36"/>
        <v>0</v>
      </c>
      <c r="BG30" s="61">
        <f t="shared" si="36"/>
        <v>0</v>
      </c>
      <c r="BH30" s="61">
        <f t="shared" si="36"/>
        <v>0</v>
      </c>
      <c r="BI30" s="61">
        <f t="shared" si="36"/>
        <v>0</v>
      </c>
      <c r="BJ30" s="61">
        <f t="shared" si="36"/>
        <v>0</v>
      </c>
      <c r="BK30" s="61">
        <f t="shared" si="36"/>
        <v>0</v>
      </c>
      <c r="BL30" s="61">
        <f t="shared" si="36"/>
        <v>0</v>
      </c>
      <c r="BM30" s="61">
        <f t="shared" si="36"/>
        <v>0</v>
      </c>
      <c r="BN30" s="61">
        <f t="shared" si="36"/>
        <v>0</v>
      </c>
      <c r="BO30" s="61">
        <f t="shared" si="36"/>
        <v>0</v>
      </c>
      <c r="BP30" s="61">
        <f t="shared" si="36"/>
        <v>0</v>
      </c>
      <c r="BR30" s="61">
        <f t="shared" si="27"/>
        <v>0</v>
      </c>
    </row>
    <row r="31" spans="2:72" ht="15" customHeight="1" x14ac:dyDescent="0.25">
      <c r="D31" s="43" t="s">
        <v>311</v>
      </c>
      <c r="P31">
        <v>3</v>
      </c>
      <c r="Q31" s="39"/>
      <c r="R31" s="39"/>
      <c r="S31" s="76" t="e">
        <f>VLOOKUP($Q31,[1]MEP!$A$5:$D$300,3)</f>
        <v>#N/A</v>
      </c>
      <c r="T31" s="76" t="e">
        <f>VLOOKUP($Q31,[1]MEP!$A$5:$D$300,4)</f>
        <v>#N/A</v>
      </c>
      <c r="U31" s="76">
        <f>VLOOKUP($Q31,[1]MEP!$A$4:$K$300,2)</f>
        <v>0</v>
      </c>
      <c r="V31" s="76">
        <f>VLOOKUP($Q31,[1]MEP!$A$4:$K$300,5)</f>
        <v>0</v>
      </c>
      <c r="W31" s="76">
        <f>VLOOKUP($Q31,[1]MEP!$A$4:$K$300,6)</f>
        <v>0</v>
      </c>
      <c r="X31" s="76">
        <f>VLOOKUP($Q31,[1]MEP!$A$4:$K$300,7)</f>
        <v>0</v>
      </c>
      <c r="Y31" s="76">
        <f>VLOOKUP($Q31,[1]MEP!$A$4:$K$300,8)</f>
        <v>0</v>
      </c>
      <c r="Z31" s="76">
        <f>VLOOKUP($Q31,[1]MEP!$A$4:$K$300,9)</f>
        <v>0</v>
      </c>
      <c r="AA31" s="76">
        <f>VLOOKUP($Q31,[1]MEP!$A$4:$K$300,10)</f>
        <v>0</v>
      </c>
      <c r="AC31" s="76">
        <f>VLOOKUP($Q31,[1]MEP!$A$4:$K$300,11)</f>
        <v>0</v>
      </c>
      <c r="AE31" s="61">
        <f t="shared" si="28"/>
        <v>0</v>
      </c>
      <c r="AF31" s="61">
        <f t="shared" si="29"/>
        <v>0</v>
      </c>
      <c r="AG31" s="61">
        <f t="shared" si="30"/>
        <v>0</v>
      </c>
      <c r="AH31" s="61">
        <f t="shared" si="31"/>
        <v>0</v>
      </c>
      <c r="AI31" s="61">
        <f t="shared" si="32"/>
        <v>0</v>
      </c>
      <c r="AJ31" s="61">
        <f t="shared" si="33"/>
        <v>0</v>
      </c>
      <c r="AK31"/>
      <c r="AL31" s="61">
        <f t="shared" si="34"/>
        <v>0</v>
      </c>
      <c r="AR31" s="69">
        <v>5</v>
      </c>
      <c r="AS31" s="61">
        <f>IF(AS$4=5,AS$16,0)</f>
        <v>0</v>
      </c>
      <c r="AT31" s="61">
        <f t="shared" ref="AT31:BP31" si="37">IF(AT$4=5,AT$16,0)</f>
        <v>0</v>
      </c>
      <c r="AU31" s="61">
        <f t="shared" si="37"/>
        <v>0</v>
      </c>
      <c r="AV31" s="61">
        <f t="shared" si="37"/>
        <v>0</v>
      </c>
      <c r="AW31" s="61">
        <f t="shared" si="37"/>
        <v>0</v>
      </c>
      <c r="AX31" s="61">
        <f t="shared" si="37"/>
        <v>0</v>
      </c>
      <c r="AY31" s="61">
        <f t="shared" si="37"/>
        <v>0</v>
      </c>
      <c r="AZ31" s="61">
        <f t="shared" si="37"/>
        <v>0</v>
      </c>
      <c r="BA31" s="61">
        <f t="shared" si="37"/>
        <v>0</v>
      </c>
      <c r="BB31" s="61">
        <f t="shared" si="37"/>
        <v>0</v>
      </c>
      <c r="BC31" s="61">
        <f t="shared" si="37"/>
        <v>0</v>
      </c>
      <c r="BD31" s="61">
        <f t="shared" si="37"/>
        <v>0</v>
      </c>
      <c r="BE31" s="61">
        <f t="shared" si="37"/>
        <v>0</v>
      </c>
      <c r="BF31" s="61">
        <f t="shared" si="37"/>
        <v>0</v>
      </c>
      <c r="BG31" s="61">
        <f t="shared" si="37"/>
        <v>0</v>
      </c>
      <c r="BH31" s="61">
        <f t="shared" si="37"/>
        <v>0</v>
      </c>
      <c r="BI31" s="61">
        <f t="shared" si="37"/>
        <v>0</v>
      </c>
      <c r="BJ31" s="61">
        <f t="shared" si="37"/>
        <v>0</v>
      </c>
      <c r="BK31" s="61">
        <f t="shared" si="37"/>
        <v>0</v>
      </c>
      <c r="BL31" s="61">
        <f t="shared" si="37"/>
        <v>0</v>
      </c>
      <c r="BM31" s="61">
        <f t="shared" si="37"/>
        <v>0</v>
      </c>
      <c r="BN31" s="61">
        <f t="shared" si="37"/>
        <v>0</v>
      </c>
      <c r="BO31" s="61">
        <f t="shared" si="37"/>
        <v>0</v>
      </c>
      <c r="BP31" s="61">
        <f t="shared" si="37"/>
        <v>0</v>
      </c>
      <c r="BR31" s="61">
        <f t="shared" si="27"/>
        <v>0</v>
      </c>
    </row>
    <row r="32" spans="2:72" x14ac:dyDescent="0.25">
      <c r="D32" s="68" t="s">
        <v>268</v>
      </c>
      <c r="E32" s="68" t="s">
        <v>18</v>
      </c>
      <c r="F32" s="305" t="s">
        <v>276</v>
      </c>
      <c r="G32" s="305"/>
      <c r="H32" s="82"/>
      <c r="I32" s="68" t="s">
        <v>280</v>
      </c>
      <c r="J32" s="82" t="s">
        <v>280</v>
      </c>
      <c r="K32" s="305" t="s">
        <v>278</v>
      </c>
      <c r="L32" s="305"/>
      <c r="M32" s="82"/>
      <c r="P32">
        <v>4</v>
      </c>
      <c r="Q32" s="39"/>
      <c r="R32" s="39"/>
      <c r="S32" s="76" t="e">
        <f>VLOOKUP($Q32,[1]MEP!$A$5:$D$300,3)</f>
        <v>#N/A</v>
      </c>
      <c r="T32" s="76" t="e">
        <f>VLOOKUP($Q32,[1]MEP!$A$5:$D$300,4)</f>
        <v>#N/A</v>
      </c>
      <c r="U32" s="76">
        <f>VLOOKUP($Q32,[1]MEP!$A$4:$K$300,2)</f>
        <v>0</v>
      </c>
      <c r="V32" s="76">
        <f>VLOOKUP($Q32,[1]MEP!$A$4:$K$300,5)</f>
        <v>0</v>
      </c>
      <c r="W32" s="76">
        <f>VLOOKUP($Q32,[1]MEP!$A$4:$K$300,6)</f>
        <v>0</v>
      </c>
      <c r="X32" s="76">
        <f>VLOOKUP($Q32,[1]MEP!$A$4:$K$300,7)</f>
        <v>0</v>
      </c>
      <c r="Y32" s="76">
        <f>VLOOKUP($Q32,[1]MEP!$A$4:$K$300,8)</f>
        <v>0</v>
      </c>
      <c r="Z32" s="76">
        <f>VLOOKUP($Q32,[1]MEP!$A$4:$K$300,9)</f>
        <v>0</v>
      </c>
      <c r="AA32" s="76">
        <f>VLOOKUP($Q32,[1]MEP!$A$4:$K$300,10)</f>
        <v>0</v>
      </c>
      <c r="AC32" s="76">
        <f>VLOOKUP($Q32,[1]MEP!$A$4:$K$300,11)</f>
        <v>0</v>
      </c>
      <c r="AE32" s="61">
        <f t="shared" si="28"/>
        <v>0</v>
      </c>
      <c r="AF32" s="61">
        <f t="shared" si="29"/>
        <v>0</v>
      </c>
      <c r="AG32" s="61">
        <f t="shared" si="30"/>
        <v>0</v>
      </c>
      <c r="AH32" s="61">
        <f t="shared" si="31"/>
        <v>0</v>
      </c>
      <c r="AI32" s="61">
        <f t="shared" si="32"/>
        <v>0</v>
      </c>
      <c r="AJ32" s="61">
        <f t="shared" si="33"/>
        <v>0</v>
      </c>
      <c r="AK32"/>
      <c r="AL32" s="61">
        <f t="shared" si="34"/>
        <v>0</v>
      </c>
      <c r="AM32" s="32"/>
      <c r="AR32" s="69">
        <v>6</v>
      </c>
      <c r="AS32" s="61">
        <f>IF(AS$4=6,AS$16,0)</f>
        <v>0</v>
      </c>
      <c r="AT32" s="61">
        <f t="shared" ref="AT32:BP32" si="38">IF(AT$4=6,AT$16,0)</f>
        <v>0</v>
      </c>
      <c r="AU32" s="61">
        <f t="shared" si="38"/>
        <v>0</v>
      </c>
      <c r="AV32" s="61">
        <f t="shared" si="38"/>
        <v>0</v>
      </c>
      <c r="AW32" s="61">
        <f t="shared" si="38"/>
        <v>0</v>
      </c>
      <c r="AX32" s="61">
        <f t="shared" si="38"/>
        <v>0</v>
      </c>
      <c r="AY32" s="61">
        <f t="shared" si="38"/>
        <v>0</v>
      </c>
      <c r="AZ32" s="61">
        <f t="shared" si="38"/>
        <v>0</v>
      </c>
      <c r="BA32" s="61">
        <f t="shared" si="38"/>
        <v>0</v>
      </c>
      <c r="BB32" s="61">
        <f t="shared" si="38"/>
        <v>0</v>
      </c>
      <c r="BC32" s="61">
        <f t="shared" si="38"/>
        <v>0</v>
      </c>
      <c r="BD32" s="61">
        <f t="shared" si="38"/>
        <v>0</v>
      </c>
      <c r="BE32" s="61">
        <f t="shared" si="38"/>
        <v>0</v>
      </c>
      <c r="BF32" s="61">
        <f t="shared" si="38"/>
        <v>0</v>
      </c>
      <c r="BG32" s="61">
        <f t="shared" si="38"/>
        <v>0</v>
      </c>
      <c r="BH32" s="61">
        <f t="shared" si="38"/>
        <v>0</v>
      </c>
      <c r="BI32" s="61">
        <f t="shared" si="38"/>
        <v>0</v>
      </c>
      <c r="BJ32" s="61">
        <f t="shared" si="38"/>
        <v>0</v>
      </c>
      <c r="BK32" s="61">
        <f t="shared" si="38"/>
        <v>0</v>
      </c>
      <c r="BL32" s="61">
        <f t="shared" si="38"/>
        <v>0</v>
      </c>
      <c r="BM32" s="61">
        <f t="shared" si="38"/>
        <v>0</v>
      </c>
      <c r="BN32" s="61">
        <f t="shared" si="38"/>
        <v>0</v>
      </c>
      <c r="BO32" s="61">
        <f t="shared" si="38"/>
        <v>0</v>
      </c>
      <c r="BP32" s="61">
        <f t="shared" si="38"/>
        <v>0</v>
      </c>
      <c r="BR32" s="61">
        <f t="shared" si="27"/>
        <v>0</v>
      </c>
      <c r="BS32"/>
      <c r="BT32" s="82"/>
    </row>
    <row r="33" spans="2:73" x14ac:dyDescent="0.25">
      <c r="B33" s="68" t="s">
        <v>17</v>
      </c>
      <c r="D33" s="68" t="s">
        <v>275</v>
      </c>
      <c r="E33" s="68" t="s">
        <v>88</v>
      </c>
      <c r="F33" s="58" t="s">
        <v>277</v>
      </c>
      <c r="G33" s="68" t="s">
        <v>36</v>
      </c>
      <c r="H33" s="82" t="s">
        <v>301</v>
      </c>
      <c r="I33" s="68" t="s">
        <v>279</v>
      </c>
      <c r="J33" s="82" t="s">
        <v>279</v>
      </c>
      <c r="K33" s="58" t="s">
        <v>277</v>
      </c>
      <c r="L33" s="68" t="s">
        <v>36</v>
      </c>
      <c r="M33" s="82" t="s">
        <v>300</v>
      </c>
      <c r="P33">
        <v>5</v>
      </c>
      <c r="Q33" s="39"/>
      <c r="R33" s="39"/>
      <c r="S33" s="76" t="e">
        <f>VLOOKUP($Q33,[1]MEP!$A$5:$D$300,3)</f>
        <v>#N/A</v>
      </c>
      <c r="T33" s="76" t="e">
        <f>VLOOKUP($Q33,[1]MEP!$A$5:$D$300,4)</f>
        <v>#N/A</v>
      </c>
      <c r="U33" s="76">
        <f>VLOOKUP($Q33,[1]MEP!$A$4:$K$300,2)</f>
        <v>0</v>
      </c>
      <c r="V33" s="76">
        <f>VLOOKUP($Q33,[1]MEP!$A$4:$K$300,5)</f>
        <v>0</v>
      </c>
      <c r="W33" s="76">
        <f>VLOOKUP($Q33,[1]MEP!$A$4:$K$300,6)</f>
        <v>0</v>
      </c>
      <c r="X33" s="76">
        <f>VLOOKUP($Q33,[1]MEP!$A$4:$K$300,7)</f>
        <v>0</v>
      </c>
      <c r="Y33" s="76">
        <f>VLOOKUP($Q33,[1]MEP!$A$4:$K$300,8)</f>
        <v>0</v>
      </c>
      <c r="Z33" s="76">
        <f>VLOOKUP($Q33,[1]MEP!$A$4:$K$300,9)</f>
        <v>0</v>
      </c>
      <c r="AA33" s="76">
        <f>VLOOKUP($Q33,[1]MEP!$A$4:$K$300,10)</f>
        <v>0</v>
      </c>
      <c r="AC33" s="76">
        <f>VLOOKUP($Q33,[1]MEP!$A$4:$K$300,11)</f>
        <v>0</v>
      </c>
      <c r="AE33" s="61">
        <f t="shared" si="28"/>
        <v>0</v>
      </c>
      <c r="AF33" s="61">
        <f t="shared" si="29"/>
        <v>0</v>
      </c>
      <c r="AG33" s="61">
        <f t="shared" si="30"/>
        <v>0</v>
      </c>
      <c r="AH33" s="61">
        <f t="shared" si="31"/>
        <v>0</v>
      </c>
      <c r="AI33" s="61">
        <f t="shared" si="32"/>
        <v>0</v>
      </c>
      <c r="AJ33" s="61">
        <f t="shared" si="33"/>
        <v>0</v>
      </c>
      <c r="AK33"/>
      <c r="AL33" s="61">
        <f t="shared" si="34"/>
        <v>0</v>
      </c>
      <c r="AM33" s="32"/>
      <c r="AT33" s="5"/>
      <c r="BS33"/>
      <c r="BT33" s="82"/>
    </row>
    <row r="34" spans="2:73" x14ac:dyDescent="0.25">
      <c r="B34" s="76" t="str">
        <f>VLOOKUP($D34,[1]Cult!$A$5:$F$61,2)</f>
        <v xml:space="preserve">maïs ensil zone 1 </v>
      </c>
      <c r="D34" s="39">
        <v>6</v>
      </c>
      <c r="E34" s="39">
        <v>2.7</v>
      </c>
      <c r="F34" s="76">
        <f>VLOOKUP($D34,[1]Cult!$A$5:$F$61,3)</f>
        <v>0</v>
      </c>
      <c r="G34" s="76">
        <f>VLOOKUP($D34,[1]Cult!$A$5:$F$61,4)</f>
        <v>0</v>
      </c>
      <c r="H34" s="76">
        <f>VLOOKUP($D34,[1]Cult!$A$5:$F$61,5)</f>
        <v>13</v>
      </c>
      <c r="I34" s="76" t="str">
        <f>VLOOKUP($D34,[1]Cult!$A$5:$F$61,6)</f>
        <v>0 -pas d'utilisation comme concentrés</v>
      </c>
      <c r="J34" s="76">
        <f>VALUE(LEFT(I34,2))</f>
        <v>0</v>
      </c>
      <c r="K34" s="61">
        <f t="shared" ref="K34:K43" si="39">E34*F34</f>
        <v>0</v>
      </c>
      <c r="L34" s="61">
        <f t="shared" ref="L34:L43" si="40">E34*G34</f>
        <v>0</v>
      </c>
      <c r="M34" s="61">
        <f t="shared" ref="M34:M43" si="41">E34*H34</f>
        <v>35.1</v>
      </c>
      <c r="P34">
        <v>6</v>
      </c>
      <c r="Q34" s="39"/>
      <c r="R34" s="39"/>
      <c r="S34" s="76" t="e">
        <f>VLOOKUP($Q34,[1]MEP!$A$5:$D$300,3)</f>
        <v>#N/A</v>
      </c>
      <c r="T34" s="76" t="e">
        <f>VLOOKUP($Q34,[1]MEP!$A$5:$D$300,4)</f>
        <v>#N/A</v>
      </c>
      <c r="U34" s="76">
        <f>VLOOKUP($Q34,[1]MEP!$A$4:$K$300,2)</f>
        <v>0</v>
      </c>
      <c r="V34" s="76">
        <f>VLOOKUP($Q34,[1]MEP!$A$4:$K$300,5)</f>
        <v>0</v>
      </c>
      <c r="W34" s="76">
        <f>VLOOKUP($Q34,[1]MEP!$A$4:$K$300,6)</f>
        <v>0</v>
      </c>
      <c r="X34" s="76">
        <f>VLOOKUP($Q34,[1]MEP!$A$4:$K$300,7)</f>
        <v>0</v>
      </c>
      <c r="Y34" s="76">
        <f>VLOOKUP($Q34,[1]MEP!$A$4:$K$300,8)</f>
        <v>0</v>
      </c>
      <c r="Z34" s="76">
        <f>VLOOKUP($Q34,[1]MEP!$A$4:$K$300,9)</f>
        <v>0</v>
      </c>
      <c r="AA34" s="76">
        <f>VLOOKUP($Q34,[1]MEP!$A$4:$K$300,10)</f>
        <v>0</v>
      </c>
      <c r="AC34" s="76">
        <f>VLOOKUP($Q34,[1]MEP!$A$4:$K$300,11)</f>
        <v>0</v>
      </c>
      <c r="AE34" s="61">
        <f t="shared" si="28"/>
        <v>0</v>
      </c>
      <c r="AF34" s="61">
        <f t="shared" si="29"/>
        <v>0</v>
      </c>
      <c r="AG34" s="61">
        <f t="shared" si="30"/>
        <v>0</v>
      </c>
      <c r="AH34" s="61">
        <f t="shared" si="31"/>
        <v>0</v>
      </c>
      <c r="AI34" s="61">
        <f t="shared" si="32"/>
        <v>0</v>
      </c>
      <c r="AJ34" s="61">
        <f t="shared" si="33"/>
        <v>0</v>
      </c>
      <c r="AK34"/>
      <c r="AL34" s="61">
        <f t="shared" si="34"/>
        <v>0</v>
      </c>
      <c r="AM34" s="32"/>
      <c r="AT34" s="5"/>
      <c r="BS34"/>
      <c r="BT34" s="82"/>
    </row>
    <row r="35" spans="2:73" x14ac:dyDescent="0.25">
      <c r="B35" s="76">
        <f>VLOOKUP($D35,[1]Cult!$A$5:$F$61,2)</f>
        <v>0</v>
      </c>
      <c r="D35" s="39"/>
      <c r="E35" s="39">
        <v>0</v>
      </c>
      <c r="F35" s="76">
        <f>VLOOKUP($D35,[1]Cult!$A$5:$F$61,3)</f>
        <v>0</v>
      </c>
      <c r="G35" s="76">
        <f>VLOOKUP($D35,[1]Cult!$A$5:$F$61,4)</f>
        <v>0</v>
      </c>
      <c r="H35" s="76">
        <f>VLOOKUP($D35,[1]Cult!$A$5:$F$61,5)</f>
        <v>0</v>
      </c>
      <c r="I35" s="76" t="str">
        <f>VLOOKUP($D35,[1]Cult!$A$5:$F$61,6)</f>
        <v>0 -pas d'utilisation comme concentrés</v>
      </c>
      <c r="J35" s="76">
        <f t="shared" ref="J35:J43" si="42">VALUE(LEFT(I35,2))</f>
        <v>0</v>
      </c>
      <c r="K35" s="61">
        <f t="shared" si="39"/>
        <v>0</v>
      </c>
      <c r="L35" s="61">
        <f t="shared" si="40"/>
        <v>0</v>
      </c>
      <c r="M35" s="61">
        <f t="shared" si="41"/>
        <v>0</v>
      </c>
      <c r="P35">
        <v>7</v>
      </c>
      <c r="Q35" s="39"/>
      <c r="R35" s="39"/>
      <c r="S35" s="76" t="e">
        <f>VLOOKUP($Q35,[1]MEP!$A$5:$D$300,3)</f>
        <v>#N/A</v>
      </c>
      <c r="T35" s="76" t="e">
        <f>VLOOKUP($Q35,[1]MEP!$A$5:$D$300,4)</f>
        <v>#N/A</v>
      </c>
      <c r="U35" s="76">
        <f>VLOOKUP($Q35,[1]MEP!$A$4:$K$300,2)</f>
        <v>0</v>
      </c>
      <c r="V35" s="76">
        <f>VLOOKUP($Q35,[1]MEP!$A$4:$K$300,5)</f>
        <v>0</v>
      </c>
      <c r="W35" s="76">
        <f>VLOOKUP($Q35,[1]MEP!$A$4:$K$300,6)</f>
        <v>0</v>
      </c>
      <c r="X35" s="76">
        <f>VLOOKUP($Q35,[1]MEP!$A$4:$K$300,7)</f>
        <v>0</v>
      </c>
      <c r="Y35" s="76">
        <f>VLOOKUP($Q35,[1]MEP!$A$4:$K$300,8)</f>
        <v>0</v>
      </c>
      <c r="Z35" s="76">
        <f>VLOOKUP($Q35,[1]MEP!$A$4:$K$300,9)</f>
        <v>0</v>
      </c>
      <c r="AA35" s="76">
        <f>VLOOKUP($Q35,[1]MEP!$A$4:$K$300,10)</f>
        <v>0</v>
      </c>
      <c r="AC35" s="76">
        <f>VLOOKUP($Q35,[1]MEP!$A$4:$K$300,11)</f>
        <v>0</v>
      </c>
      <c r="AE35" s="61">
        <f t="shared" si="28"/>
        <v>0</v>
      </c>
      <c r="AF35" s="61">
        <f t="shared" si="29"/>
        <v>0</v>
      </c>
      <c r="AG35" s="61">
        <f t="shared" si="30"/>
        <v>0</v>
      </c>
      <c r="AH35" s="61">
        <f t="shared" si="31"/>
        <v>0</v>
      </c>
      <c r="AI35" s="61">
        <f t="shared" si="32"/>
        <v>0</v>
      </c>
      <c r="AJ35" s="61">
        <f t="shared" si="33"/>
        <v>0</v>
      </c>
      <c r="AK35"/>
      <c r="AL35" s="61">
        <f t="shared" si="34"/>
        <v>0</v>
      </c>
      <c r="AN35" s="37"/>
      <c r="AO35" s="37"/>
      <c r="AP35" s="37"/>
      <c r="AQ35" s="32" t="s">
        <v>472</v>
      </c>
      <c r="AR35" s="69">
        <v>1</v>
      </c>
      <c r="AS35" s="61">
        <f>IF(AS$4=1,AS$17,0)</f>
        <v>0</v>
      </c>
      <c r="AT35" s="61">
        <f t="shared" ref="AT35:BP35" si="43">IF(AT$4=1,AT$17,0)</f>
        <v>0</v>
      </c>
      <c r="AU35" s="61">
        <f t="shared" si="43"/>
        <v>0</v>
      </c>
      <c r="AV35" s="61">
        <f t="shared" si="43"/>
        <v>0</v>
      </c>
      <c r="AW35" s="61">
        <f t="shared" si="43"/>
        <v>0</v>
      </c>
      <c r="AX35" s="61">
        <f t="shared" si="43"/>
        <v>0</v>
      </c>
      <c r="AY35" s="61">
        <f t="shared" si="43"/>
        <v>0</v>
      </c>
      <c r="AZ35" s="61">
        <f t="shared" si="43"/>
        <v>0</v>
      </c>
      <c r="BA35" s="61">
        <f t="shared" si="43"/>
        <v>0</v>
      </c>
      <c r="BB35" s="61">
        <f t="shared" si="43"/>
        <v>0</v>
      </c>
      <c r="BC35" s="61">
        <f t="shared" si="43"/>
        <v>0</v>
      </c>
      <c r="BD35" s="61">
        <f t="shared" si="43"/>
        <v>0</v>
      </c>
      <c r="BE35" s="61">
        <f t="shared" si="43"/>
        <v>0</v>
      </c>
      <c r="BF35" s="61">
        <f t="shared" si="43"/>
        <v>0</v>
      </c>
      <c r="BG35" s="61">
        <f t="shared" si="43"/>
        <v>0</v>
      </c>
      <c r="BH35" s="61">
        <f t="shared" si="43"/>
        <v>0</v>
      </c>
      <c r="BI35" s="61">
        <f t="shared" si="43"/>
        <v>0</v>
      </c>
      <c r="BJ35" s="61">
        <f t="shared" si="43"/>
        <v>0</v>
      </c>
      <c r="BK35" s="61">
        <f t="shared" si="43"/>
        <v>0</v>
      </c>
      <c r="BL35" s="61">
        <f t="shared" si="43"/>
        <v>0</v>
      </c>
      <c r="BM35" s="61">
        <f t="shared" si="43"/>
        <v>0</v>
      </c>
      <c r="BN35" s="61">
        <f t="shared" si="43"/>
        <v>0</v>
      </c>
      <c r="BO35" s="61">
        <f t="shared" si="43"/>
        <v>0</v>
      </c>
      <c r="BP35" s="61">
        <f t="shared" si="43"/>
        <v>0</v>
      </c>
      <c r="BR35" s="61">
        <f>SUM(AS35:BP35)</f>
        <v>0</v>
      </c>
      <c r="BS35"/>
    </row>
    <row r="36" spans="2:73" x14ac:dyDescent="0.25">
      <c r="B36" s="76">
        <f>VLOOKUP($D36,[1]Cult!$A$5:$F$61,2)</f>
        <v>0</v>
      </c>
      <c r="D36" s="39"/>
      <c r="E36" s="39"/>
      <c r="F36" s="76">
        <f>VLOOKUP($D36,[1]Cult!$A$5:$F$61,3)</f>
        <v>0</v>
      </c>
      <c r="G36" s="76">
        <f>VLOOKUP($D36,[1]Cult!$A$5:$F$61,4)</f>
        <v>0</v>
      </c>
      <c r="H36" s="76">
        <f>VLOOKUP($D36,[1]Cult!$A$5:$F$61,5)</f>
        <v>0</v>
      </c>
      <c r="I36" s="76" t="str">
        <f>VLOOKUP($D36,[1]Cult!$A$5:$F$61,6)</f>
        <v>0 -pas d'utilisation comme concentrés</v>
      </c>
      <c r="J36" s="76">
        <f t="shared" si="42"/>
        <v>0</v>
      </c>
      <c r="K36" s="61">
        <f t="shared" si="39"/>
        <v>0</v>
      </c>
      <c r="L36" s="61">
        <f t="shared" si="40"/>
        <v>0</v>
      </c>
      <c r="M36" s="61">
        <f t="shared" si="41"/>
        <v>0</v>
      </c>
      <c r="P36">
        <v>8</v>
      </c>
      <c r="Q36" s="39"/>
      <c r="R36" s="39"/>
      <c r="S36" s="76" t="e">
        <f>VLOOKUP($Q36,[1]MEP!$A$5:$D$300,3)</f>
        <v>#N/A</v>
      </c>
      <c r="T36" s="76" t="e">
        <f>VLOOKUP($Q36,[1]MEP!$A$5:$D$300,4)</f>
        <v>#N/A</v>
      </c>
      <c r="U36" s="76">
        <f>VLOOKUP($Q36,[1]MEP!$A$4:$K$300,2)</f>
        <v>0</v>
      </c>
      <c r="V36" s="76">
        <f>VLOOKUP($Q36,[1]MEP!$A$4:$K$300,5)</f>
        <v>0</v>
      </c>
      <c r="W36" s="76">
        <f>VLOOKUP($Q36,[1]MEP!$A$4:$K$300,6)</f>
        <v>0</v>
      </c>
      <c r="X36" s="76">
        <f>VLOOKUP($Q36,[1]MEP!$A$4:$K$300,7)</f>
        <v>0</v>
      </c>
      <c r="Y36" s="76">
        <f>VLOOKUP($Q36,[1]MEP!$A$4:$K$300,8)</f>
        <v>0</v>
      </c>
      <c r="Z36" s="76">
        <f>VLOOKUP($Q36,[1]MEP!$A$4:$K$300,9)</f>
        <v>0</v>
      </c>
      <c r="AA36" s="76">
        <f>VLOOKUP($Q36,[1]MEP!$A$4:$K$300,10)</f>
        <v>0</v>
      </c>
      <c r="AC36" s="76">
        <f>VLOOKUP($Q36,[1]MEP!$A$4:$K$300,11)</f>
        <v>0</v>
      </c>
      <c r="AE36" s="61">
        <f t="shared" si="28"/>
        <v>0</v>
      </c>
      <c r="AF36" s="61">
        <f t="shared" si="29"/>
        <v>0</v>
      </c>
      <c r="AG36" s="61">
        <f t="shared" si="30"/>
        <v>0</v>
      </c>
      <c r="AH36" s="61">
        <f t="shared" si="31"/>
        <v>0</v>
      </c>
      <c r="AI36" s="61">
        <f t="shared" si="32"/>
        <v>0</v>
      </c>
      <c r="AJ36" s="61">
        <f t="shared" si="33"/>
        <v>0</v>
      </c>
      <c r="AK36"/>
      <c r="AL36" s="61">
        <f t="shared" si="34"/>
        <v>0</v>
      </c>
      <c r="AM36" s="21"/>
      <c r="AN36" s="32"/>
      <c r="AO36" s="72"/>
      <c r="AP36" s="159"/>
      <c r="AQ36" s="159"/>
      <c r="AR36" s="70">
        <v>2</v>
      </c>
      <c r="AS36" s="61">
        <f>IF(AS$4=2,AS$17,0)</f>
        <v>0</v>
      </c>
      <c r="AT36" s="61">
        <f t="shared" ref="AT36:BP36" si="44">IF(AT$4=2,AT$17,0)</f>
        <v>0</v>
      </c>
      <c r="AU36" s="61">
        <f t="shared" si="44"/>
        <v>0</v>
      </c>
      <c r="AV36" s="61">
        <f t="shared" si="44"/>
        <v>0</v>
      </c>
      <c r="AW36" s="61">
        <f t="shared" si="44"/>
        <v>0</v>
      </c>
      <c r="AX36" s="61">
        <f t="shared" si="44"/>
        <v>0</v>
      </c>
      <c r="AY36" s="61">
        <f t="shared" si="44"/>
        <v>0</v>
      </c>
      <c r="AZ36" s="61">
        <f t="shared" si="44"/>
        <v>0</v>
      </c>
      <c r="BA36" s="61">
        <f t="shared" si="44"/>
        <v>0</v>
      </c>
      <c r="BB36" s="61">
        <f t="shared" si="44"/>
        <v>0</v>
      </c>
      <c r="BC36" s="61">
        <f t="shared" si="44"/>
        <v>0</v>
      </c>
      <c r="BD36" s="61">
        <f t="shared" si="44"/>
        <v>0</v>
      </c>
      <c r="BE36" s="61">
        <f t="shared" si="44"/>
        <v>0</v>
      </c>
      <c r="BF36" s="61">
        <f t="shared" si="44"/>
        <v>0</v>
      </c>
      <c r="BG36" s="61">
        <f t="shared" si="44"/>
        <v>0</v>
      </c>
      <c r="BH36" s="61">
        <f t="shared" si="44"/>
        <v>0</v>
      </c>
      <c r="BI36" s="61">
        <f t="shared" si="44"/>
        <v>0</v>
      </c>
      <c r="BJ36" s="61">
        <f t="shared" si="44"/>
        <v>0</v>
      </c>
      <c r="BK36" s="61">
        <f t="shared" si="44"/>
        <v>0</v>
      </c>
      <c r="BL36" s="61">
        <f t="shared" si="44"/>
        <v>0</v>
      </c>
      <c r="BM36" s="61">
        <f t="shared" si="44"/>
        <v>0</v>
      </c>
      <c r="BN36" s="61">
        <f t="shared" si="44"/>
        <v>0</v>
      </c>
      <c r="BO36" s="61">
        <f t="shared" si="44"/>
        <v>0</v>
      </c>
      <c r="BP36" s="61">
        <f t="shared" si="44"/>
        <v>0</v>
      </c>
      <c r="BR36" s="61">
        <f t="shared" ref="BR36:BR40" si="45">SUM(AS36:BP36)</f>
        <v>0</v>
      </c>
      <c r="BS36"/>
    </row>
    <row r="37" spans="2:73" x14ac:dyDescent="0.25">
      <c r="B37" s="76">
        <f>VLOOKUP($D37,[1]Cult!$A$5:$F$61,2)</f>
        <v>0</v>
      </c>
      <c r="D37" s="39"/>
      <c r="E37" s="39"/>
      <c r="F37" s="76">
        <f>VLOOKUP($D37,[1]Cult!$A$5:$F$61,3)</f>
        <v>0</v>
      </c>
      <c r="G37" s="76">
        <f>VLOOKUP($D37,[1]Cult!$A$5:$F$61,4)</f>
        <v>0</v>
      </c>
      <c r="H37" s="76">
        <f>VLOOKUP($D37,[1]Cult!$A$5:$F$61,5)</f>
        <v>0</v>
      </c>
      <c r="I37" s="76" t="str">
        <f>VLOOKUP($D37,[1]Cult!$A$5:$F$61,6)</f>
        <v>0 -pas d'utilisation comme concentrés</v>
      </c>
      <c r="J37" s="76">
        <f t="shared" si="42"/>
        <v>0</v>
      </c>
      <c r="K37" s="61">
        <f t="shared" si="39"/>
        <v>0</v>
      </c>
      <c r="L37" s="61">
        <f t="shared" si="40"/>
        <v>0</v>
      </c>
      <c r="M37" s="61">
        <f t="shared" si="41"/>
        <v>0</v>
      </c>
      <c r="P37">
        <v>9</v>
      </c>
      <c r="Q37" s="39"/>
      <c r="R37" s="39"/>
      <c r="S37" s="76" t="e">
        <f>VLOOKUP($Q37,[1]MEP!$A$5:$D$300,3)</f>
        <v>#N/A</v>
      </c>
      <c r="T37" s="76" t="e">
        <f>VLOOKUP($Q37,[1]MEP!$A$5:$D$300,4)</f>
        <v>#N/A</v>
      </c>
      <c r="U37" s="76">
        <f>VLOOKUP($Q37,[1]MEP!$A$4:$K$300,2)</f>
        <v>0</v>
      </c>
      <c r="V37" s="76">
        <f>VLOOKUP($Q37,[1]MEP!$A$4:$K$300,5)</f>
        <v>0</v>
      </c>
      <c r="W37" s="76">
        <f>VLOOKUP($Q37,[1]MEP!$A$4:$K$300,6)</f>
        <v>0</v>
      </c>
      <c r="X37" s="76">
        <f>VLOOKUP($Q37,[1]MEP!$A$4:$K$300,7)</f>
        <v>0</v>
      </c>
      <c r="Y37" s="76">
        <f>VLOOKUP($Q37,[1]MEP!$A$4:$K$300,8)</f>
        <v>0</v>
      </c>
      <c r="Z37" s="76">
        <f>VLOOKUP($Q37,[1]MEP!$A$4:$K$300,9)</f>
        <v>0</v>
      </c>
      <c r="AA37" s="76">
        <f>VLOOKUP($Q37,[1]MEP!$A$4:$K$300,10)</f>
        <v>0</v>
      </c>
      <c r="AC37" s="76">
        <f>VLOOKUP($Q37,[1]MEP!$A$4:$K$300,11)</f>
        <v>0</v>
      </c>
      <c r="AE37" s="61">
        <f t="shared" si="28"/>
        <v>0</v>
      </c>
      <c r="AF37" s="61">
        <f t="shared" si="29"/>
        <v>0</v>
      </c>
      <c r="AG37" s="61">
        <f t="shared" si="30"/>
        <v>0</v>
      </c>
      <c r="AH37" s="61">
        <f t="shared" si="31"/>
        <v>0</v>
      </c>
      <c r="AI37" s="61">
        <f t="shared" si="32"/>
        <v>0</v>
      </c>
      <c r="AJ37" s="61">
        <f t="shared" si="33"/>
        <v>0</v>
      </c>
      <c r="AK37"/>
      <c r="AL37" s="61">
        <f t="shared" si="34"/>
        <v>0</v>
      </c>
      <c r="AM37" s="21"/>
      <c r="AN37" s="32"/>
      <c r="AO37" s="79"/>
      <c r="AP37" s="79"/>
      <c r="AQ37" s="79"/>
      <c r="AR37" s="69">
        <v>3</v>
      </c>
      <c r="AS37" s="61">
        <f>IF(AS$4=3,AS$17,0)</f>
        <v>0</v>
      </c>
      <c r="AT37" s="61">
        <f t="shared" ref="AT37:BP37" si="46">IF(AT$4=3,AT$17,0)</f>
        <v>0</v>
      </c>
      <c r="AU37" s="61">
        <f t="shared" si="46"/>
        <v>0</v>
      </c>
      <c r="AV37" s="61">
        <f t="shared" si="46"/>
        <v>0</v>
      </c>
      <c r="AW37" s="61">
        <f t="shared" si="46"/>
        <v>0</v>
      </c>
      <c r="AX37" s="61">
        <f t="shared" si="46"/>
        <v>0</v>
      </c>
      <c r="AY37" s="61">
        <f t="shared" si="46"/>
        <v>0</v>
      </c>
      <c r="AZ37" s="61">
        <f t="shared" si="46"/>
        <v>0</v>
      </c>
      <c r="BA37" s="61">
        <f t="shared" si="46"/>
        <v>0</v>
      </c>
      <c r="BB37" s="61">
        <f t="shared" si="46"/>
        <v>0</v>
      </c>
      <c r="BC37" s="61">
        <f t="shared" si="46"/>
        <v>0</v>
      </c>
      <c r="BD37" s="61">
        <f t="shared" si="46"/>
        <v>0</v>
      </c>
      <c r="BE37" s="61">
        <f t="shared" si="46"/>
        <v>0</v>
      </c>
      <c r="BF37" s="61">
        <f t="shared" si="46"/>
        <v>0</v>
      </c>
      <c r="BG37" s="61">
        <f t="shared" si="46"/>
        <v>0</v>
      </c>
      <c r="BH37" s="61">
        <f t="shared" si="46"/>
        <v>0</v>
      </c>
      <c r="BI37" s="61">
        <f t="shared" si="46"/>
        <v>0</v>
      </c>
      <c r="BJ37" s="61">
        <f t="shared" si="46"/>
        <v>0</v>
      </c>
      <c r="BK37" s="61">
        <f t="shared" si="46"/>
        <v>0</v>
      </c>
      <c r="BL37" s="61">
        <f t="shared" si="46"/>
        <v>0</v>
      </c>
      <c r="BM37" s="61">
        <f t="shared" si="46"/>
        <v>0</v>
      </c>
      <c r="BN37" s="61">
        <f t="shared" si="46"/>
        <v>0</v>
      </c>
      <c r="BO37" s="61">
        <f t="shared" si="46"/>
        <v>0</v>
      </c>
      <c r="BP37" s="61">
        <f t="shared" si="46"/>
        <v>0</v>
      </c>
      <c r="BR37" s="61">
        <f t="shared" si="45"/>
        <v>0</v>
      </c>
      <c r="BS37"/>
    </row>
    <row r="38" spans="2:73" x14ac:dyDescent="0.25">
      <c r="B38" s="76">
        <f>VLOOKUP($D38,[1]Cult!$A$5:$F$61,2)</f>
        <v>0</v>
      </c>
      <c r="D38" s="39"/>
      <c r="E38" s="39"/>
      <c r="F38" s="76">
        <f>VLOOKUP($D38,[1]Cult!$A$5:$F$61,3)</f>
        <v>0</v>
      </c>
      <c r="G38" s="76">
        <f>VLOOKUP($D38,[1]Cult!$A$5:$F$61,4)</f>
        <v>0</v>
      </c>
      <c r="H38" s="76">
        <f>VLOOKUP($D38,[1]Cult!$A$5:$F$61,5)</f>
        <v>0</v>
      </c>
      <c r="I38" s="76" t="str">
        <f>VLOOKUP($D38,[1]Cult!$A$5:$F$61,6)</f>
        <v>0 -pas d'utilisation comme concentrés</v>
      </c>
      <c r="J38" s="76">
        <f t="shared" si="42"/>
        <v>0</v>
      </c>
      <c r="K38" s="61">
        <f t="shared" si="39"/>
        <v>0</v>
      </c>
      <c r="L38" s="61">
        <f t="shared" si="40"/>
        <v>0</v>
      </c>
      <c r="M38" s="61">
        <f t="shared" si="41"/>
        <v>0</v>
      </c>
      <c r="P38">
        <v>10</v>
      </c>
      <c r="Q38" s="39"/>
      <c r="R38" s="39"/>
      <c r="S38" s="76" t="e">
        <f>VLOOKUP($Q38,[1]MEP!$A$5:$D$300,3)</f>
        <v>#N/A</v>
      </c>
      <c r="T38" s="76" t="e">
        <f>VLOOKUP($Q38,[1]MEP!$A$5:$D$300,4)</f>
        <v>#N/A</v>
      </c>
      <c r="U38" s="76">
        <f>VLOOKUP($Q38,[1]MEP!$A$4:$K$300,2)</f>
        <v>0</v>
      </c>
      <c r="V38" s="76">
        <f>VLOOKUP($Q38,[1]MEP!$A$4:$K$300,5)</f>
        <v>0</v>
      </c>
      <c r="W38" s="76">
        <f>VLOOKUP($Q38,[1]MEP!$A$4:$K$300,6)</f>
        <v>0</v>
      </c>
      <c r="X38" s="76">
        <f>VLOOKUP($Q38,[1]MEP!$A$4:$K$300,7)</f>
        <v>0</v>
      </c>
      <c r="Y38" s="76">
        <f>VLOOKUP($Q38,[1]MEP!$A$4:$K$300,8)</f>
        <v>0</v>
      </c>
      <c r="Z38" s="76">
        <f>VLOOKUP($Q38,[1]MEP!$A$4:$K$300,9)</f>
        <v>0</v>
      </c>
      <c r="AA38" s="76">
        <f>VLOOKUP($Q38,[1]MEP!$A$4:$K$300,10)</f>
        <v>0</v>
      </c>
      <c r="AC38" s="76">
        <f>VLOOKUP($Q38,[1]MEP!$A$4:$K$300,11)</f>
        <v>0</v>
      </c>
      <c r="AE38" s="61">
        <f t="shared" si="28"/>
        <v>0</v>
      </c>
      <c r="AF38" s="61">
        <f t="shared" si="29"/>
        <v>0</v>
      </c>
      <c r="AG38" s="61">
        <f t="shared" si="30"/>
        <v>0</v>
      </c>
      <c r="AH38" s="61">
        <f t="shared" si="31"/>
        <v>0</v>
      </c>
      <c r="AI38" s="61">
        <f t="shared" si="32"/>
        <v>0</v>
      </c>
      <c r="AJ38" s="61">
        <f t="shared" si="33"/>
        <v>0</v>
      </c>
      <c r="AK38"/>
      <c r="AL38" s="61">
        <f t="shared" si="34"/>
        <v>0</v>
      </c>
      <c r="AN38" s="32"/>
      <c r="AO38" s="79"/>
      <c r="AP38" s="79"/>
      <c r="AQ38" s="79"/>
      <c r="AR38" s="70">
        <v>4</v>
      </c>
      <c r="AS38" s="61">
        <f>IF(AS$4=4,AS$17,0)</f>
        <v>0</v>
      </c>
      <c r="AT38" s="61">
        <f t="shared" ref="AT38:BP38" si="47">IF(AT$4=4,AT$17,0)</f>
        <v>0</v>
      </c>
      <c r="AU38" s="61">
        <f t="shared" si="47"/>
        <v>0</v>
      </c>
      <c r="AV38" s="61">
        <f t="shared" si="47"/>
        <v>0</v>
      </c>
      <c r="AW38" s="61">
        <f t="shared" si="47"/>
        <v>0</v>
      </c>
      <c r="AX38" s="61">
        <f t="shared" si="47"/>
        <v>0</v>
      </c>
      <c r="AY38" s="61">
        <f t="shared" si="47"/>
        <v>0</v>
      </c>
      <c r="AZ38" s="61">
        <f t="shared" si="47"/>
        <v>0</v>
      </c>
      <c r="BA38" s="61">
        <f t="shared" si="47"/>
        <v>0</v>
      </c>
      <c r="BB38" s="61">
        <f t="shared" si="47"/>
        <v>0</v>
      </c>
      <c r="BC38" s="61">
        <f t="shared" si="47"/>
        <v>0</v>
      </c>
      <c r="BD38" s="61">
        <f t="shared" si="47"/>
        <v>0</v>
      </c>
      <c r="BE38" s="61">
        <f t="shared" si="47"/>
        <v>0</v>
      </c>
      <c r="BF38" s="61">
        <f t="shared" si="47"/>
        <v>0</v>
      </c>
      <c r="BG38" s="61">
        <f t="shared" si="47"/>
        <v>0</v>
      </c>
      <c r="BH38" s="61">
        <f t="shared" si="47"/>
        <v>0</v>
      </c>
      <c r="BI38" s="61">
        <f t="shared" si="47"/>
        <v>0</v>
      </c>
      <c r="BJ38" s="61">
        <f t="shared" si="47"/>
        <v>0</v>
      </c>
      <c r="BK38" s="61">
        <f t="shared" si="47"/>
        <v>0</v>
      </c>
      <c r="BL38" s="61">
        <f t="shared" si="47"/>
        <v>0</v>
      </c>
      <c r="BM38" s="61">
        <f t="shared" si="47"/>
        <v>0</v>
      </c>
      <c r="BN38" s="61">
        <f t="shared" si="47"/>
        <v>0</v>
      </c>
      <c r="BO38" s="61">
        <f t="shared" si="47"/>
        <v>0</v>
      </c>
      <c r="BP38" s="61">
        <f t="shared" si="47"/>
        <v>0</v>
      </c>
      <c r="BR38" s="61">
        <f t="shared" si="45"/>
        <v>0</v>
      </c>
      <c r="BS38"/>
    </row>
    <row r="39" spans="2:73" x14ac:dyDescent="0.25">
      <c r="B39" s="76">
        <f>VLOOKUP($D39,[1]Cult!$A$5:$F$61,2)</f>
        <v>0</v>
      </c>
      <c r="D39" s="39"/>
      <c r="E39" s="39"/>
      <c r="F39" s="76">
        <f>VLOOKUP($D39,[1]Cult!$A$5:$F$61,3)</f>
        <v>0</v>
      </c>
      <c r="G39" s="76">
        <f>VLOOKUP($D39,[1]Cult!$A$5:$F$61,4)</f>
        <v>0</v>
      </c>
      <c r="H39" s="76">
        <f>VLOOKUP($D39,[1]Cult!$A$5:$F$61,5)</f>
        <v>0</v>
      </c>
      <c r="I39" s="76" t="str">
        <f>VLOOKUP($D39,[1]Cult!$A$5:$F$61,6)</f>
        <v>0 -pas d'utilisation comme concentrés</v>
      </c>
      <c r="J39" s="76">
        <f t="shared" si="42"/>
        <v>0</v>
      </c>
      <c r="K39" s="61">
        <f t="shared" si="39"/>
        <v>0</v>
      </c>
      <c r="L39" s="61">
        <f t="shared" si="40"/>
        <v>0</v>
      </c>
      <c r="M39" s="61">
        <f t="shared" si="41"/>
        <v>0</v>
      </c>
      <c r="P39">
        <v>11</v>
      </c>
      <c r="Q39" s="39"/>
      <c r="R39" s="39"/>
      <c r="S39" s="76" t="e">
        <f>VLOOKUP($Q39,[1]MEP!$A$5:$D$300,3)</f>
        <v>#N/A</v>
      </c>
      <c r="T39" s="76" t="e">
        <f>VLOOKUP($Q39,[1]MEP!$A$5:$D$300,4)</f>
        <v>#N/A</v>
      </c>
      <c r="U39" s="76">
        <f>VLOOKUP($Q39,[1]MEP!$A$4:$K$300,2)</f>
        <v>0</v>
      </c>
      <c r="V39" s="76">
        <f>VLOOKUP($Q39,[1]MEP!$A$4:$K$300,5)</f>
        <v>0</v>
      </c>
      <c r="W39" s="76">
        <f>VLOOKUP($Q39,[1]MEP!$A$4:$K$300,6)</f>
        <v>0</v>
      </c>
      <c r="X39" s="76">
        <f>VLOOKUP($Q39,[1]MEP!$A$4:$K$300,7)</f>
        <v>0</v>
      </c>
      <c r="Y39" s="76">
        <f>VLOOKUP($Q39,[1]MEP!$A$4:$K$300,8)</f>
        <v>0</v>
      </c>
      <c r="Z39" s="76">
        <f>VLOOKUP($Q39,[1]MEP!$A$4:$K$300,9)</f>
        <v>0</v>
      </c>
      <c r="AA39" s="76">
        <f>VLOOKUP($Q39,[1]MEP!$A$4:$K$300,10)</f>
        <v>0</v>
      </c>
      <c r="AC39" s="76">
        <f>VLOOKUP($Q39,[1]MEP!$A$4:$K$300,11)</f>
        <v>0</v>
      </c>
      <c r="AE39" s="61">
        <f t="shared" si="28"/>
        <v>0</v>
      </c>
      <c r="AF39" s="61">
        <f t="shared" si="29"/>
        <v>0</v>
      </c>
      <c r="AG39" s="61">
        <f t="shared" si="30"/>
        <v>0</v>
      </c>
      <c r="AH39" s="61">
        <f t="shared" si="31"/>
        <v>0</v>
      </c>
      <c r="AI39" s="61">
        <f t="shared" si="32"/>
        <v>0</v>
      </c>
      <c r="AJ39" s="61">
        <f t="shared" si="33"/>
        <v>0</v>
      </c>
      <c r="AK39"/>
      <c r="AL39" s="61">
        <f t="shared" si="34"/>
        <v>0</v>
      </c>
      <c r="AM39" s="21"/>
      <c r="AN39" s="32"/>
      <c r="AO39" s="79"/>
      <c r="AP39" s="79"/>
      <c r="AQ39" s="79"/>
      <c r="AR39" s="69">
        <v>5</v>
      </c>
      <c r="AS39" s="61">
        <f>IF(AS$4=5,AS$17,0)</f>
        <v>0</v>
      </c>
      <c r="AT39" s="61">
        <f t="shared" ref="AT39:BP39" si="48">IF(AT$4=5,AT$17,0)</f>
        <v>0</v>
      </c>
      <c r="AU39" s="61">
        <f t="shared" si="48"/>
        <v>0</v>
      </c>
      <c r="AV39" s="61">
        <f t="shared" si="48"/>
        <v>0</v>
      </c>
      <c r="AW39" s="61">
        <f t="shared" si="48"/>
        <v>0</v>
      </c>
      <c r="AX39" s="61">
        <f t="shared" si="48"/>
        <v>0</v>
      </c>
      <c r="AY39" s="61">
        <f t="shared" si="48"/>
        <v>0</v>
      </c>
      <c r="AZ39" s="61">
        <f t="shared" si="48"/>
        <v>0</v>
      </c>
      <c r="BA39" s="61">
        <f t="shared" si="48"/>
        <v>0</v>
      </c>
      <c r="BB39" s="61">
        <f t="shared" si="48"/>
        <v>0</v>
      </c>
      <c r="BC39" s="61">
        <f t="shared" si="48"/>
        <v>0</v>
      </c>
      <c r="BD39" s="61">
        <f t="shared" si="48"/>
        <v>0</v>
      </c>
      <c r="BE39" s="61">
        <f t="shared" si="48"/>
        <v>0</v>
      </c>
      <c r="BF39" s="61">
        <f t="shared" si="48"/>
        <v>0</v>
      </c>
      <c r="BG39" s="61">
        <f t="shared" si="48"/>
        <v>0</v>
      </c>
      <c r="BH39" s="61">
        <f t="shared" si="48"/>
        <v>0</v>
      </c>
      <c r="BI39" s="61">
        <f t="shared" si="48"/>
        <v>0</v>
      </c>
      <c r="BJ39" s="61">
        <f t="shared" si="48"/>
        <v>0</v>
      </c>
      <c r="BK39" s="61">
        <f t="shared" si="48"/>
        <v>0</v>
      </c>
      <c r="BL39" s="61">
        <f t="shared" si="48"/>
        <v>0</v>
      </c>
      <c r="BM39" s="61">
        <f t="shared" si="48"/>
        <v>0</v>
      </c>
      <c r="BN39" s="61">
        <f t="shared" si="48"/>
        <v>0</v>
      </c>
      <c r="BO39" s="61">
        <f t="shared" si="48"/>
        <v>0</v>
      </c>
      <c r="BP39" s="61">
        <f t="shared" si="48"/>
        <v>0</v>
      </c>
      <c r="BR39" s="61">
        <f t="shared" si="45"/>
        <v>0</v>
      </c>
      <c r="BS39"/>
      <c r="BU39" s="82"/>
    </row>
    <row r="40" spans="2:73" x14ac:dyDescent="0.25">
      <c r="B40" s="76">
        <f>VLOOKUP($D40,[1]Cult!$A$5:$F$61,2)</f>
        <v>0</v>
      </c>
      <c r="D40" s="39"/>
      <c r="E40" s="39"/>
      <c r="F40" s="76">
        <f>VLOOKUP($D40,[1]Cult!$A$5:$F$61,3)</f>
        <v>0</v>
      </c>
      <c r="G40" s="76">
        <f>VLOOKUP($D40,[1]Cult!$A$5:$F$61,4)</f>
        <v>0</v>
      </c>
      <c r="H40" s="76">
        <f>VLOOKUP($D40,[1]Cult!$A$5:$F$61,5)</f>
        <v>0</v>
      </c>
      <c r="I40" s="76" t="str">
        <f>VLOOKUP($D40,[1]Cult!$A$5:$F$61,6)</f>
        <v>0 -pas d'utilisation comme concentrés</v>
      </c>
      <c r="J40" s="76">
        <f t="shared" si="42"/>
        <v>0</v>
      </c>
      <c r="K40" s="61">
        <f t="shared" si="39"/>
        <v>0</v>
      </c>
      <c r="L40" s="61">
        <f t="shared" si="40"/>
        <v>0</v>
      </c>
      <c r="M40" s="61">
        <f t="shared" si="41"/>
        <v>0</v>
      </c>
      <c r="P40">
        <v>12</v>
      </c>
      <c r="Q40" s="39"/>
      <c r="R40" s="39"/>
      <c r="S40" s="76" t="e">
        <f>VLOOKUP($Q40,[1]MEP!$A$5:$D$300,3)</f>
        <v>#N/A</v>
      </c>
      <c r="T40" s="76" t="e">
        <f>VLOOKUP($Q40,[1]MEP!$A$5:$D$300,4)</f>
        <v>#N/A</v>
      </c>
      <c r="U40" s="76">
        <f>VLOOKUP($Q40,[1]MEP!$A$4:$K$300,2)</f>
        <v>0</v>
      </c>
      <c r="V40" s="76">
        <f>VLOOKUP($Q40,[1]MEP!$A$4:$K$300,5)</f>
        <v>0</v>
      </c>
      <c r="W40" s="76">
        <f>VLOOKUP($Q40,[1]MEP!$A$4:$K$300,6)</f>
        <v>0</v>
      </c>
      <c r="X40" s="76">
        <f>VLOOKUP($Q40,[1]MEP!$A$4:$K$300,7)</f>
        <v>0</v>
      </c>
      <c r="Y40" s="76">
        <f>VLOOKUP($Q40,[1]MEP!$A$4:$K$300,8)</f>
        <v>0</v>
      </c>
      <c r="Z40" s="76">
        <f>VLOOKUP($Q40,[1]MEP!$A$4:$K$300,9)</f>
        <v>0</v>
      </c>
      <c r="AA40" s="76">
        <f>VLOOKUP($Q40,[1]MEP!$A$4:$K$300,10)</f>
        <v>0</v>
      </c>
      <c r="AC40" s="76">
        <f>VLOOKUP($Q40,[1]MEP!$A$4:$K$300,11)</f>
        <v>0</v>
      </c>
      <c r="AE40" s="61">
        <f t="shared" si="28"/>
        <v>0</v>
      </c>
      <c r="AF40" s="61">
        <f t="shared" si="29"/>
        <v>0</v>
      </c>
      <c r="AG40" s="61">
        <f t="shared" si="30"/>
        <v>0</v>
      </c>
      <c r="AH40" s="61">
        <f t="shared" si="31"/>
        <v>0</v>
      </c>
      <c r="AI40" s="61">
        <f t="shared" si="32"/>
        <v>0</v>
      </c>
      <c r="AJ40" s="61">
        <f t="shared" si="33"/>
        <v>0</v>
      </c>
      <c r="AK40"/>
      <c r="AL40" s="61">
        <f t="shared" si="34"/>
        <v>0</v>
      </c>
      <c r="AM40" s="21"/>
      <c r="AN40" s="32"/>
      <c r="AO40" s="72"/>
      <c r="AP40" s="159"/>
      <c r="AQ40" s="159"/>
      <c r="AR40" s="69">
        <v>6</v>
      </c>
      <c r="AS40" s="61">
        <f>IF(AS$4=6,AS$17,0)</f>
        <v>0</v>
      </c>
      <c r="AT40" s="61">
        <f t="shared" ref="AT40:BP40" si="49">IF(AT$4=6,AT$17,0)</f>
        <v>0</v>
      </c>
      <c r="AU40" s="61">
        <f t="shared" si="49"/>
        <v>0</v>
      </c>
      <c r="AV40" s="61">
        <f t="shared" si="49"/>
        <v>0</v>
      </c>
      <c r="AW40" s="61">
        <f t="shared" si="49"/>
        <v>0</v>
      </c>
      <c r="AX40" s="61">
        <f t="shared" si="49"/>
        <v>0</v>
      </c>
      <c r="AY40" s="61">
        <f t="shared" si="49"/>
        <v>0</v>
      </c>
      <c r="AZ40" s="61">
        <f t="shared" si="49"/>
        <v>0</v>
      </c>
      <c r="BA40" s="61">
        <f t="shared" si="49"/>
        <v>0</v>
      </c>
      <c r="BB40" s="61">
        <f t="shared" si="49"/>
        <v>0</v>
      </c>
      <c r="BC40" s="61">
        <f t="shared" si="49"/>
        <v>0</v>
      </c>
      <c r="BD40" s="61">
        <f t="shared" si="49"/>
        <v>0</v>
      </c>
      <c r="BE40" s="61">
        <f t="shared" si="49"/>
        <v>0</v>
      </c>
      <c r="BF40" s="61">
        <f t="shared" si="49"/>
        <v>0</v>
      </c>
      <c r="BG40" s="61">
        <f t="shared" si="49"/>
        <v>0</v>
      </c>
      <c r="BH40" s="61">
        <f t="shared" si="49"/>
        <v>0</v>
      </c>
      <c r="BI40" s="61">
        <f t="shared" si="49"/>
        <v>0</v>
      </c>
      <c r="BJ40" s="61">
        <f t="shared" si="49"/>
        <v>0</v>
      </c>
      <c r="BK40" s="61">
        <f t="shared" si="49"/>
        <v>0</v>
      </c>
      <c r="BL40" s="61">
        <f t="shared" si="49"/>
        <v>0</v>
      </c>
      <c r="BM40" s="61">
        <f t="shared" si="49"/>
        <v>0</v>
      </c>
      <c r="BN40" s="61">
        <f t="shared" si="49"/>
        <v>0</v>
      </c>
      <c r="BO40" s="61">
        <f t="shared" si="49"/>
        <v>0</v>
      </c>
      <c r="BP40" s="61">
        <f t="shared" si="49"/>
        <v>0</v>
      </c>
      <c r="BR40" s="61">
        <f t="shared" si="45"/>
        <v>0</v>
      </c>
      <c r="BS40"/>
      <c r="BU40" s="82"/>
    </row>
    <row r="41" spans="2:73" x14ac:dyDescent="0.25">
      <c r="B41" s="76">
        <f>VLOOKUP($D41,[1]Cult!$A$5:$F$61,2)</f>
        <v>0</v>
      </c>
      <c r="D41" s="39"/>
      <c r="E41" s="39"/>
      <c r="F41" s="76">
        <f>VLOOKUP($D41,[1]Cult!$A$5:$F$61,3)</f>
        <v>0</v>
      </c>
      <c r="G41" s="76">
        <f>VLOOKUP($D41,[1]Cult!$A$5:$F$61,4)</f>
        <v>0</v>
      </c>
      <c r="H41" s="76">
        <f>VLOOKUP($D41,[1]Cult!$A$5:$F$61,5)</f>
        <v>0</v>
      </c>
      <c r="I41" s="76" t="str">
        <f>VLOOKUP($D41,[1]Cult!$A$5:$F$61,6)</f>
        <v>0 -pas d'utilisation comme concentrés</v>
      </c>
      <c r="J41" s="76">
        <f t="shared" si="42"/>
        <v>0</v>
      </c>
      <c r="K41" s="61">
        <f t="shared" si="39"/>
        <v>0</v>
      </c>
      <c r="L41" s="61">
        <f t="shared" si="40"/>
        <v>0</v>
      </c>
      <c r="M41" s="61">
        <f t="shared" si="41"/>
        <v>0</v>
      </c>
      <c r="P41">
        <v>13</v>
      </c>
      <c r="Q41" s="39"/>
      <c r="R41" s="39"/>
      <c r="S41" s="76" t="e">
        <f>VLOOKUP($Q41,[1]MEP!$A$5:$D$300,3)</f>
        <v>#N/A</v>
      </c>
      <c r="T41" s="76" t="e">
        <f>VLOOKUP($Q41,[1]MEP!$A$5:$D$300,4)</f>
        <v>#N/A</v>
      </c>
      <c r="U41" s="76">
        <f>VLOOKUP($Q41,[1]MEP!$A$4:$K$300,2)</f>
        <v>0</v>
      </c>
      <c r="V41" s="76">
        <f>VLOOKUP($Q41,[1]MEP!$A$4:$K$300,5)</f>
        <v>0</v>
      </c>
      <c r="W41" s="76">
        <f>VLOOKUP($Q41,[1]MEP!$A$4:$K$300,6)</f>
        <v>0</v>
      </c>
      <c r="X41" s="76">
        <f>VLOOKUP($Q41,[1]MEP!$A$4:$K$300,7)</f>
        <v>0</v>
      </c>
      <c r="Y41" s="76">
        <f>VLOOKUP($Q41,[1]MEP!$A$4:$K$300,8)</f>
        <v>0</v>
      </c>
      <c r="Z41" s="76">
        <f>VLOOKUP($Q41,[1]MEP!$A$4:$K$300,9)</f>
        <v>0</v>
      </c>
      <c r="AA41" s="76">
        <f>VLOOKUP($Q41,[1]MEP!$A$4:$K$300,10)</f>
        <v>0</v>
      </c>
      <c r="AC41" s="76">
        <f>VLOOKUP($Q41,[1]MEP!$A$4:$K$300,11)</f>
        <v>0</v>
      </c>
      <c r="AE41" s="61">
        <f t="shared" si="28"/>
        <v>0</v>
      </c>
      <c r="AF41" s="61">
        <f t="shared" si="29"/>
        <v>0</v>
      </c>
      <c r="AG41" s="61">
        <f t="shared" si="30"/>
        <v>0</v>
      </c>
      <c r="AH41" s="61">
        <f t="shared" si="31"/>
        <v>0</v>
      </c>
      <c r="AI41" s="61">
        <f t="shared" si="32"/>
        <v>0</v>
      </c>
      <c r="AJ41" s="61">
        <f t="shared" si="33"/>
        <v>0</v>
      </c>
      <c r="AK41"/>
      <c r="AL41" s="61">
        <f t="shared" si="34"/>
        <v>0</v>
      </c>
      <c r="AM41" s="21"/>
      <c r="AN41" s="32"/>
      <c r="AT41" s="5"/>
      <c r="AU41" s="72"/>
      <c r="AV41" s="5"/>
      <c r="AW41" s="5"/>
      <c r="AX41" s="5"/>
      <c r="AY41" s="5"/>
      <c r="AZ41" s="5"/>
      <c r="BA41" s="5"/>
      <c r="BB41" s="5"/>
      <c r="BC41" s="5"/>
      <c r="BD41" s="5"/>
      <c r="BE41" s="5"/>
      <c r="BS41"/>
      <c r="BU41" s="82"/>
    </row>
    <row r="42" spans="2:73" x14ac:dyDescent="0.25">
      <c r="B42" s="76">
        <f>VLOOKUP($D42,[1]Cult!$A$5:$F$61,2)</f>
        <v>0</v>
      </c>
      <c r="D42" s="39"/>
      <c r="E42" s="39"/>
      <c r="F42" s="76">
        <f>VLOOKUP($D42,[1]Cult!$A$5:$F$61,3)</f>
        <v>0</v>
      </c>
      <c r="G42" s="76">
        <f>VLOOKUP($D42,[1]Cult!$A$5:$F$61,4)</f>
        <v>0</v>
      </c>
      <c r="H42" s="76">
        <f>VLOOKUP($D42,[1]Cult!$A$5:$F$61,5)</f>
        <v>0</v>
      </c>
      <c r="I42" s="76" t="str">
        <f>VLOOKUP($D42,[1]Cult!$A$5:$F$61,6)</f>
        <v>0 -pas d'utilisation comme concentrés</v>
      </c>
      <c r="J42" s="76">
        <f t="shared" si="42"/>
        <v>0</v>
      </c>
      <c r="K42" s="61">
        <f t="shared" si="39"/>
        <v>0</v>
      </c>
      <c r="L42" s="61">
        <f t="shared" si="40"/>
        <v>0</v>
      </c>
      <c r="M42" s="61">
        <f t="shared" si="41"/>
        <v>0</v>
      </c>
      <c r="P42">
        <v>14</v>
      </c>
      <c r="Q42" s="39"/>
      <c r="R42" s="39"/>
      <c r="S42" s="76" t="e">
        <f>VLOOKUP($Q42,[1]MEP!$A$5:$D$300,3)</f>
        <v>#N/A</v>
      </c>
      <c r="T42" s="76" t="e">
        <f>VLOOKUP($Q42,[1]MEP!$A$5:$D$300,4)</f>
        <v>#N/A</v>
      </c>
      <c r="U42" s="76">
        <f>VLOOKUP($Q42,[1]MEP!$A$4:$K$300,2)</f>
        <v>0</v>
      </c>
      <c r="V42" s="76">
        <f>VLOOKUP($Q42,[1]MEP!$A$4:$K$300,5)</f>
        <v>0</v>
      </c>
      <c r="W42" s="76">
        <f>VLOOKUP($Q42,[1]MEP!$A$4:$K$300,6)</f>
        <v>0</v>
      </c>
      <c r="X42" s="76">
        <f>VLOOKUP($Q42,[1]MEP!$A$4:$K$300,7)</f>
        <v>0</v>
      </c>
      <c r="Y42" s="76">
        <f>VLOOKUP($Q42,[1]MEP!$A$4:$K$300,8)</f>
        <v>0</v>
      </c>
      <c r="Z42" s="76">
        <f>VLOOKUP($Q42,[1]MEP!$A$4:$K$300,9)</f>
        <v>0</v>
      </c>
      <c r="AA42" s="76">
        <f>VLOOKUP($Q42,[1]MEP!$A$4:$K$300,10)</f>
        <v>0</v>
      </c>
      <c r="AC42" s="76">
        <f>VLOOKUP($Q42,[1]MEP!$A$4:$K$300,11)</f>
        <v>0</v>
      </c>
      <c r="AE42" s="61">
        <f t="shared" si="28"/>
        <v>0</v>
      </c>
      <c r="AF42" s="61">
        <f t="shared" si="29"/>
        <v>0</v>
      </c>
      <c r="AG42" s="61">
        <f t="shared" si="30"/>
        <v>0</v>
      </c>
      <c r="AH42" s="61">
        <f t="shared" si="31"/>
        <v>0</v>
      </c>
      <c r="AI42" s="61">
        <f t="shared" si="32"/>
        <v>0</v>
      </c>
      <c r="AJ42" s="61">
        <f t="shared" si="33"/>
        <v>0</v>
      </c>
      <c r="AK42"/>
      <c r="AL42" s="61">
        <f t="shared" si="34"/>
        <v>0</v>
      </c>
      <c r="AN42" s="32"/>
      <c r="AO42" s="21"/>
      <c r="AP42" s="21"/>
      <c r="AQ42" s="21"/>
      <c r="AR42" s="21"/>
      <c r="AS42" s="21"/>
      <c r="AT42" s="21"/>
      <c r="AU42" s="21"/>
      <c r="BS42"/>
      <c r="BU42" s="82"/>
    </row>
    <row r="43" spans="2:73" x14ac:dyDescent="0.25">
      <c r="B43" s="76">
        <f>VLOOKUP($D43,[1]Cult!$A$5:$F$61,2)</f>
        <v>0</v>
      </c>
      <c r="D43" s="39"/>
      <c r="E43" s="39"/>
      <c r="F43" s="76">
        <f>VLOOKUP($D43,[1]Cult!$A$5:$F$61,3)</f>
        <v>0</v>
      </c>
      <c r="G43" s="76">
        <f>VLOOKUP($D43,[1]Cult!$A$5:$F$61,4)</f>
        <v>0</v>
      </c>
      <c r="H43" s="76">
        <f>VLOOKUP($D43,[1]Cult!$A$5:$F$61,5)</f>
        <v>0</v>
      </c>
      <c r="I43" s="76" t="str">
        <f>VLOOKUP($D43,[1]Cult!$A$5:$F$61,6)</f>
        <v>0 -pas d'utilisation comme concentrés</v>
      </c>
      <c r="J43" s="76">
        <f t="shared" si="42"/>
        <v>0</v>
      </c>
      <c r="K43" s="61">
        <f t="shared" si="39"/>
        <v>0</v>
      </c>
      <c r="L43" s="61">
        <f t="shared" si="40"/>
        <v>0</v>
      </c>
      <c r="M43" s="61">
        <f t="shared" si="41"/>
        <v>0</v>
      </c>
      <c r="P43">
        <v>15</v>
      </c>
      <c r="Q43" s="39"/>
      <c r="R43" s="39"/>
      <c r="S43" s="76" t="e">
        <f>VLOOKUP($Q43,[1]MEP!$A$5:$D$300,3)</f>
        <v>#N/A</v>
      </c>
      <c r="T43" s="76" t="e">
        <f>VLOOKUP($Q43,[1]MEP!$A$5:$D$300,4)</f>
        <v>#N/A</v>
      </c>
      <c r="U43" s="76">
        <f>VLOOKUP($Q43,[1]MEP!$A$4:$K$300,2)</f>
        <v>0</v>
      </c>
      <c r="V43" s="76">
        <f>VLOOKUP($Q43,[1]MEP!$A$4:$K$300,5)</f>
        <v>0</v>
      </c>
      <c r="W43" s="76">
        <f>VLOOKUP($Q43,[1]MEP!$A$4:$K$300,6)</f>
        <v>0</v>
      </c>
      <c r="X43" s="76">
        <f>VLOOKUP($Q43,[1]MEP!$A$4:$K$300,7)</f>
        <v>0</v>
      </c>
      <c r="Y43" s="76">
        <f>VLOOKUP($Q43,[1]MEP!$A$4:$K$300,8)</f>
        <v>0</v>
      </c>
      <c r="Z43" s="76">
        <f>VLOOKUP($Q43,[1]MEP!$A$4:$K$300,9)</f>
        <v>0</v>
      </c>
      <c r="AA43" s="76">
        <f>VLOOKUP($Q43,[1]MEP!$A$4:$K$300,10)</f>
        <v>0</v>
      </c>
      <c r="AC43" s="76">
        <f>VLOOKUP($Q43,[1]MEP!$A$4:$K$300,11)</f>
        <v>0</v>
      </c>
      <c r="AE43" s="61">
        <f t="shared" si="28"/>
        <v>0</v>
      </c>
      <c r="AF43" s="61">
        <f t="shared" si="29"/>
        <v>0</v>
      </c>
      <c r="AG43" s="61">
        <f t="shared" si="30"/>
        <v>0</v>
      </c>
      <c r="AH43" s="61">
        <f t="shared" si="31"/>
        <v>0</v>
      </c>
      <c r="AI43" s="61">
        <f t="shared" si="32"/>
        <v>0</v>
      </c>
      <c r="AJ43" s="61">
        <f t="shared" si="33"/>
        <v>0</v>
      </c>
      <c r="AK43"/>
      <c r="AL43" s="61">
        <f t="shared" si="34"/>
        <v>0</v>
      </c>
      <c r="AM43" s="21"/>
      <c r="AN43" s="32"/>
      <c r="AO43" s="21"/>
      <c r="AP43" s="21"/>
      <c r="AQ43" s="21"/>
      <c r="AR43" s="21"/>
      <c r="AS43" s="21"/>
      <c r="AT43" s="21"/>
      <c r="AU43" s="21"/>
      <c r="BS43"/>
      <c r="BU43" s="82"/>
    </row>
    <row r="44" spans="2:73" x14ac:dyDescent="0.25">
      <c r="P44">
        <v>16</v>
      </c>
      <c r="Q44" s="39"/>
      <c r="R44" s="39"/>
      <c r="S44" s="76" t="e">
        <f>VLOOKUP($Q44,[1]MEP!$A$5:$D$300,3)</f>
        <v>#N/A</v>
      </c>
      <c r="T44" s="76" t="e">
        <f>VLOOKUP($Q44,[1]MEP!$A$5:$D$300,4)</f>
        <v>#N/A</v>
      </c>
      <c r="U44" s="76">
        <f>VLOOKUP($Q44,[1]MEP!$A$4:$K$300,2)</f>
        <v>0</v>
      </c>
      <c r="V44" s="76">
        <f>VLOOKUP($Q44,[1]MEP!$A$4:$K$300,5)</f>
        <v>0</v>
      </c>
      <c r="W44" s="76">
        <f>VLOOKUP($Q44,[1]MEP!$A$4:$K$300,6)</f>
        <v>0</v>
      </c>
      <c r="X44" s="76">
        <f>VLOOKUP($Q44,[1]MEP!$A$4:$K$300,7)</f>
        <v>0</v>
      </c>
      <c r="Y44" s="76">
        <f>VLOOKUP($Q44,[1]MEP!$A$4:$K$300,8)</f>
        <v>0</v>
      </c>
      <c r="Z44" s="76">
        <f>VLOOKUP($Q44,[1]MEP!$A$4:$K$300,9)</f>
        <v>0</v>
      </c>
      <c r="AA44" s="76">
        <f>VLOOKUP($Q44,[1]MEP!$A$4:$K$300,10)</f>
        <v>0</v>
      </c>
      <c r="AC44" s="76">
        <f>VLOOKUP($Q44,[1]MEP!$A$4:$K$300,11)</f>
        <v>0</v>
      </c>
      <c r="AE44" s="61">
        <f t="shared" si="28"/>
        <v>0</v>
      </c>
      <c r="AF44" s="61">
        <f t="shared" si="29"/>
        <v>0</v>
      </c>
      <c r="AG44" s="61">
        <f t="shared" si="30"/>
        <v>0</v>
      </c>
      <c r="AH44" s="61">
        <f t="shared" si="31"/>
        <v>0</v>
      </c>
      <c r="AI44" s="61">
        <f t="shared" si="32"/>
        <v>0</v>
      </c>
      <c r="AJ44" s="61">
        <f t="shared" si="33"/>
        <v>0</v>
      </c>
      <c r="AK44"/>
      <c r="AL44" s="61">
        <f t="shared" si="34"/>
        <v>0</v>
      </c>
      <c r="AN44" s="32"/>
      <c r="AO44" s="21"/>
      <c r="AP44" s="21"/>
      <c r="AQ44" s="21"/>
      <c r="AR44" s="21"/>
      <c r="AS44" s="21"/>
      <c r="AT44" s="21"/>
      <c r="AU44" s="5"/>
      <c r="BS44"/>
      <c r="BU44" s="82"/>
    </row>
    <row r="45" spans="2:73" x14ac:dyDescent="0.25">
      <c r="P45">
        <v>17</v>
      </c>
      <c r="Q45" s="39"/>
      <c r="R45" s="39"/>
      <c r="S45" s="76" t="e">
        <f>VLOOKUP($Q45,[1]MEP!$A$5:$D$300,3)</f>
        <v>#N/A</v>
      </c>
      <c r="T45" s="76" t="e">
        <f>VLOOKUP($Q45,[1]MEP!$A$5:$D$300,4)</f>
        <v>#N/A</v>
      </c>
      <c r="U45" s="76">
        <f>VLOOKUP($Q45,[1]MEP!$A$4:$K$300,2)</f>
        <v>0</v>
      </c>
      <c r="V45" s="76">
        <f>VLOOKUP($Q45,[1]MEP!$A$4:$K$300,5)</f>
        <v>0</v>
      </c>
      <c r="W45" s="76">
        <f>VLOOKUP($Q45,[1]MEP!$A$4:$K$300,6)</f>
        <v>0</v>
      </c>
      <c r="X45" s="76">
        <f>VLOOKUP($Q45,[1]MEP!$A$4:$K$300,7)</f>
        <v>0</v>
      </c>
      <c r="Y45" s="76">
        <f>VLOOKUP($Q45,[1]MEP!$A$4:$K$300,8)</f>
        <v>0</v>
      </c>
      <c r="Z45" s="76">
        <f>VLOOKUP($Q45,[1]MEP!$A$4:$K$300,9)</f>
        <v>0</v>
      </c>
      <c r="AA45" s="76">
        <f>VLOOKUP($Q45,[1]MEP!$A$4:$K$300,10)</f>
        <v>0</v>
      </c>
      <c r="AC45" s="76">
        <f>VLOOKUP($Q45,[1]MEP!$A$4:$K$300,11)</f>
        <v>0</v>
      </c>
      <c r="AE45" s="61">
        <f t="shared" si="28"/>
        <v>0</v>
      </c>
      <c r="AF45" s="61">
        <f t="shared" si="29"/>
        <v>0</v>
      </c>
      <c r="AG45" s="61">
        <f t="shared" si="30"/>
        <v>0</v>
      </c>
      <c r="AH45" s="61">
        <f t="shared" si="31"/>
        <v>0</v>
      </c>
      <c r="AI45" s="61">
        <f t="shared" si="32"/>
        <v>0</v>
      </c>
      <c r="AJ45" s="61">
        <f t="shared" si="33"/>
        <v>0</v>
      </c>
      <c r="AK45"/>
      <c r="AL45" s="61">
        <f t="shared" si="34"/>
        <v>0</v>
      </c>
      <c r="AN45" s="32"/>
      <c r="AT45" s="5"/>
      <c r="AU45" s="21"/>
      <c r="BS45"/>
      <c r="BU45" s="82"/>
    </row>
    <row r="46" spans="2:73" x14ac:dyDescent="0.25">
      <c r="P46">
        <v>18</v>
      </c>
      <c r="Q46" s="39"/>
      <c r="R46" s="39"/>
      <c r="S46" s="76" t="e">
        <f>VLOOKUP($Q46,[1]MEP!$A$5:$D$300,3)</f>
        <v>#N/A</v>
      </c>
      <c r="T46" s="76" t="e">
        <f>VLOOKUP($Q46,[1]MEP!$A$5:$D$300,4)</f>
        <v>#N/A</v>
      </c>
      <c r="U46" s="76">
        <f>VLOOKUP($Q46,[1]MEP!$A$4:$K$300,2)</f>
        <v>0</v>
      </c>
      <c r="V46" s="76">
        <f>VLOOKUP($Q46,[1]MEP!$A$4:$K$300,5)</f>
        <v>0</v>
      </c>
      <c r="W46" s="76">
        <f>VLOOKUP($Q46,[1]MEP!$A$4:$K$300,6)</f>
        <v>0</v>
      </c>
      <c r="X46" s="76">
        <f>VLOOKUP($Q46,[1]MEP!$A$4:$K$300,7)</f>
        <v>0</v>
      </c>
      <c r="Y46" s="76">
        <f>VLOOKUP($Q46,[1]MEP!$A$4:$K$300,8)</f>
        <v>0</v>
      </c>
      <c r="Z46" s="76">
        <f>VLOOKUP($Q46,[1]MEP!$A$4:$K$300,9)</f>
        <v>0</v>
      </c>
      <c r="AA46" s="76">
        <f>VLOOKUP($Q46,[1]MEP!$A$4:$K$300,10)</f>
        <v>0</v>
      </c>
      <c r="AC46" s="76">
        <f>VLOOKUP($Q46,[1]MEP!$A$4:$K$300,11)</f>
        <v>0</v>
      </c>
      <c r="AE46" s="61">
        <f t="shared" si="28"/>
        <v>0</v>
      </c>
      <c r="AF46" s="61">
        <f t="shared" si="29"/>
        <v>0</v>
      </c>
      <c r="AG46" s="61">
        <f t="shared" si="30"/>
        <v>0</v>
      </c>
      <c r="AH46" s="61">
        <f t="shared" si="31"/>
        <v>0</v>
      </c>
      <c r="AI46" s="61">
        <f t="shared" si="32"/>
        <v>0</v>
      </c>
      <c r="AJ46" s="61">
        <f t="shared" si="33"/>
        <v>0</v>
      </c>
      <c r="AK46"/>
      <c r="AL46" s="61">
        <f t="shared" si="34"/>
        <v>0</v>
      </c>
      <c r="AM46" s="21"/>
      <c r="AN46" s="32"/>
      <c r="AO46" s="21"/>
      <c r="AP46" s="21"/>
      <c r="AQ46" s="21"/>
      <c r="AR46" s="21"/>
      <c r="AS46" s="21"/>
      <c r="AT46" s="21"/>
      <c r="AU46" s="5"/>
      <c r="BS46"/>
      <c r="BU46" s="82"/>
    </row>
    <row r="47" spans="2:73" x14ac:dyDescent="0.25">
      <c r="P47">
        <v>19</v>
      </c>
      <c r="Q47" s="39"/>
      <c r="R47" s="39"/>
      <c r="S47" s="76" t="e">
        <f>VLOOKUP($Q47,[1]MEP!$A$5:$D$300,3)</f>
        <v>#N/A</v>
      </c>
      <c r="T47" s="76" t="e">
        <f>VLOOKUP($Q47,[1]MEP!$A$5:$D$300,4)</f>
        <v>#N/A</v>
      </c>
      <c r="U47" s="76">
        <f>VLOOKUP($Q47,[1]MEP!$A$4:$K$300,2)</f>
        <v>0</v>
      </c>
      <c r="V47" s="76">
        <f>VLOOKUP($Q47,[1]MEP!$A$4:$K$300,5)</f>
        <v>0</v>
      </c>
      <c r="W47" s="76">
        <f>VLOOKUP($Q47,[1]MEP!$A$4:$K$300,6)</f>
        <v>0</v>
      </c>
      <c r="X47" s="76">
        <f>VLOOKUP($Q47,[1]MEP!$A$4:$K$300,7)</f>
        <v>0</v>
      </c>
      <c r="Y47" s="76">
        <f>VLOOKUP($Q47,[1]MEP!$A$4:$K$300,8)</f>
        <v>0</v>
      </c>
      <c r="Z47" s="76">
        <f>VLOOKUP($Q47,[1]MEP!$A$4:$K$300,9)</f>
        <v>0</v>
      </c>
      <c r="AA47" s="76">
        <f>VLOOKUP($Q47,[1]MEP!$A$4:$K$300,10)</f>
        <v>0</v>
      </c>
      <c r="AC47" s="76">
        <f>VLOOKUP($Q47,[1]MEP!$A$4:$K$300,11)</f>
        <v>0</v>
      </c>
      <c r="AE47" s="61">
        <f t="shared" si="28"/>
        <v>0</v>
      </c>
      <c r="AF47" s="61">
        <f t="shared" si="29"/>
        <v>0</v>
      </c>
      <c r="AG47" s="61">
        <f t="shared" si="30"/>
        <v>0</v>
      </c>
      <c r="AH47" s="61">
        <f t="shared" si="31"/>
        <v>0</v>
      </c>
      <c r="AI47" s="61">
        <f t="shared" si="32"/>
        <v>0</v>
      </c>
      <c r="AJ47" s="61">
        <f t="shared" si="33"/>
        <v>0</v>
      </c>
      <c r="AK47"/>
      <c r="AL47" s="61">
        <f t="shared" si="34"/>
        <v>0</v>
      </c>
      <c r="AM47" s="21"/>
      <c r="AN47" s="32"/>
      <c r="AT47" s="5"/>
      <c r="AU47" s="5"/>
      <c r="BS47"/>
      <c r="BU47" s="82"/>
    </row>
    <row r="48" spans="2:73" x14ac:dyDescent="0.25">
      <c r="C48" s="43" t="s">
        <v>425</v>
      </c>
      <c r="P48">
        <v>20</v>
      </c>
      <c r="Q48" s="39"/>
      <c r="R48" s="39"/>
      <c r="S48" s="76" t="e">
        <f>VLOOKUP($Q48,[1]MEP!$A$5:$D$300,3)</f>
        <v>#N/A</v>
      </c>
      <c r="T48" s="76" t="e">
        <f>VLOOKUP($Q48,[1]MEP!$A$5:$D$300,4)</f>
        <v>#N/A</v>
      </c>
      <c r="U48" s="76">
        <f>VLOOKUP($Q48,[1]MEP!$A$4:$K$300,2)</f>
        <v>0</v>
      </c>
      <c r="V48" s="76">
        <f>VLOOKUP($Q48,[1]MEP!$A$4:$K$300,5)</f>
        <v>0</v>
      </c>
      <c r="W48" s="76">
        <f>VLOOKUP($Q48,[1]MEP!$A$4:$K$300,6)</f>
        <v>0</v>
      </c>
      <c r="X48" s="76">
        <f>VLOOKUP($Q48,[1]MEP!$A$4:$K$300,7)</f>
        <v>0</v>
      </c>
      <c r="Y48" s="76">
        <f>VLOOKUP($Q48,[1]MEP!$A$4:$K$300,8)</f>
        <v>0</v>
      </c>
      <c r="Z48" s="76">
        <f>VLOOKUP($Q48,[1]MEP!$A$4:$K$300,9)</f>
        <v>0</v>
      </c>
      <c r="AA48" s="76">
        <f>VLOOKUP($Q48,[1]MEP!$A$4:$K$300,10)</f>
        <v>0</v>
      </c>
      <c r="AC48" s="76">
        <f>VLOOKUP($Q48,[1]MEP!$A$4:$K$300,11)</f>
        <v>0</v>
      </c>
      <c r="AE48" s="61">
        <f t="shared" si="28"/>
        <v>0</v>
      </c>
      <c r="AF48" s="61">
        <f t="shared" si="29"/>
        <v>0</v>
      </c>
      <c r="AG48" s="61">
        <f t="shared" si="30"/>
        <v>0</v>
      </c>
      <c r="AH48" s="61">
        <f t="shared" si="31"/>
        <v>0</v>
      </c>
      <c r="AI48" s="61">
        <f t="shared" si="32"/>
        <v>0</v>
      </c>
      <c r="AJ48" s="61">
        <f t="shared" si="33"/>
        <v>0</v>
      </c>
      <c r="AK48"/>
      <c r="AL48" s="61">
        <f t="shared" si="34"/>
        <v>0</v>
      </c>
      <c r="AN48" s="32"/>
      <c r="AT48" s="5"/>
      <c r="AU48" s="21"/>
      <c r="BS48"/>
      <c r="BU48" s="82"/>
    </row>
    <row r="49" spans="5:73" x14ac:dyDescent="0.25">
      <c r="F49" t="s">
        <v>285</v>
      </c>
      <c r="R49" s="58"/>
      <c r="S49" s="139"/>
      <c r="T49" s="139"/>
      <c r="AA49"/>
      <c r="AC49" s="58"/>
      <c r="AE49" s="75">
        <f>SUM(AE29:AE48)</f>
        <v>0</v>
      </c>
      <c r="AF49" s="75">
        <f t="shared" ref="AF49" si="50">SUM(AF29:AF48)</f>
        <v>0</v>
      </c>
      <c r="AG49" s="75">
        <f t="shared" ref="AG49" si="51">SUM(AG29:AG48)</f>
        <v>0</v>
      </c>
      <c r="AH49" s="75">
        <f t="shared" ref="AH49" si="52">SUM(AH29:AH48)</f>
        <v>0</v>
      </c>
      <c r="AI49" s="75">
        <f t="shared" ref="AI49" si="53">SUM(AI29:AI48)</f>
        <v>0</v>
      </c>
      <c r="AJ49" s="75">
        <f t="shared" ref="AJ49" si="54">SUM(AJ29:AJ48)</f>
        <v>0</v>
      </c>
      <c r="AK49"/>
      <c r="AL49" s="75">
        <f>SUM(AL29:AL48)</f>
        <v>0</v>
      </c>
      <c r="AN49" s="32"/>
      <c r="AO49" s="21"/>
      <c r="AP49" s="21"/>
      <c r="AQ49" s="21"/>
      <c r="AR49" s="21"/>
      <c r="AS49" s="21"/>
      <c r="AT49" s="21"/>
      <c r="AU49" s="21"/>
      <c r="BS49"/>
      <c r="BU49" s="82"/>
    </row>
    <row r="50" spans="5:73" x14ac:dyDescent="0.25">
      <c r="E50" s="14" t="s">
        <v>308</v>
      </c>
      <c r="F50" t="str">
        <f>E13</f>
        <v>1 -maïs-grain</v>
      </c>
      <c r="G50" t="str">
        <f>E14</f>
        <v>2 -grain céréales à paille</v>
      </c>
      <c r="H50" t="str">
        <f>E15</f>
        <v>3 -graines protéagineux</v>
      </c>
      <c r="J50" t="str">
        <f>E16</f>
        <v>4 -</v>
      </c>
      <c r="K50" t="str">
        <f>E17</f>
        <v>5 -</v>
      </c>
      <c r="R50" s="58"/>
      <c r="S50" s="139"/>
      <c r="T50" s="139"/>
      <c r="AA50"/>
      <c r="AC50" s="58"/>
      <c r="AK50"/>
      <c r="AL50"/>
      <c r="AN50" s="32"/>
      <c r="AO50" s="21"/>
      <c r="AP50" s="21"/>
      <c r="AQ50" s="21"/>
      <c r="AR50" s="21"/>
      <c r="AS50" s="21"/>
      <c r="AT50" s="21"/>
      <c r="AU50" s="5"/>
      <c r="BS50"/>
      <c r="BU50" s="82"/>
    </row>
    <row r="51" spans="5:73" x14ac:dyDescent="0.25">
      <c r="E51" s="14">
        <v>1</v>
      </c>
      <c r="F51" s="61">
        <f t="shared" ref="F51:F60" si="55">IF($J34=1,$K34,0)</f>
        <v>0</v>
      </c>
      <c r="G51" s="61">
        <f t="shared" ref="G51:G60" si="56">IF($J34=2,$K34,0)</f>
        <v>0</v>
      </c>
      <c r="H51" s="61">
        <f t="shared" ref="H51:I60" si="57">IF($J34=3,$K34,0)</f>
        <v>0</v>
      </c>
      <c r="I51" s="61">
        <f t="shared" si="57"/>
        <v>0</v>
      </c>
      <c r="J51" s="61">
        <f t="shared" ref="J51:J60" si="58">IF($J34=4,$K34,0)</f>
        <v>0</v>
      </c>
      <c r="K51" s="61">
        <f t="shared" ref="K51:K60" si="59">IF($J34=5,$K34,0)</f>
        <v>0</v>
      </c>
      <c r="M51" s="63"/>
      <c r="N51" s="40" t="s">
        <v>271</v>
      </c>
      <c r="O51" s="39"/>
      <c r="P51">
        <v>1</v>
      </c>
      <c r="Q51" s="39"/>
      <c r="R51" s="39"/>
      <c r="S51" s="76" t="e">
        <f>VLOOKUP($Q51,[1]MEP!$A$5:$D$300,3)</f>
        <v>#N/A</v>
      </c>
      <c r="T51" s="76" t="e">
        <f>VLOOKUP($Q51,[1]MEP!$A$5:$D$300,4)</f>
        <v>#N/A</v>
      </c>
      <c r="U51" s="76">
        <f>VLOOKUP($Q51,[1]MEP!$A$4:$K$300,2)</f>
        <v>0</v>
      </c>
      <c r="V51" s="76">
        <f>VLOOKUP($Q51,[1]MEP!$A$4:$K$300,5)</f>
        <v>0</v>
      </c>
      <c r="W51" s="76">
        <f>VLOOKUP($Q51,[1]MEP!$A$4:$K$300,6)</f>
        <v>0</v>
      </c>
      <c r="X51" s="76">
        <f>VLOOKUP($Q51,[1]MEP!$A$4:$K$300,7)</f>
        <v>0</v>
      </c>
      <c r="Y51" s="76">
        <f>VLOOKUP($Q51,[1]MEP!$A$4:$K$300,8)</f>
        <v>0</v>
      </c>
      <c r="Z51" s="76">
        <f>VLOOKUP($Q51,[1]MEP!$A$4:$K$300,9)</f>
        <v>0</v>
      </c>
      <c r="AA51" s="76">
        <f>VLOOKUP($Q51,[1]MEP!$A$4:$K$300,10)</f>
        <v>0</v>
      </c>
      <c r="AC51" s="76">
        <f>VLOOKUP($Q51,[1]MEP!$A$4:$K$300,11)</f>
        <v>0</v>
      </c>
      <c r="AE51" s="61">
        <f t="shared" ref="AE51:AE70" si="60">$R51*V51</f>
        <v>0</v>
      </c>
      <c r="AF51" s="61">
        <f t="shared" ref="AF51:AF70" si="61">$R51*W51</f>
        <v>0</v>
      </c>
      <c r="AG51" s="61">
        <f t="shared" ref="AG51:AG70" si="62">$R51*X51</f>
        <v>0</v>
      </c>
      <c r="AH51" s="61">
        <f t="shared" ref="AH51:AH70" si="63">$R51*Y51</f>
        <v>0</v>
      </c>
      <c r="AI51" s="61">
        <f t="shared" ref="AI51:AI70" si="64">$R51*Z51</f>
        <v>0</v>
      </c>
      <c r="AJ51" s="61">
        <f t="shared" ref="AJ51:AJ70" si="65">$R51*AA51</f>
        <v>0</v>
      </c>
      <c r="AK51"/>
      <c r="AL51" s="61">
        <f t="shared" ref="AL51:AL70" si="66">R51*AC51</f>
        <v>0</v>
      </c>
      <c r="AN51" s="32"/>
      <c r="AT51" s="5"/>
      <c r="AU51" s="5"/>
      <c r="BS51"/>
      <c r="BU51" s="82"/>
    </row>
    <row r="52" spans="5:73" x14ac:dyDescent="0.25">
      <c r="E52" s="14">
        <v>2</v>
      </c>
      <c r="F52" s="61">
        <f t="shared" si="55"/>
        <v>0</v>
      </c>
      <c r="G52" s="61">
        <f t="shared" si="56"/>
        <v>0</v>
      </c>
      <c r="H52" s="61">
        <f t="shared" si="57"/>
        <v>0</v>
      </c>
      <c r="I52" s="61">
        <f t="shared" si="57"/>
        <v>0</v>
      </c>
      <c r="J52" s="61">
        <f t="shared" si="58"/>
        <v>0</v>
      </c>
      <c r="K52" s="61">
        <f t="shared" si="59"/>
        <v>0</v>
      </c>
      <c r="M52" s="91"/>
      <c r="N52" s="17" t="s">
        <v>89</v>
      </c>
      <c r="O52" s="42">
        <f>SUM(R51:R70)</f>
        <v>0</v>
      </c>
      <c r="P52">
        <v>2</v>
      </c>
      <c r="Q52" s="39"/>
      <c r="R52" s="39"/>
      <c r="S52" s="76" t="e">
        <f>VLOOKUP($Q52,[1]MEP!$A$5:$D$300,3)</f>
        <v>#N/A</v>
      </c>
      <c r="T52" s="76" t="e">
        <f>VLOOKUP($Q52,[1]MEP!$A$5:$D$300,4)</f>
        <v>#N/A</v>
      </c>
      <c r="U52" s="76">
        <f>VLOOKUP($Q52,[1]MEP!$A$4:$K$300,2)</f>
        <v>0</v>
      </c>
      <c r="V52" s="76">
        <f>VLOOKUP($Q52,[1]MEP!$A$4:$K$300,5)</f>
        <v>0</v>
      </c>
      <c r="W52" s="76">
        <f>VLOOKUP($Q52,[1]MEP!$A$4:$K$300,6)</f>
        <v>0</v>
      </c>
      <c r="X52" s="76">
        <f>VLOOKUP($Q52,[1]MEP!$A$4:$K$300,7)</f>
        <v>0</v>
      </c>
      <c r="Y52" s="76">
        <f>VLOOKUP($Q52,[1]MEP!$A$4:$K$300,8)</f>
        <v>0</v>
      </c>
      <c r="Z52" s="76">
        <f>VLOOKUP($Q52,[1]MEP!$A$4:$K$300,9)</f>
        <v>0</v>
      </c>
      <c r="AA52" s="76">
        <f>VLOOKUP($Q52,[1]MEP!$A$4:$K$300,10)</f>
        <v>0</v>
      </c>
      <c r="AC52" s="76">
        <f>VLOOKUP($Q52,[1]MEP!$A$4:$K$300,11)</f>
        <v>0</v>
      </c>
      <c r="AE52" s="61">
        <f t="shared" si="60"/>
        <v>0</v>
      </c>
      <c r="AF52" s="61">
        <f t="shared" si="61"/>
        <v>0</v>
      </c>
      <c r="AG52" s="61">
        <f t="shared" si="62"/>
        <v>0</v>
      </c>
      <c r="AH52" s="61">
        <f t="shared" si="63"/>
        <v>0</v>
      </c>
      <c r="AI52" s="61">
        <f t="shared" si="64"/>
        <v>0</v>
      </c>
      <c r="AJ52" s="61">
        <f t="shared" si="65"/>
        <v>0</v>
      </c>
      <c r="AK52"/>
      <c r="AL52" s="61">
        <f t="shared" si="66"/>
        <v>0</v>
      </c>
      <c r="AN52" s="32"/>
      <c r="AT52" s="5"/>
      <c r="AU52" s="5"/>
      <c r="BS52"/>
      <c r="BU52" s="82"/>
    </row>
    <row r="53" spans="5:73" x14ac:dyDescent="0.25">
      <c r="E53" s="14">
        <v>3</v>
      </c>
      <c r="F53" s="61">
        <f t="shared" si="55"/>
        <v>0</v>
      </c>
      <c r="G53" s="61">
        <f t="shared" si="56"/>
        <v>0</v>
      </c>
      <c r="H53" s="61">
        <f t="shared" si="57"/>
        <v>0</v>
      </c>
      <c r="I53" s="61">
        <f t="shared" si="57"/>
        <v>0</v>
      </c>
      <c r="J53" s="61">
        <f t="shared" si="58"/>
        <v>0</v>
      </c>
      <c r="K53" s="61">
        <f t="shared" si="59"/>
        <v>0</v>
      </c>
      <c r="P53">
        <v>3</v>
      </c>
      <c r="Q53" s="39"/>
      <c r="R53" s="39"/>
      <c r="S53" s="76" t="e">
        <f>VLOOKUP($Q53,[1]MEP!$A$5:$D$300,3)</f>
        <v>#N/A</v>
      </c>
      <c r="T53" s="76" t="e">
        <f>VLOOKUP($Q53,[1]MEP!$A$5:$D$300,4)</f>
        <v>#N/A</v>
      </c>
      <c r="U53" s="76">
        <f>VLOOKUP($Q53,[1]MEP!$A$4:$K$300,2)</f>
        <v>0</v>
      </c>
      <c r="V53" s="76">
        <f>VLOOKUP($Q53,[1]MEP!$A$4:$K$300,5)</f>
        <v>0</v>
      </c>
      <c r="W53" s="76">
        <f>VLOOKUP($Q53,[1]MEP!$A$4:$K$300,6)</f>
        <v>0</v>
      </c>
      <c r="X53" s="76">
        <f>VLOOKUP($Q53,[1]MEP!$A$4:$K$300,7)</f>
        <v>0</v>
      </c>
      <c r="Y53" s="76">
        <f>VLOOKUP($Q53,[1]MEP!$A$4:$K$300,8)</f>
        <v>0</v>
      </c>
      <c r="Z53" s="76">
        <f>VLOOKUP($Q53,[1]MEP!$A$4:$K$300,9)</f>
        <v>0</v>
      </c>
      <c r="AA53" s="76">
        <f>VLOOKUP($Q53,[1]MEP!$A$4:$K$300,10)</f>
        <v>0</v>
      </c>
      <c r="AC53" s="76">
        <f>VLOOKUP($Q53,[1]MEP!$A$4:$K$300,11)</f>
        <v>0</v>
      </c>
      <c r="AE53" s="61">
        <f t="shared" si="60"/>
        <v>0</v>
      </c>
      <c r="AF53" s="61">
        <f t="shared" si="61"/>
        <v>0</v>
      </c>
      <c r="AG53" s="61">
        <f t="shared" si="62"/>
        <v>0</v>
      </c>
      <c r="AH53" s="61">
        <f t="shared" si="63"/>
        <v>0</v>
      </c>
      <c r="AI53" s="61">
        <f t="shared" si="64"/>
        <v>0</v>
      </c>
      <c r="AJ53" s="61">
        <f t="shared" si="65"/>
        <v>0</v>
      </c>
      <c r="AK53"/>
      <c r="AL53" s="61">
        <f t="shared" si="66"/>
        <v>0</v>
      </c>
      <c r="AN53" s="32"/>
      <c r="AT53" s="5"/>
      <c r="AU53" s="5"/>
      <c r="BS53"/>
      <c r="BU53" s="82"/>
    </row>
    <row r="54" spans="5:73" x14ac:dyDescent="0.25">
      <c r="E54" s="14">
        <v>4</v>
      </c>
      <c r="F54" s="61">
        <f t="shared" si="55"/>
        <v>0</v>
      </c>
      <c r="G54" s="61">
        <f t="shared" si="56"/>
        <v>0</v>
      </c>
      <c r="H54" s="61">
        <f t="shared" si="57"/>
        <v>0</v>
      </c>
      <c r="I54" s="61">
        <f t="shared" si="57"/>
        <v>0</v>
      </c>
      <c r="J54" s="61">
        <f t="shared" si="58"/>
        <v>0</v>
      </c>
      <c r="K54" s="61">
        <f t="shared" si="59"/>
        <v>0</v>
      </c>
      <c r="P54">
        <v>4</v>
      </c>
      <c r="Q54" s="39"/>
      <c r="R54" s="39"/>
      <c r="S54" s="76" t="e">
        <f>VLOOKUP($Q54,[1]MEP!$A$5:$D$300,3)</f>
        <v>#N/A</v>
      </c>
      <c r="T54" s="76" t="e">
        <f>VLOOKUP($Q54,[1]MEP!$A$5:$D$300,4)</f>
        <v>#N/A</v>
      </c>
      <c r="U54" s="76">
        <f>VLOOKUP($Q54,[1]MEP!$A$4:$K$300,2)</f>
        <v>0</v>
      </c>
      <c r="V54" s="76">
        <f>VLOOKUP($Q54,[1]MEP!$A$4:$K$300,5)</f>
        <v>0</v>
      </c>
      <c r="W54" s="76">
        <f>VLOOKUP($Q54,[1]MEP!$A$4:$K$300,6)</f>
        <v>0</v>
      </c>
      <c r="X54" s="76">
        <f>VLOOKUP($Q54,[1]MEP!$A$4:$K$300,7)</f>
        <v>0</v>
      </c>
      <c r="Y54" s="76">
        <f>VLOOKUP($Q54,[1]MEP!$A$4:$K$300,8)</f>
        <v>0</v>
      </c>
      <c r="Z54" s="76">
        <f>VLOOKUP($Q54,[1]MEP!$A$4:$K$300,9)</f>
        <v>0</v>
      </c>
      <c r="AA54" s="76">
        <f>VLOOKUP($Q54,[1]MEP!$A$4:$K$300,10)</f>
        <v>0</v>
      </c>
      <c r="AC54" s="76">
        <f>VLOOKUP($Q54,[1]MEP!$A$4:$K$300,11)</f>
        <v>0</v>
      </c>
      <c r="AE54" s="61">
        <f t="shared" si="60"/>
        <v>0</v>
      </c>
      <c r="AF54" s="61">
        <f t="shared" si="61"/>
        <v>0</v>
      </c>
      <c r="AG54" s="61">
        <f t="shared" si="62"/>
        <v>0</v>
      </c>
      <c r="AH54" s="61">
        <f t="shared" si="63"/>
        <v>0</v>
      </c>
      <c r="AI54" s="61">
        <f t="shared" si="64"/>
        <v>0</v>
      </c>
      <c r="AJ54" s="61">
        <f t="shared" si="65"/>
        <v>0</v>
      </c>
      <c r="AK54"/>
      <c r="AL54" s="61">
        <f t="shared" si="66"/>
        <v>0</v>
      </c>
      <c r="AN54" s="32"/>
      <c r="AT54" s="5"/>
      <c r="AU54" s="5"/>
      <c r="BS54"/>
      <c r="BU54" s="82"/>
    </row>
    <row r="55" spans="5:73" x14ac:dyDescent="0.25">
      <c r="E55" s="14">
        <v>5</v>
      </c>
      <c r="F55" s="61">
        <f t="shared" si="55"/>
        <v>0</v>
      </c>
      <c r="G55" s="61">
        <f t="shared" si="56"/>
        <v>0</v>
      </c>
      <c r="H55" s="61">
        <f t="shared" si="57"/>
        <v>0</v>
      </c>
      <c r="I55" s="61">
        <f t="shared" si="57"/>
        <v>0</v>
      </c>
      <c r="J55" s="61">
        <f t="shared" si="58"/>
        <v>0</v>
      </c>
      <c r="K55" s="61">
        <f t="shared" si="59"/>
        <v>0</v>
      </c>
      <c r="P55">
        <v>5</v>
      </c>
      <c r="Q55" s="39"/>
      <c r="R55" s="39"/>
      <c r="S55" s="76" t="e">
        <f>VLOOKUP($Q55,[1]MEP!$A$5:$D$300,3)</f>
        <v>#N/A</v>
      </c>
      <c r="T55" s="76" t="e">
        <f>VLOOKUP($Q55,[1]MEP!$A$5:$D$300,4)</f>
        <v>#N/A</v>
      </c>
      <c r="U55" s="76">
        <f>VLOOKUP($Q55,[1]MEP!$A$4:$K$300,2)</f>
        <v>0</v>
      </c>
      <c r="V55" s="76">
        <f>VLOOKUP($Q55,[1]MEP!$A$4:$K$300,5)</f>
        <v>0</v>
      </c>
      <c r="W55" s="76">
        <f>VLOOKUP($Q55,[1]MEP!$A$4:$K$300,6)</f>
        <v>0</v>
      </c>
      <c r="X55" s="76">
        <f>VLOOKUP($Q55,[1]MEP!$A$4:$K$300,7)</f>
        <v>0</v>
      </c>
      <c r="Y55" s="76">
        <f>VLOOKUP($Q55,[1]MEP!$A$4:$K$300,8)</f>
        <v>0</v>
      </c>
      <c r="Z55" s="76">
        <f>VLOOKUP($Q55,[1]MEP!$A$4:$K$300,9)</f>
        <v>0</v>
      </c>
      <c r="AA55" s="76">
        <f>VLOOKUP($Q55,[1]MEP!$A$4:$K$300,10)</f>
        <v>0</v>
      </c>
      <c r="AC55" s="76">
        <f>VLOOKUP($Q55,[1]MEP!$A$4:$K$300,11)</f>
        <v>0</v>
      </c>
      <c r="AE55" s="61">
        <f t="shared" si="60"/>
        <v>0</v>
      </c>
      <c r="AF55" s="61">
        <f t="shared" si="61"/>
        <v>0</v>
      </c>
      <c r="AG55" s="61">
        <f t="shared" si="62"/>
        <v>0</v>
      </c>
      <c r="AH55" s="61">
        <f t="shared" si="63"/>
        <v>0</v>
      </c>
      <c r="AI55" s="61">
        <f t="shared" si="64"/>
        <v>0</v>
      </c>
      <c r="AJ55" s="61">
        <f t="shared" si="65"/>
        <v>0</v>
      </c>
      <c r="AK55"/>
      <c r="AL55" s="61">
        <f t="shared" si="66"/>
        <v>0</v>
      </c>
      <c r="AN55" s="32"/>
      <c r="AT55" s="5"/>
      <c r="AU55" s="5"/>
      <c r="BS55"/>
      <c r="BU55" s="82"/>
    </row>
    <row r="56" spans="5:73" x14ac:dyDescent="0.25">
      <c r="E56" s="14">
        <v>6</v>
      </c>
      <c r="F56" s="61">
        <f t="shared" si="55"/>
        <v>0</v>
      </c>
      <c r="G56" s="61">
        <f t="shared" si="56"/>
        <v>0</v>
      </c>
      <c r="H56" s="61">
        <f t="shared" si="57"/>
        <v>0</v>
      </c>
      <c r="I56" s="61">
        <f t="shared" si="57"/>
        <v>0</v>
      </c>
      <c r="J56" s="61">
        <f t="shared" si="58"/>
        <v>0</v>
      </c>
      <c r="K56" s="61">
        <f t="shared" si="59"/>
        <v>0</v>
      </c>
      <c r="M56" s="5"/>
      <c r="P56">
        <v>6</v>
      </c>
      <c r="Q56" s="39"/>
      <c r="R56" s="39"/>
      <c r="S56" s="76" t="e">
        <f>VLOOKUP($Q56,[1]MEP!$A$5:$D$300,3)</f>
        <v>#N/A</v>
      </c>
      <c r="T56" s="76" t="e">
        <f>VLOOKUP($Q56,[1]MEP!$A$5:$D$300,4)</f>
        <v>#N/A</v>
      </c>
      <c r="U56" s="76">
        <f>VLOOKUP($Q56,[1]MEP!$A$4:$K$300,2)</f>
        <v>0</v>
      </c>
      <c r="V56" s="76">
        <f>VLOOKUP($Q56,[1]MEP!$A$4:$K$300,5)</f>
        <v>0</v>
      </c>
      <c r="W56" s="76">
        <f>VLOOKUP($Q56,[1]MEP!$A$4:$K$300,6)</f>
        <v>0</v>
      </c>
      <c r="X56" s="76">
        <f>VLOOKUP($Q56,[1]MEP!$A$4:$K$300,7)</f>
        <v>0</v>
      </c>
      <c r="Y56" s="76">
        <f>VLOOKUP($Q56,[1]MEP!$A$4:$K$300,8)</f>
        <v>0</v>
      </c>
      <c r="Z56" s="76">
        <f>VLOOKUP($Q56,[1]MEP!$A$4:$K$300,9)</f>
        <v>0</v>
      </c>
      <c r="AA56" s="76">
        <f>VLOOKUP($Q56,[1]MEP!$A$4:$K$300,10)</f>
        <v>0</v>
      </c>
      <c r="AC56" s="76">
        <f>VLOOKUP($Q56,[1]MEP!$A$4:$K$300,11)</f>
        <v>0</v>
      </c>
      <c r="AE56" s="61">
        <f t="shared" si="60"/>
        <v>0</v>
      </c>
      <c r="AF56" s="61">
        <f t="shared" si="61"/>
        <v>0</v>
      </c>
      <c r="AG56" s="61">
        <f t="shared" si="62"/>
        <v>0</v>
      </c>
      <c r="AH56" s="61">
        <f t="shared" si="63"/>
        <v>0</v>
      </c>
      <c r="AI56" s="61">
        <f t="shared" si="64"/>
        <v>0</v>
      </c>
      <c r="AJ56" s="61">
        <f t="shared" si="65"/>
        <v>0</v>
      </c>
      <c r="AK56"/>
      <c r="AL56" s="61">
        <f t="shared" si="66"/>
        <v>0</v>
      </c>
      <c r="AN56" s="32"/>
      <c r="AT56" s="5"/>
      <c r="AU56" s="5"/>
      <c r="BS56"/>
      <c r="BU56" s="82"/>
    </row>
    <row r="57" spans="5:73" x14ac:dyDescent="0.25">
      <c r="E57" s="14">
        <v>7</v>
      </c>
      <c r="F57" s="61">
        <f t="shared" si="55"/>
        <v>0</v>
      </c>
      <c r="G57" s="61">
        <f t="shared" si="56"/>
        <v>0</v>
      </c>
      <c r="H57" s="61">
        <f t="shared" si="57"/>
        <v>0</v>
      </c>
      <c r="I57" s="61">
        <f t="shared" si="57"/>
        <v>0</v>
      </c>
      <c r="J57" s="61">
        <f t="shared" si="58"/>
        <v>0</v>
      </c>
      <c r="K57" s="61">
        <f t="shared" si="59"/>
        <v>0</v>
      </c>
      <c r="M57" s="5"/>
      <c r="P57">
        <v>7</v>
      </c>
      <c r="Q57" s="39"/>
      <c r="R57" s="39"/>
      <c r="S57" s="76" t="e">
        <f>VLOOKUP($Q57,[1]MEP!$A$5:$D$300,3)</f>
        <v>#N/A</v>
      </c>
      <c r="T57" s="76" t="e">
        <f>VLOOKUP($Q57,[1]MEP!$A$5:$D$300,4)</f>
        <v>#N/A</v>
      </c>
      <c r="U57" s="76">
        <f>VLOOKUP($Q57,[1]MEP!$A$4:$K$300,2)</f>
        <v>0</v>
      </c>
      <c r="V57" s="76">
        <f>VLOOKUP($Q57,[1]MEP!$A$4:$K$300,5)</f>
        <v>0</v>
      </c>
      <c r="W57" s="76">
        <f>VLOOKUP($Q57,[1]MEP!$A$4:$K$300,6)</f>
        <v>0</v>
      </c>
      <c r="X57" s="76">
        <f>VLOOKUP($Q57,[1]MEP!$A$4:$K$300,7)</f>
        <v>0</v>
      </c>
      <c r="Y57" s="76">
        <f>VLOOKUP($Q57,[1]MEP!$A$4:$K$300,8)</f>
        <v>0</v>
      </c>
      <c r="Z57" s="76">
        <f>VLOOKUP($Q57,[1]MEP!$A$4:$K$300,9)</f>
        <v>0</v>
      </c>
      <c r="AA57" s="76">
        <f>VLOOKUP($Q57,[1]MEP!$A$4:$K$300,10)</f>
        <v>0</v>
      </c>
      <c r="AC57" s="76">
        <f>VLOOKUP($Q57,[1]MEP!$A$4:$K$300,11)</f>
        <v>0</v>
      </c>
      <c r="AE57" s="61">
        <f t="shared" si="60"/>
        <v>0</v>
      </c>
      <c r="AF57" s="61">
        <f t="shared" si="61"/>
        <v>0</v>
      </c>
      <c r="AG57" s="61">
        <f t="shared" si="62"/>
        <v>0</v>
      </c>
      <c r="AH57" s="61">
        <f t="shared" si="63"/>
        <v>0</v>
      </c>
      <c r="AI57" s="61">
        <f t="shared" si="64"/>
        <v>0</v>
      </c>
      <c r="AJ57" s="61">
        <f t="shared" si="65"/>
        <v>0</v>
      </c>
      <c r="AK57"/>
      <c r="AL57" s="61">
        <f t="shared" si="66"/>
        <v>0</v>
      </c>
      <c r="AN57" s="32"/>
      <c r="AT57" s="5"/>
      <c r="AU57" s="5"/>
      <c r="BS57"/>
      <c r="BU57" s="82"/>
    </row>
    <row r="58" spans="5:73" x14ac:dyDescent="0.25">
      <c r="E58" s="14">
        <v>8</v>
      </c>
      <c r="F58" s="61">
        <f t="shared" si="55"/>
        <v>0</v>
      </c>
      <c r="G58" s="61">
        <f t="shared" si="56"/>
        <v>0</v>
      </c>
      <c r="H58" s="61">
        <f t="shared" si="57"/>
        <v>0</v>
      </c>
      <c r="I58" s="61">
        <f t="shared" si="57"/>
        <v>0</v>
      </c>
      <c r="J58" s="61">
        <f t="shared" si="58"/>
        <v>0</v>
      </c>
      <c r="K58" s="61">
        <f t="shared" si="59"/>
        <v>0</v>
      </c>
      <c r="M58" s="5"/>
      <c r="P58">
        <v>8</v>
      </c>
      <c r="Q58" s="39"/>
      <c r="R58" s="39"/>
      <c r="S58" s="76" t="e">
        <f>VLOOKUP($Q58,[1]MEP!$A$5:$D$300,3)</f>
        <v>#N/A</v>
      </c>
      <c r="T58" s="76" t="e">
        <f>VLOOKUP($Q58,[1]MEP!$A$5:$D$300,4)</f>
        <v>#N/A</v>
      </c>
      <c r="U58" s="76">
        <f>VLOOKUP($Q58,[1]MEP!$A$4:$K$300,2)</f>
        <v>0</v>
      </c>
      <c r="V58" s="76">
        <f>VLOOKUP($Q58,[1]MEP!$A$4:$K$300,5)</f>
        <v>0</v>
      </c>
      <c r="W58" s="76">
        <f>VLOOKUP($Q58,[1]MEP!$A$4:$K$300,6)</f>
        <v>0</v>
      </c>
      <c r="X58" s="76">
        <f>VLOOKUP($Q58,[1]MEP!$A$4:$K$300,7)</f>
        <v>0</v>
      </c>
      <c r="Y58" s="76">
        <f>VLOOKUP($Q58,[1]MEP!$A$4:$K$300,8)</f>
        <v>0</v>
      </c>
      <c r="Z58" s="76">
        <f>VLOOKUP($Q58,[1]MEP!$A$4:$K$300,9)</f>
        <v>0</v>
      </c>
      <c r="AA58" s="76">
        <f>VLOOKUP($Q58,[1]MEP!$A$4:$K$300,10)</f>
        <v>0</v>
      </c>
      <c r="AC58" s="76">
        <f>VLOOKUP($Q58,[1]MEP!$A$4:$K$300,11)</f>
        <v>0</v>
      </c>
      <c r="AE58" s="61">
        <f t="shared" si="60"/>
        <v>0</v>
      </c>
      <c r="AF58" s="61">
        <f t="shared" si="61"/>
        <v>0</v>
      </c>
      <c r="AG58" s="61">
        <f t="shared" si="62"/>
        <v>0</v>
      </c>
      <c r="AH58" s="61">
        <f t="shared" si="63"/>
        <v>0</v>
      </c>
      <c r="AI58" s="61">
        <f t="shared" si="64"/>
        <v>0</v>
      </c>
      <c r="AJ58" s="61">
        <f t="shared" si="65"/>
        <v>0</v>
      </c>
      <c r="AK58"/>
      <c r="AL58" s="61">
        <f t="shared" si="66"/>
        <v>0</v>
      </c>
      <c r="AN58" s="32"/>
      <c r="AT58" s="5"/>
      <c r="AU58" s="5"/>
      <c r="BS58"/>
      <c r="BU58" s="82"/>
    </row>
    <row r="59" spans="5:73" x14ac:dyDescent="0.25">
      <c r="E59" s="14">
        <v>9</v>
      </c>
      <c r="F59" s="61">
        <f t="shared" si="55"/>
        <v>0</v>
      </c>
      <c r="G59" s="61">
        <f t="shared" si="56"/>
        <v>0</v>
      </c>
      <c r="H59" s="61">
        <f t="shared" si="57"/>
        <v>0</v>
      </c>
      <c r="I59" s="61">
        <f t="shared" si="57"/>
        <v>0</v>
      </c>
      <c r="J59" s="61">
        <f t="shared" si="58"/>
        <v>0</v>
      </c>
      <c r="K59" s="61">
        <f t="shared" si="59"/>
        <v>0</v>
      </c>
      <c r="M59" s="18"/>
      <c r="P59">
        <v>9</v>
      </c>
      <c r="Q59" s="39"/>
      <c r="R59" s="39"/>
      <c r="S59" s="76" t="e">
        <f>VLOOKUP($Q59,[1]MEP!$A$5:$D$300,3)</f>
        <v>#N/A</v>
      </c>
      <c r="T59" s="76" t="e">
        <f>VLOOKUP($Q59,[1]MEP!$A$5:$D$300,4)</f>
        <v>#N/A</v>
      </c>
      <c r="U59" s="76">
        <f>VLOOKUP($Q59,[1]MEP!$A$4:$K$300,2)</f>
        <v>0</v>
      </c>
      <c r="V59" s="76">
        <f>VLOOKUP($Q59,[1]MEP!$A$4:$K$300,5)</f>
        <v>0</v>
      </c>
      <c r="W59" s="76">
        <f>VLOOKUP($Q59,[1]MEP!$A$4:$K$300,6)</f>
        <v>0</v>
      </c>
      <c r="X59" s="76">
        <f>VLOOKUP($Q59,[1]MEP!$A$4:$K$300,7)</f>
        <v>0</v>
      </c>
      <c r="Y59" s="76">
        <f>VLOOKUP($Q59,[1]MEP!$A$4:$K$300,8)</f>
        <v>0</v>
      </c>
      <c r="Z59" s="76">
        <f>VLOOKUP($Q59,[1]MEP!$A$4:$K$300,9)</f>
        <v>0</v>
      </c>
      <c r="AA59" s="76">
        <f>VLOOKUP($Q59,[1]MEP!$A$4:$K$300,10)</f>
        <v>0</v>
      </c>
      <c r="AC59" s="76">
        <f>VLOOKUP($Q59,[1]MEP!$A$4:$K$300,11)</f>
        <v>0</v>
      </c>
      <c r="AE59" s="61">
        <f t="shared" si="60"/>
        <v>0</v>
      </c>
      <c r="AF59" s="61">
        <f t="shared" si="61"/>
        <v>0</v>
      </c>
      <c r="AG59" s="61">
        <f t="shared" si="62"/>
        <v>0</v>
      </c>
      <c r="AH59" s="61">
        <f t="shared" si="63"/>
        <v>0</v>
      </c>
      <c r="AI59" s="61">
        <f t="shared" si="64"/>
        <v>0</v>
      </c>
      <c r="AJ59" s="61">
        <f t="shared" si="65"/>
        <v>0</v>
      </c>
      <c r="AK59"/>
      <c r="AL59" s="61">
        <f t="shared" si="66"/>
        <v>0</v>
      </c>
      <c r="AN59" s="32"/>
      <c r="AT59" s="5"/>
      <c r="AU59" s="5"/>
      <c r="BS59"/>
      <c r="BU59" s="82"/>
    </row>
    <row r="60" spans="5:73" x14ac:dyDescent="0.25">
      <c r="E60" s="14">
        <v>10</v>
      </c>
      <c r="F60" s="61">
        <f t="shared" si="55"/>
        <v>0</v>
      </c>
      <c r="G60" s="61">
        <f t="shared" si="56"/>
        <v>0</v>
      </c>
      <c r="H60" s="61">
        <f t="shared" si="57"/>
        <v>0</v>
      </c>
      <c r="I60" s="61">
        <f t="shared" si="57"/>
        <v>0</v>
      </c>
      <c r="J60" s="61">
        <f t="shared" si="58"/>
        <v>0</v>
      </c>
      <c r="K60" s="61">
        <f t="shared" si="59"/>
        <v>0</v>
      </c>
      <c r="M60" s="55"/>
      <c r="P60">
        <v>10</v>
      </c>
      <c r="Q60" s="39"/>
      <c r="R60" s="39"/>
      <c r="S60" s="76" t="e">
        <f>VLOOKUP($Q60,[1]MEP!$A$5:$D$300,3)</f>
        <v>#N/A</v>
      </c>
      <c r="T60" s="76" t="e">
        <f>VLOOKUP($Q60,[1]MEP!$A$5:$D$300,4)</f>
        <v>#N/A</v>
      </c>
      <c r="U60" s="76">
        <f>VLOOKUP($Q60,[1]MEP!$A$4:$K$300,2)</f>
        <v>0</v>
      </c>
      <c r="V60" s="76">
        <f>VLOOKUP($Q60,[1]MEP!$A$4:$K$300,5)</f>
        <v>0</v>
      </c>
      <c r="W60" s="76">
        <f>VLOOKUP($Q60,[1]MEP!$A$4:$K$300,6)</f>
        <v>0</v>
      </c>
      <c r="X60" s="76">
        <f>VLOOKUP($Q60,[1]MEP!$A$4:$K$300,7)</f>
        <v>0</v>
      </c>
      <c r="Y60" s="76">
        <f>VLOOKUP($Q60,[1]MEP!$A$4:$K$300,8)</f>
        <v>0</v>
      </c>
      <c r="Z60" s="76">
        <f>VLOOKUP($Q60,[1]MEP!$A$4:$K$300,9)</f>
        <v>0</v>
      </c>
      <c r="AA60" s="76">
        <f>VLOOKUP($Q60,[1]MEP!$A$4:$K$300,10)</f>
        <v>0</v>
      </c>
      <c r="AC60" s="76">
        <f>VLOOKUP($Q60,[1]MEP!$A$4:$K$300,11)</f>
        <v>0</v>
      </c>
      <c r="AE60" s="61">
        <f t="shared" si="60"/>
        <v>0</v>
      </c>
      <c r="AF60" s="61">
        <f t="shared" si="61"/>
        <v>0</v>
      </c>
      <c r="AG60" s="61">
        <f t="shared" si="62"/>
        <v>0</v>
      </c>
      <c r="AH60" s="61">
        <f t="shared" si="63"/>
        <v>0</v>
      </c>
      <c r="AI60" s="61">
        <f t="shared" si="64"/>
        <v>0</v>
      </c>
      <c r="AJ60" s="61">
        <f t="shared" si="65"/>
        <v>0</v>
      </c>
      <c r="AK60"/>
      <c r="AL60" s="61">
        <f t="shared" si="66"/>
        <v>0</v>
      </c>
      <c r="AN60" s="32"/>
      <c r="AT60" s="5"/>
      <c r="AU60" s="5"/>
      <c r="BS60"/>
      <c r="BU60" s="82"/>
    </row>
    <row r="61" spans="5:73" x14ac:dyDescent="0.25">
      <c r="E61" s="40" t="s">
        <v>13</v>
      </c>
      <c r="F61" s="75">
        <f>SUM(F51:F60)</f>
        <v>0</v>
      </c>
      <c r="G61" s="75">
        <f t="shared" ref="G61:K61" si="67">SUM(G51:G60)</f>
        <v>0</v>
      </c>
      <c r="H61" s="75">
        <f t="shared" si="67"/>
        <v>0</v>
      </c>
      <c r="I61" s="75">
        <f t="shared" si="67"/>
        <v>0</v>
      </c>
      <c r="J61" s="75">
        <f t="shared" si="67"/>
        <v>0</v>
      </c>
      <c r="K61" s="75">
        <f t="shared" si="67"/>
        <v>0</v>
      </c>
      <c r="P61">
        <v>11</v>
      </c>
      <c r="Q61" s="39"/>
      <c r="R61" s="39"/>
      <c r="S61" s="76" t="e">
        <f>VLOOKUP($Q61,[1]MEP!$A$5:$D$300,3)</f>
        <v>#N/A</v>
      </c>
      <c r="T61" s="76" t="e">
        <f>VLOOKUP($Q61,[1]MEP!$A$5:$D$300,4)</f>
        <v>#N/A</v>
      </c>
      <c r="U61" s="76">
        <f>VLOOKUP($Q61,[1]MEP!$A$4:$K$300,2)</f>
        <v>0</v>
      </c>
      <c r="V61" s="76">
        <f>VLOOKUP($Q61,[1]MEP!$A$4:$K$300,5)</f>
        <v>0</v>
      </c>
      <c r="W61" s="76">
        <f>VLOOKUP($Q61,[1]MEP!$A$4:$K$300,6)</f>
        <v>0</v>
      </c>
      <c r="X61" s="76">
        <f>VLOOKUP($Q61,[1]MEP!$A$4:$K$300,7)</f>
        <v>0</v>
      </c>
      <c r="Y61" s="76">
        <f>VLOOKUP($Q61,[1]MEP!$A$4:$K$300,8)</f>
        <v>0</v>
      </c>
      <c r="Z61" s="76">
        <f>VLOOKUP($Q61,[1]MEP!$A$4:$K$300,9)</f>
        <v>0</v>
      </c>
      <c r="AA61" s="76">
        <f>VLOOKUP($Q61,[1]MEP!$A$4:$K$300,10)</f>
        <v>0</v>
      </c>
      <c r="AC61" s="76">
        <f>VLOOKUP($Q61,[1]MEP!$A$4:$K$300,11)</f>
        <v>0</v>
      </c>
      <c r="AE61" s="61">
        <f t="shared" si="60"/>
        <v>0</v>
      </c>
      <c r="AF61" s="61">
        <f t="shared" si="61"/>
        <v>0</v>
      </c>
      <c r="AG61" s="61">
        <f t="shared" si="62"/>
        <v>0</v>
      </c>
      <c r="AH61" s="61">
        <f t="shared" si="63"/>
        <v>0</v>
      </c>
      <c r="AI61" s="61">
        <f t="shared" si="64"/>
        <v>0</v>
      </c>
      <c r="AJ61" s="61">
        <f t="shared" si="65"/>
        <v>0</v>
      </c>
      <c r="AK61"/>
      <c r="AL61" s="61">
        <f t="shared" si="66"/>
        <v>0</v>
      </c>
      <c r="AN61" s="32"/>
      <c r="AT61" s="5"/>
      <c r="AU61" s="5"/>
      <c r="BS61"/>
      <c r="BU61" s="82"/>
    </row>
    <row r="62" spans="5:73" x14ac:dyDescent="0.25">
      <c r="P62">
        <v>12</v>
      </c>
      <c r="Q62" s="39"/>
      <c r="R62" s="39"/>
      <c r="S62" s="76" t="e">
        <f>VLOOKUP($Q62,[1]MEP!$A$5:$D$300,3)</f>
        <v>#N/A</v>
      </c>
      <c r="T62" s="76" t="e">
        <f>VLOOKUP($Q62,[1]MEP!$A$5:$D$300,4)</f>
        <v>#N/A</v>
      </c>
      <c r="U62" s="76">
        <f>VLOOKUP($Q62,[1]MEP!$A$4:$K$300,2)</f>
        <v>0</v>
      </c>
      <c r="V62" s="76">
        <f>VLOOKUP($Q62,[1]MEP!$A$4:$K$300,5)</f>
        <v>0</v>
      </c>
      <c r="W62" s="76">
        <f>VLOOKUP($Q62,[1]MEP!$A$4:$K$300,6)</f>
        <v>0</v>
      </c>
      <c r="X62" s="76">
        <f>VLOOKUP($Q62,[1]MEP!$A$4:$K$300,7)</f>
        <v>0</v>
      </c>
      <c r="Y62" s="76">
        <f>VLOOKUP($Q62,[1]MEP!$A$4:$K$300,8)</f>
        <v>0</v>
      </c>
      <c r="Z62" s="76">
        <f>VLOOKUP($Q62,[1]MEP!$A$4:$K$300,9)</f>
        <v>0</v>
      </c>
      <c r="AA62" s="76">
        <f>VLOOKUP($Q62,[1]MEP!$A$4:$K$300,10)</f>
        <v>0</v>
      </c>
      <c r="AC62" s="76">
        <f>VLOOKUP($Q62,[1]MEP!$A$4:$K$300,11)</f>
        <v>0</v>
      </c>
      <c r="AE62" s="61">
        <f t="shared" si="60"/>
        <v>0</v>
      </c>
      <c r="AF62" s="61">
        <f t="shared" si="61"/>
        <v>0</v>
      </c>
      <c r="AG62" s="61">
        <f t="shared" si="62"/>
        <v>0</v>
      </c>
      <c r="AH62" s="61">
        <f t="shared" si="63"/>
        <v>0</v>
      </c>
      <c r="AI62" s="61">
        <f t="shared" si="64"/>
        <v>0</v>
      </c>
      <c r="AJ62" s="61">
        <f t="shared" si="65"/>
        <v>0</v>
      </c>
      <c r="AK62"/>
      <c r="AL62" s="61">
        <f t="shared" si="66"/>
        <v>0</v>
      </c>
      <c r="AN62" s="32"/>
      <c r="AT62" s="5"/>
      <c r="AU62" s="5"/>
      <c r="BS62"/>
      <c r="BU62" s="82"/>
    </row>
    <row r="63" spans="5:73" x14ac:dyDescent="0.25">
      <c r="P63">
        <v>13</v>
      </c>
      <c r="Q63" s="39"/>
      <c r="R63" s="39"/>
      <c r="S63" s="76" t="e">
        <f>VLOOKUP($Q63,[1]MEP!$A$5:$D$300,3)</f>
        <v>#N/A</v>
      </c>
      <c r="T63" s="76" t="e">
        <f>VLOOKUP($Q63,[1]MEP!$A$5:$D$300,4)</f>
        <v>#N/A</v>
      </c>
      <c r="U63" s="76">
        <f>VLOOKUP($Q63,[1]MEP!$A$4:$K$300,2)</f>
        <v>0</v>
      </c>
      <c r="V63" s="76">
        <f>VLOOKUP($Q63,[1]MEP!$A$4:$K$300,5)</f>
        <v>0</v>
      </c>
      <c r="W63" s="76">
        <f>VLOOKUP($Q63,[1]MEP!$A$4:$K$300,6)</f>
        <v>0</v>
      </c>
      <c r="X63" s="76">
        <f>VLOOKUP($Q63,[1]MEP!$A$4:$K$300,7)</f>
        <v>0</v>
      </c>
      <c r="Y63" s="76">
        <f>VLOOKUP($Q63,[1]MEP!$A$4:$K$300,8)</f>
        <v>0</v>
      </c>
      <c r="Z63" s="76">
        <f>VLOOKUP($Q63,[1]MEP!$A$4:$K$300,9)</f>
        <v>0</v>
      </c>
      <c r="AA63" s="76">
        <f>VLOOKUP($Q63,[1]MEP!$A$4:$K$300,10)</f>
        <v>0</v>
      </c>
      <c r="AC63" s="76">
        <f>VLOOKUP($Q63,[1]MEP!$A$4:$K$300,11)</f>
        <v>0</v>
      </c>
      <c r="AE63" s="61">
        <f t="shared" si="60"/>
        <v>0</v>
      </c>
      <c r="AF63" s="61">
        <f t="shared" si="61"/>
        <v>0</v>
      </c>
      <c r="AG63" s="61">
        <f t="shared" si="62"/>
        <v>0</v>
      </c>
      <c r="AH63" s="61">
        <f t="shared" si="63"/>
        <v>0</v>
      </c>
      <c r="AI63" s="61">
        <f t="shared" si="64"/>
        <v>0</v>
      </c>
      <c r="AJ63" s="61">
        <f t="shared" si="65"/>
        <v>0</v>
      </c>
      <c r="AK63"/>
      <c r="AL63" s="61">
        <f t="shared" si="66"/>
        <v>0</v>
      </c>
      <c r="AN63" s="32"/>
      <c r="AT63" s="5"/>
      <c r="AU63" s="5"/>
      <c r="BS63"/>
      <c r="BU63" s="82"/>
    </row>
    <row r="64" spans="5:73" x14ac:dyDescent="0.25">
      <c r="P64">
        <v>14</v>
      </c>
      <c r="Q64" s="39"/>
      <c r="R64" s="39"/>
      <c r="S64" s="76" t="e">
        <f>VLOOKUP($Q64,[1]MEP!$A$5:$D$300,3)</f>
        <v>#N/A</v>
      </c>
      <c r="T64" s="76" t="e">
        <f>VLOOKUP($Q64,[1]MEP!$A$5:$D$300,4)</f>
        <v>#N/A</v>
      </c>
      <c r="U64" s="76">
        <f>VLOOKUP($Q64,[1]MEP!$A$4:$K$300,2)</f>
        <v>0</v>
      </c>
      <c r="V64" s="76">
        <f>VLOOKUP($Q64,[1]MEP!$A$4:$K$300,5)</f>
        <v>0</v>
      </c>
      <c r="W64" s="76">
        <f>VLOOKUP($Q64,[1]MEP!$A$4:$K$300,6)</f>
        <v>0</v>
      </c>
      <c r="X64" s="76">
        <f>VLOOKUP($Q64,[1]MEP!$A$4:$K$300,7)</f>
        <v>0</v>
      </c>
      <c r="Y64" s="76">
        <f>VLOOKUP($Q64,[1]MEP!$A$4:$K$300,8)</f>
        <v>0</v>
      </c>
      <c r="Z64" s="76">
        <f>VLOOKUP($Q64,[1]MEP!$A$4:$K$300,9)</f>
        <v>0</v>
      </c>
      <c r="AA64" s="76">
        <f>VLOOKUP($Q64,[1]MEP!$A$4:$K$300,10)</f>
        <v>0</v>
      </c>
      <c r="AC64" s="76">
        <f>VLOOKUP($Q64,[1]MEP!$A$4:$K$300,11)</f>
        <v>0</v>
      </c>
      <c r="AE64" s="61">
        <f t="shared" si="60"/>
        <v>0</v>
      </c>
      <c r="AF64" s="61">
        <f t="shared" si="61"/>
        <v>0</v>
      </c>
      <c r="AG64" s="61">
        <f t="shared" si="62"/>
        <v>0</v>
      </c>
      <c r="AH64" s="61">
        <f t="shared" si="63"/>
        <v>0</v>
      </c>
      <c r="AI64" s="61">
        <f t="shared" si="64"/>
        <v>0</v>
      </c>
      <c r="AJ64" s="61">
        <f t="shared" si="65"/>
        <v>0</v>
      </c>
      <c r="AK64"/>
      <c r="AL64" s="61">
        <f t="shared" si="66"/>
        <v>0</v>
      </c>
      <c r="AN64" s="32"/>
      <c r="AT64" s="5"/>
      <c r="AU64" s="5"/>
      <c r="BS64"/>
      <c r="BU64" s="82"/>
    </row>
    <row r="65" spans="2:73" x14ac:dyDescent="0.25">
      <c r="P65">
        <v>15</v>
      </c>
      <c r="Q65" s="39"/>
      <c r="R65" s="39"/>
      <c r="S65" s="76" t="e">
        <f>VLOOKUP($Q65,[1]MEP!$A$5:$D$300,3)</f>
        <v>#N/A</v>
      </c>
      <c r="T65" s="76" t="e">
        <f>VLOOKUP($Q65,[1]MEP!$A$5:$D$300,4)</f>
        <v>#N/A</v>
      </c>
      <c r="U65" s="76">
        <f>VLOOKUP($Q65,[1]MEP!$A$4:$K$300,2)</f>
        <v>0</v>
      </c>
      <c r="V65" s="76">
        <f>VLOOKUP($Q65,[1]MEP!$A$4:$K$300,5)</f>
        <v>0</v>
      </c>
      <c r="W65" s="76">
        <f>VLOOKUP($Q65,[1]MEP!$A$4:$K$300,6)</f>
        <v>0</v>
      </c>
      <c r="X65" s="76">
        <f>VLOOKUP($Q65,[1]MEP!$A$4:$K$300,7)</f>
        <v>0</v>
      </c>
      <c r="Y65" s="76">
        <f>VLOOKUP($Q65,[1]MEP!$A$4:$K$300,8)</f>
        <v>0</v>
      </c>
      <c r="Z65" s="76">
        <f>VLOOKUP($Q65,[1]MEP!$A$4:$K$300,9)</f>
        <v>0</v>
      </c>
      <c r="AA65" s="76">
        <f>VLOOKUP($Q65,[1]MEP!$A$4:$K$300,10)</f>
        <v>0</v>
      </c>
      <c r="AC65" s="76">
        <f>VLOOKUP($Q65,[1]MEP!$A$4:$K$300,11)</f>
        <v>0</v>
      </c>
      <c r="AE65" s="61">
        <f t="shared" si="60"/>
        <v>0</v>
      </c>
      <c r="AF65" s="61">
        <f t="shared" si="61"/>
        <v>0</v>
      </c>
      <c r="AG65" s="61">
        <f t="shared" si="62"/>
        <v>0</v>
      </c>
      <c r="AH65" s="61">
        <f t="shared" si="63"/>
        <v>0</v>
      </c>
      <c r="AI65" s="61">
        <f t="shared" si="64"/>
        <v>0</v>
      </c>
      <c r="AJ65" s="61">
        <f t="shared" si="65"/>
        <v>0</v>
      </c>
      <c r="AK65"/>
      <c r="AL65" s="61">
        <f t="shared" si="66"/>
        <v>0</v>
      </c>
      <c r="AN65" s="32"/>
      <c r="AT65" s="5"/>
      <c r="AU65" s="5"/>
      <c r="BS65"/>
      <c r="BU65" s="82"/>
    </row>
    <row r="66" spans="2:73" x14ac:dyDescent="0.25">
      <c r="B66" s="160" t="s">
        <v>464</v>
      </c>
      <c r="C66" s="160"/>
      <c r="D66" s="160"/>
      <c r="E66" s="160"/>
      <c r="F66" s="160"/>
      <c r="G66" s="161" t="s">
        <v>465</v>
      </c>
      <c r="H66" s="161"/>
      <c r="P66">
        <v>16</v>
      </c>
      <c r="Q66" s="39"/>
      <c r="R66" s="39"/>
      <c r="S66" s="76" t="e">
        <f>VLOOKUP($Q66,[1]MEP!$A$5:$D$300,3)</f>
        <v>#N/A</v>
      </c>
      <c r="T66" s="76" t="e">
        <f>VLOOKUP($Q66,[1]MEP!$A$5:$D$300,4)</f>
        <v>#N/A</v>
      </c>
      <c r="U66" s="76">
        <f>VLOOKUP($Q66,[1]MEP!$A$4:$K$300,2)</f>
        <v>0</v>
      </c>
      <c r="V66" s="76">
        <f>VLOOKUP($Q66,[1]MEP!$A$4:$K$300,5)</f>
        <v>0</v>
      </c>
      <c r="W66" s="76">
        <f>VLOOKUP($Q66,[1]MEP!$A$4:$K$300,6)</f>
        <v>0</v>
      </c>
      <c r="X66" s="76">
        <f>VLOOKUP($Q66,[1]MEP!$A$4:$K$300,7)</f>
        <v>0</v>
      </c>
      <c r="Y66" s="76">
        <f>VLOOKUP($Q66,[1]MEP!$A$4:$K$300,8)</f>
        <v>0</v>
      </c>
      <c r="Z66" s="76">
        <f>VLOOKUP($Q66,[1]MEP!$A$4:$K$300,9)</f>
        <v>0</v>
      </c>
      <c r="AA66" s="76">
        <f>VLOOKUP($Q66,[1]MEP!$A$4:$K$300,10)</f>
        <v>0</v>
      </c>
      <c r="AC66" s="76">
        <f>VLOOKUP($Q66,[1]MEP!$A$4:$K$300,11)</f>
        <v>0</v>
      </c>
      <c r="AE66" s="61">
        <f t="shared" si="60"/>
        <v>0</v>
      </c>
      <c r="AF66" s="61">
        <f t="shared" si="61"/>
        <v>0</v>
      </c>
      <c r="AG66" s="61">
        <f t="shared" si="62"/>
        <v>0</v>
      </c>
      <c r="AH66" s="61">
        <f t="shared" si="63"/>
        <v>0</v>
      </c>
      <c r="AI66" s="61">
        <f t="shared" si="64"/>
        <v>0</v>
      </c>
      <c r="AJ66" s="61">
        <f t="shared" si="65"/>
        <v>0</v>
      </c>
      <c r="AK66"/>
      <c r="AL66" s="61">
        <f t="shared" si="66"/>
        <v>0</v>
      </c>
      <c r="AN66" s="32"/>
      <c r="AT66" s="5"/>
      <c r="AU66" s="5"/>
      <c r="BS66"/>
      <c r="BU66" s="82"/>
    </row>
    <row r="67" spans="2:73" x14ac:dyDescent="0.25">
      <c r="P67">
        <v>17</v>
      </c>
      <c r="Q67" s="39"/>
      <c r="R67" s="39"/>
      <c r="S67" s="76" t="e">
        <f>VLOOKUP($Q67,[1]MEP!$A$5:$D$300,3)</f>
        <v>#N/A</v>
      </c>
      <c r="T67" s="76" t="e">
        <f>VLOOKUP($Q67,[1]MEP!$A$5:$D$300,4)</f>
        <v>#N/A</v>
      </c>
      <c r="U67" s="76">
        <f>VLOOKUP($Q67,[1]MEP!$A$4:$K$300,2)</f>
        <v>0</v>
      </c>
      <c r="V67" s="76">
        <f>VLOOKUP($Q67,[1]MEP!$A$4:$K$300,5)</f>
        <v>0</v>
      </c>
      <c r="W67" s="76">
        <f>VLOOKUP($Q67,[1]MEP!$A$4:$K$300,6)</f>
        <v>0</v>
      </c>
      <c r="X67" s="76">
        <f>VLOOKUP($Q67,[1]MEP!$A$4:$K$300,7)</f>
        <v>0</v>
      </c>
      <c r="Y67" s="76">
        <f>VLOOKUP($Q67,[1]MEP!$A$4:$K$300,8)</f>
        <v>0</v>
      </c>
      <c r="Z67" s="76">
        <f>VLOOKUP($Q67,[1]MEP!$A$4:$K$300,9)</f>
        <v>0</v>
      </c>
      <c r="AA67" s="76">
        <f>VLOOKUP($Q67,[1]MEP!$A$4:$K$300,10)</f>
        <v>0</v>
      </c>
      <c r="AC67" s="76">
        <f>VLOOKUP($Q67,[1]MEP!$A$4:$K$300,11)</f>
        <v>0</v>
      </c>
      <c r="AE67" s="61">
        <f t="shared" si="60"/>
        <v>0</v>
      </c>
      <c r="AF67" s="61">
        <f t="shared" si="61"/>
        <v>0</v>
      </c>
      <c r="AG67" s="61">
        <f t="shared" si="62"/>
        <v>0</v>
      </c>
      <c r="AH67" s="61">
        <f t="shared" si="63"/>
        <v>0</v>
      </c>
      <c r="AI67" s="61">
        <f t="shared" si="64"/>
        <v>0</v>
      </c>
      <c r="AJ67" s="61">
        <f t="shared" si="65"/>
        <v>0</v>
      </c>
      <c r="AK67"/>
      <c r="AL67" s="61">
        <f t="shared" si="66"/>
        <v>0</v>
      </c>
      <c r="AN67" s="32"/>
      <c r="AT67" s="5"/>
      <c r="AU67" s="5"/>
      <c r="BS67"/>
      <c r="BU67" s="82"/>
    </row>
    <row r="68" spans="2:73" x14ac:dyDescent="0.25">
      <c r="P68">
        <v>18</v>
      </c>
      <c r="Q68" s="39"/>
      <c r="R68" s="39"/>
      <c r="S68" s="76" t="e">
        <f>VLOOKUP($Q68,[1]MEP!$A$5:$D$300,3)</f>
        <v>#N/A</v>
      </c>
      <c r="T68" s="76" t="e">
        <f>VLOOKUP($Q68,[1]MEP!$A$5:$D$300,4)</f>
        <v>#N/A</v>
      </c>
      <c r="U68" s="76">
        <f>VLOOKUP($Q68,[1]MEP!$A$4:$K$300,2)</f>
        <v>0</v>
      </c>
      <c r="V68" s="76">
        <f>VLOOKUP($Q68,[1]MEP!$A$4:$K$300,5)</f>
        <v>0</v>
      </c>
      <c r="W68" s="76">
        <f>VLOOKUP($Q68,[1]MEP!$A$4:$K$300,6)</f>
        <v>0</v>
      </c>
      <c r="X68" s="76">
        <f>VLOOKUP($Q68,[1]MEP!$A$4:$K$300,7)</f>
        <v>0</v>
      </c>
      <c r="Y68" s="76">
        <f>VLOOKUP($Q68,[1]MEP!$A$4:$K$300,8)</f>
        <v>0</v>
      </c>
      <c r="Z68" s="76">
        <f>VLOOKUP($Q68,[1]MEP!$A$4:$K$300,9)</f>
        <v>0</v>
      </c>
      <c r="AA68" s="76">
        <f>VLOOKUP($Q68,[1]MEP!$A$4:$K$300,10)</f>
        <v>0</v>
      </c>
      <c r="AC68" s="76">
        <f>VLOOKUP($Q68,[1]MEP!$A$4:$K$300,11)</f>
        <v>0</v>
      </c>
      <c r="AE68" s="61">
        <f t="shared" si="60"/>
        <v>0</v>
      </c>
      <c r="AF68" s="61">
        <f t="shared" si="61"/>
        <v>0</v>
      </c>
      <c r="AG68" s="61">
        <f t="shared" si="62"/>
        <v>0</v>
      </c>
      <c r="AH68" s="61">
        <f t="shared" si="63"/>
        <v>0</v>
      </c>
      <c r="AI68" s="61">
        <f t="shared" si="64"/>
        <v>0</v>
      </c>
      <c r="AJ68" s="61">
        <f t="shared" si="65"/>
        <v>0</v>
      </c>
      <c r="AK68"/>
      <c r="AL68" s="61">
        <f t="shared" si="66"/>
        <v>0</v>
      </c>
      <c r="AN68" s="32"/>
      <c r="AT68" s="5"/>
      <c r="AU68" s="5"/>
      <c r="BS68"/>
      <c r="BU68" s="82"/>
    </row>
    <row r="69" spans="2:73" x14ac:dyDescent="0.25">
      <c r="B69" s="162" t="s">
        <v>466</v>
      </c>
      <c r="C69" s="28"/>
      <c r="D69" s="114" t="s">
        <v>78</v>
      </c>
      <c r="E69" s="63"/>
      <c r="F69" s="63"/>
      <c r="G69" s="115"/>
      <c r="H69" s="52"/>
      <c r="I69" s="63"/>
      <c r="J69" s="63"/>
      <c r="K69" s="116" t="s">
        <v>309</v>
      </c>
      <c r="L69" s="101"/>
      <c r="P69">
        <v>19</v>
      </c>
      <c r="Q69" s="39"/>
      <c r="R69" s="39"/>
      <c r="S69" s="76" t="e">
        <f>VLOOKUP($Q69,[1]MEP!$A$5:$D$300,3)</f>
        <v>#N/A</v>
      </c>
      <c r="T69" s="76" t="e">
        <f>VLOOKUP($Q69,[1]MEP!$A$5:$D$300,4)</f>
        <v>#N/A</v>
      </c>
      <c r="U69" s="76">
        <f>VLOOKUP($Q69,[1]MEP!$A$4:$K$300,2)</f>
        <v>0</v>
      </c>
      <c r="V69" s="76">
        <f>VLOOKUP($Q69,[1]MEP!$A$4:$K$300,5)</f>
        <v>0</v>
      </c>
      <c r="W69" s="76">
        <f>VLOOKUP($Q69,[1]MEP!$A$4:$K$300,6)</f>
        <v>0</v>
      </c>
      <c r="X69" s="76">
        <f>VLOOKUP($Q69,[1]MEP!$A$4:$K$300,7)</f>
        <v>0</v>
      </c>
      <c r="Y69" s="76">
        <f>VLOOKUP($Q69,[1]MEP!$A$4:$K$300,8)</f>
        <v>0</v>
      </c>
      <c r="Z69" s="76">
        <f>VLOOKUP($Q69,[1]MEP!$A$4:$K$300,9)</f>
        <v>0</v>
      </c>
      <c r="AA69" s="76">
        <f>VLOOKUP($Q69,[1]MEP!$A$4:$K$300,10)</f>
        <v>0</v>
      </c>
      <c r="AC69" s="76">
        <f>VLOOKUP($Q69,[1]MEP!$A$4:$K$300,11)</f>
        <v>0</v>
      </c>
      <c r="AE69" s="61">
        <f t="shared" si="60"/>
        <v>0</v>
      </c>
      <c r="AF69" s="61">
        <f t="shared" si="61"/>
        <v>0</v>
      </c>
      <c r="AG69" s="61">
        <f t="shared" si="62"/>
        <v>0</v>
      </c>
      <c r="AH69" s="61">
        <f t="shared" si="63"/>
        <v>0</v>
      </c>
      <c r="AI69" s="61">
        <f t="shared" si="64"/>
        <v>0</v>
      </c>
      <c r="AJ69" s="61">
        <f t="shared" si="65"/>
        <v>0</v>
      </c>
      <c r="AK69"/>
      <c r="AL69" s="61">
        <f t="shared" si="66"/>
        <v>0</v>
      </c>
      <c r="AN69" s="32"/>
      <c r="AT69" s="5"/>
      <c r="AU69" s="5"/>
      <c r="BS69"/>
      <c r="BU69" s="82"/>
    </row>
    <row r="70" spans="2:73" x14ac:dyDescent="0.25">
      <c r="C70" s="117"/>
      <c r="D70" s="101">
        <v>1</v>
      </c>
      <c r="E70" s="101">
        <v>2</v>
      </c>
      <c r="F70" s="101">
        <v>3</v>
      </c>
      <c r="G70" s="101">
        <v>4</v>
      </c>
      <c r="H70" s="101">
        <v>5</v>
      </c>
      <c r="I70" s="101">
        <v>6</v>
      </c>
      <c r="J70" s="63"/>
      <c r="K70" s="118" t="s">
        <v>416</v>
      </c>
      <c r="L70" s="63"/>
      <c r="P70">
        <v>20</v>
      </c>
      <c r="Q70" s="39"/>
      <c r="R70" s="39"/>
      <c r="S70" s="76" t="e">
        <f>VLOOKUP($Q70,[1]MEP!$A$5:$D$300,3)</f>
        <v>#N/A</v>
      </c>
      <c r="T70" s="76" t="e">
        <f>VLOOKUP($Q70,[1]MEP!$A$5:$D$300,4)</f>
        <v>#N/A</v>
      </c>
      <c r="U70" s="76">
        <f>VLOOKUP($Q70,[1]MEP!$A$4:$K$300,2)</f>
        <v>0</v>
      </c>
      <c r="V70" s="76">
        <f>VLOOKUP($Q70,[1]MEP!$A$4:$K$300,5)</f>
        <v>0</v>
      </c>
      <c r="W70" s="76">
        <f>VLOOKUP($Q70,[1]MEP!$A$4:$K$300,6)</f>
        <v>0</v>
      </c>
      <c r="X70" s="76">
        <f>VLOOKUP($Q70,[1]MEP!$A$4:$K$300,7)</f>
        <v>0</v>
      </c>
      <c r="Y70" s="76">
        <f>VLOOKUP($Q70,[1]MEP!$A$4:$K$300,8)</f>
        <v>0</v>
      </c>
      <c r="Z70" s="76">
        <f>VLOOKUP($Q70,[1]MEP!$A$4:$K$300,9)</f>
        <v>0</v>
      </c>
      <c r="AA70" s="76">
        <f>VLOOKUP($Q70,[1]MEP!$A$4:$K$300,10)</f>
        <v>0</v>
      </c>
      <c r="AC70" s="76">
        <f>VLOOKUP($Q70,[1]MEP!$A$4:$K$300,11)</f>
        <v>0</v>
      </c>
      <c r="AE70" s="61">
        <f t="shared" si="60"/>
        <v>0</v>
      </c>
      <c r="AF70" s="61">
        <f t="shared" si="61"/>
        <v>0</v>
      </c>
      <c r="AG70" s="61">
        <f t="shared" si="62"/>
        <v>0</v>
      </c>
      <c r="AH70" s="61">
        <f t="shared" si="63"/>
        <v>0</v>
      </c>
      <c r="AI70" s="61">
        <f t="shared" si="64"/>
        <v>0</v>
      </c>
      <c r="AJ70" s="61">
        <f t="shared" si="65"/>
        <v>0</v>
      </c>
      <c r="AK70"/>
      <c r="AL70" s="61">
        <f t="shared" si="66"/>
        <v>0</v>
      </c>
      <c r="AN70" s="32"/>
      <c r="AT70" s="5"/>
      <c r="AU70" s="5"/>
      <c r="BS70"/>
      <c r="BU70" s="82"/>
    </row>
    <row r="71" spans="2:73" x14ac:dyDescent="0.25">
      <c r="C71" s="119" t="s">
        <v>273</v>
      </c>
      <c r="D71" s="78">
        <f>$BS$7</f>
        <v>3</v>
      </c>
      <c r="E71" s="78">
        <f>$BS$8</f>
        <v>2</v>
      </c>
      <c r="F71" s="78">
        <f>$BS$9</f>
        <v>3</v>
      </c>
      <c r="G71" s="78">
        <f>$BS$10</f>
        <v>2</v>
      </c>
      <c r="H71" s="78">
        <f>$BS$11</f>
        <v>2</v>
      </c>
      <c r="I71" s="78">
        <f>BS60</f>
        <v>0</v>
      </c>
      <c r="J71" s="63"/>
      <c r="K71" s="148" t="s">
        <v>415</v>
      </c>
      <c r="L71" s="63"/>
      <c r="AE71" s="75">
        <f t="shared" ref="AE71:AJ71" si="68">SUM(AE51:AE70)</f>
        <v>0</v>
      </c>
      <c r="AF71" s="75">
        <f t="shared" si="68"/>
        <v>0</v>
      </c>
      <c r="AG71" s="75">
        <f t="shared" si="68"/>
        <v>0</v>
      </c>
      <c r="AH71" s="75">
        <f t="shared" si="68"/>
        <v>0</v>
      </c>
      <c r="AI71" s="75">
        <f t="shared" si="68"/>
        <v>0</v>
      </c>
      <c r="AJ71" s="75">
        <f t="shared" si="68"/>
        <v>0</v>
      </c>
      <c r="AK71"/>
      <c r="AL71" s="75">
        <f>SUM(AL51:AL70)</f>
        <v>0</v>
      </c>
      <c r="AN71" s="32"/>
      <c r="AT71" s="5"/>
      <c r="AU71" s="5"/>
      <c r="BS71"/>
      <c r="BU71" s="82"/>
    </row>
    <row r="72" spans="2:73" x14ac:dyDescent="0.25">
      <c r="C72" s="117" t="s">
        <v>90</v>
      </c>
      <c r="D72" s="61">
        <f>AE27</f>
        <v>42.326832000000003</v>
      </c>
      <c r="E72" s="61">
        <f t="shared" ref="E72:H72" si="69">AF27</f>
        <v>30.042609999999996</v>
      </c>
      <c r="F72" s="61">
        <f t="shared" si="69"/>
        <v>24.546672000000001</v>
      </c>
      <c r="G72" s="61">
        <f t="shared" si="69"/>
        <v>6.1366680000000002</v>
      </c>
      <c r="H72" s="61">
        <f t="shared" si="69"/>
        <v>30.683340000000001</v>
      </c>
      <c r="I72" s="61">
        <f t="shared" ref="I72" si="70">AJ75+AJ97+AJ119</f>
        <v>0</v>
      </c>
      <c r="J72" s="63"/>
      <c r="K72" s="61">
        <f>+K24</f>
        <v>73.953918000000002</v>
      </c>
      <c r="L72" s="52"/>
      <c r="AK72"/>
      <c r="AN72" s="32"/>
      <c r="AT72" s="5"/>
      <c r="AU72" s="5"/>
      <c r="BS72"/>
      <c r="BU72" s="82"/>
    </row>
    <row r="73" spans="2:73" x14ac:dyDescent="0.25">
      <c r="C73" s="117" t="s">
        <v>91</v>
      </c>
      <c r="D73" s="61">
        <f>BR19</f>
        <v>41.411421999999988</v>
      </c>
      <c r="E73" s="61">
        <f>BR20</f>
        <v>29.427990000000001</v>
      </c>
      <c r="F73" s="61">
        <f>BR21</f>
        <v>21.992736000000001</v>
      </c>
      <c r="G73" s="61">
        <f>BR22</f>
        <v>0</v>
      </c>
      <c r="H73" s="61">
        <f>BR23</f>
        <v>15.194959999999998</v>
      </c>
      <c r="I73" s="61">
        <f>BR60</f>
        <v>0</v>
      </c>
      <c r="J73" s="63"/>
      <c r="K73" s="76">
        <f>+K25</f>
        <v>70.8</v>
      </c>
      <c r="L73" s="63"/>
      <c r="AK73"/>
      <c r="AN73" s="32"/>
      <c r="AT73" s="5"/>
      <c r="AU73" s="5"/>
      <c r="BS73"/>
      <c r="BU73" s="82"/>
    </row>
    <row r="74" spans="2:73" x14ac:dyDescent="0.25">
      <c r="C74" s="81"/>
      <c r="D74" s="120"/>
      <c r="E74" s="120"/>
      <c r="F74" s="81"/>
      <c r="G74" s="81"/>
      <c r="H74" s="81"/>
      <c r="I74" s="81"/>
      <c r="J74" s="81"/>
      <c r="K74" s="81"/>
      <c r="L74" s="63"/>
      <c r="AK74"/>
      <c r="AN74" s="32"/>
      <c r="AT74" s="5"/>
      <c r="AU74" s="5"/>
      <c r="BS74"/>
      <c r="BU74" s="82"/>
    </row>
    <row r="75" spans="2:73" x14ac:dyDescent="0.25">
      <c r="C75" s="117" t="s">
        <v>92</v>
      </c>
      <c r="D75" s="93">
        <f>D72-D73</f>
        <v>0.9154100000000156</v>
      </c>
      <c r="E75" s="93">
        <f t="shared" ref="E75:I75" si="71">E72-E73</f>
        <v>0.61461999999999506</v>
      </c>
      <c r="F75" s="93">
        <f t="shared" si="71"/>
        <v>2.5539360000000002</v>
      </c>
      <c r="G75" s="93">
        <f t="shared" si="71"/>
        <v>6.1366680000000002</v>
      </c>
      <c r="H75" s="93">
        <f t="shared" si="71"/>
        <v>15.488380000000003</v>
      </c>
      <c r="I75" s="93">
        <f t="shared" si="71"/>
        <v>0</v>
      </c>
      <c r="J75" s="63"/>
      <c r="K75" s="93">
        <f>+K27</f>
        <v>3.1539180000000044</v>
      </c>
      <c r="L75" s="81"/>
      <c r="AK75"/>
      <c r="AN75" s="32"/>
      <c r="AT75" s="5"/>
      <c r="AU75" s="5"/>
      <c r="BS75"/>
      <c r="BU75" s="82"/>
    </row>
    <row r="76" spans="2:73" x14ac:dyDescent="0.25">
      <c r="AK76"/>
      <c r="AN76" s="32"/>
      <c r="AT76" s="5"/>
      <c r="AU76" s="5"/>
      <c r="BS76"/>
      <c r="BU76" s="82"/>
    </row>
    <row r="77" spans="2:73" x14ac:dyDescent="0.25">
      <c r="AK77"/>
      <c r="AN77" s="32"/>
      <c r="AT77" s="5"/>
      <c r="AU77" s="5"/>
      <c r="BS77"/>
      <c r="BU77" s="82"/>
    </row>
    <row r="78" spans="2:73" x14ac:dyDescent="0.25">
      <c r="B78" s="162"/>
      <c r="AK78"/>
      <c r="AN78" s="32"/>
      <c r="AT78" s="5"/>
      <c r="AU78" s="5"/>
      <c r="BS78"/>
      <c r="BU78" s="82"/>
    </row>
    <row r="79" spans="2:73" x14ac:dyDescent="0.25">
      <c r="B79" s="162" t="s">
        <v>467</v>
      </c>
      <c r="C79" s="28"/>
      <c r="D79" s="114" t="s">
        <v>78</v>
      </c>
      <c r="E79" s="63"/>
      <c r="F79" s="63"/>
      <c r="G79" s="115"/>
      <c r="H79" s="52"/>
      <c r="AK79"/>
      <c r="AN79" s="32"/>
      <c r="AT79" s="5"/>
      <c r="AU79" s="5"/>
      <c r="BS79"/>
      <c r="BU79" s="82"/>
    </row>
    <row r="80" spans="2:73" x14ac:dyDescent="0.25">
      <c r="C80" s="117"/>
      <c r="D80" s="101">
        <v>1</v>
      </c>
      <c r="E80" s="101">
        <v>2</v>
      </c>
      <c r="F80" s="101">
        <v>3</v>
      </c>
      <c r="G80" s="101">
        <v>4</v>
      </c>
      <c r="H80" s="101">
        <v>5</v>
      </c>
      <c r="AK80"/>
      <c r="AN80" s="32"/>
      <c r="AT80" s="5"/>
      <c r="AU80" s="5"/>
      <c r="BS80"/>
      <c r="BU80" s="82"/>
    </row>
    <row r="81" spans="2:73" x14ac:dyDescent="0.25">
      <c r="C81" s="119" t="s">
        <v>273</v>
      </c>
      <c r="D81" s="78">
        <f>$BS$7</f>
        <v>3</v>
      </c>
      <c r="E81" s="78">
        <f>$BS$8</f>
        <v>2</v>
      </c>
      <c r="F81" s="78">
        <f>$BS$9</f>
        <v>3</v>
      </c>
      <c r="G81" s="78">
        <f>$BS$10</f>
        <v>2</v>
      </c>
      <c r="H81" s="78">
        <f>$BS$11</f>
        <v>2</v>
      </c>
      <c r="AK81"/>
      <c r="AN81" s="32"/>
      <c r="AT81" s="5"/>
      <c r="AU81" s="5"/>
      <c r="BS81"/>
      <c r="BU81" s="82"/>
    </row>
    <row r="82" spans="2:73" x14ac:dyDescent="0.25">
      <c r="C82" s="117" t="s">
        <v>90</v>
      </c>
      <c r="D82" s="61">
        <f>AE49</f>
        <v>0</v>
      </c>
      <c r="E82" s="61">
        <f t="shared" ref="E82:H82" si="72">AF49</f>
        <v>0</v>
      </c>
      <c r="F82" s="61">
        <f t="shared" si="72"/>
        <v>0</v>
      </c>
      <c r="G82" s="61">
        <f t="shared" si="72"/>
        <v>0</v>
      </c>
      <c r="H82" s="61">
        <f t="shared" si="72"/>
        <v>0</v>
      </c>
      <c r="AK82"/>
      <c r="AN82" s="32"/>
      <c r="AT82" s="5"/>
      <c r="AU82" s="5"/>
      <c r="BS82"/>
      <c r="BU82" s="82"/>
    </row>
    <row r="83" spans="2:73" x14ac:dyDescent="0.25">
      <c r="C83" s="117" t="s">
        <v>91</v>
      </c>
      <c r="D83" s="61">
        <f>BR27</f>
        <v>0</v>
      </c>
      <c r="E83" s="61">
        <f>BR28</f>
        <v>0</v>
      </c>
      <c r="F83" s="61">
        <f>BR29</f>
        <v>0</v>
      </c>
      <c r="G83" s="61">
        <f>BR30</f>
        <v>0</v>
      </c>
      <c r="H83" s="61">
        <f>BR31</f>
        <v>0</v>
      </c>
      <c r="AK83"/>
      <c r="AN83" s="32"/>
      <c r="AT83" s="5"/>
      <c r="AU83" s="5"/>
      <c r="BS83"/>
      <c r="BU83" s="82"/>
    </row>
    <row r="84" spans="2:73" x14ac:dyDescent="0.25">
      <c r="C84" s="81"/>
      <c r="D84" s="120"/>
      <c r="E84" s="120"/>
      <c r="F84" s="81"/>
      <c r="G84" s="81"/>
      <c r="H84" s="81"/>
      <c r="AK84"/>
      <c r="AN84" s="32"/>
      <c r="AT84" s="5"/>
      <c r="AU84" s="5"/>
      <c r="BS84"/>
      <c r="BU84" s="82"/>
    </row>
    <row r="85" spans="2:73" x14ac:dyDescent="0.25">
      <c r="C85" s="117" t="s">
        <v>92</v>
      </c>
      <c r="D85" s="93">
        <f>D82-D83</f>
        <v>0</v>
      </c>
      <c r="E85" s="93">
        <f t="shared" ref="E85:H85" si="73">E82-E83</f>
        <v>0</v>
      </c>
      <c r="F85" s="93">
        <f t="shared" si="73"/>
        <v>0</v>
      </c>
      <c r="G85" s="93">
        <f t="shared" si="73"/>
        <v>0</v>
      </c>
      <c r="H85" s="93">
        <f t="shared" si="73"/>
        <v>0</v>
      </c>
      <c r="AK85"/>
      <c r="AN85" s="32"/>
      <c r="AT85" s="5"/>
      <c r="AU85" s="5"/>
      <c r="BS85"/>
      <c r="BU85" s="82"/>
    </row>
    <row r="86" spans="2:73" x14ac:dyDescent="0.25">
      <c r="AK86"/>
      <c r="AN86" s="32"/>
      <c r="AT86" s="5"/>
      <c r="AU86" s="5"/>
      <c r="BS86"/>
      <c r="BU86" s="82"/>
    </row>
    <row r="87" spans="2:73" x14ac:dyDescent="0.25">
      <c r="B87" s="14" t="s">
        <v>466</v>
      </c>
      <c r="AK87"/>
      <c r="AN87" s="32"/>
      <c r="AT87" s="5"/>
      <c r="AU87" s="5"/>
      <c r="BS87"/>
      <c r="BU87" s="82"/>
    </row>
    <row r="88" spans="2:73" x14ac:dyDescent="0.25">
      <c r="AK88"/>
      <c r="AN88" s="32"/>
      <c r="AT88" s="5"/>
      <c r="AU88" s="5"/>
      <c r="BS88"/>
      <c r="BU88" s="82"/>
    </row>
    <row r="89" spans="2:73" x14ac:dyDescent="0.25">
      <c r="B89" s="162" t="s">
        <v>468</v>
      </c>
      <c r="C89" s="28"/>
      <c r="D89" s="114" t="s">
        <v>78</v>
      </c>
      <c r="E89" s="63"/>
      <c r="F89" s="63"/>
      <c r="G89" s="115"/>
      <c r="H89" s="52"/>
      <c r="AN89" s="32"/>
      <c r="AT89" s="5"/>
      <c r="AU89" s="5"/>
      <c r="BS89"/>
      <c r="BU89" s="82"/>
    </row>
    <row r="90" spans="2:73" x14ac:dyDescent="0.25">
      <c r="C90" s="117"/>
      <c r="D90" s="101">
        <v>1</v>
      </c>
      <c r="E90" s="101">
        <v>2</v>
      </c>
      <c r="F90" s="101">
        <v>3</v>
      </c>
      <c r="G90" s="101">
        <v>4</v>
      </c>
      <c r="H90" s="101">
        <v>5</v>
      </c>
      <c r="AN90" s="32"/>
      <c r="AT90" s="5"/>
      <c r="AU90" s="5"/>
      <c r="BS90"/>
      <c r="BU90" s="82"/>
    </row>
    <row r="91" spans="2:73" x14ac:dyDescent="0.25">
      <c r="C91" s="119" t="s">
        <v>273</v>
      </c>
      <c r="D91" s="78">
        <f>$BS$7</f>
        <v>3</v>
      </c>
      <c r="E91" s="78">
        <f>$BS$8</f>
        <v>2</v>
      </c>
      <c r="F91" s="78">
        <f>$BS$9</f>
        <v>3</v>
      </c>
      <c r="G91" s="78">
        <f>$BS$10</f>
        <v>2</v>
      </c>
      <c r="H91" s="78">
        <f>$BS$11</f>
        <v>2</v>
      </c>
      <c r="AN91" s="32"/>
      <c r="AT91" s="5"/>
      <c r="AU91" s="5"/>
      <c r="BS91"/>
      <c r="BU91" s="82"/>
    </row>
    <row r="92" spans="2:73" x14ac:dyDescent="0.25">
      <c r="C92" s="117" t="s">
        <v>90</v>
      </c>
      <c r="D92" s="61">
        <f>AE71</f>
        <v>0</v>
      </c>
      <c r="E92" s="61">
        <f t="shared" ref="E92:I92" si="74">AF71</f>
        <v>0</v>
      </c>
      <c r="F92" s="61">
        <f t="shared" si="74"/>
        <v>0</v>
      </c>
      <c r="G92" s="61">
        <f t="shared" si="74"/>
        <v>0</v>
      </c>
      <c r="H92" s="61">
        <f t="shared" si="74"/>
        <v>0</v>
      </c>
      <c r="I92" s="61">
        <f t="shared" si="74"/>
        <v>0</v>
      </c>
      <c r="AN92" s="32"/>
      <c r="AT92" s="5"/>
      <c r="AU92" s="5"/>
      <c r="BS92"/>
      <c r="BU92" s="82"/>
    </row>
    <row r="93" spans="2:73" x14ac:dyDescent="0.25">
      <c r="C93" s="117" t="s">
        <v>91</v>
      </c>
      <c r="D93" s="61">
        <f>BR35</f>
        <v>0</v>
      </c>
      <c r="E93" s="61">
        <f>BR36</f>
        <v>0</v>
      </c>
      <c r="F93" s="61">
        <f>BR37</f>
        <v>0</v>
      </c>
      <c r="G93" s="61">
        <f>BR38</f>
        <v>0</v>
      </c>
      <c r="H93" s="61">
        <f>BR39</f>
        <v>0</v>
      </c>
      <c r="AN93" s="32"/>
      <c r="AT93" s="5"/>
      <c r="AU93" s="5"/>
      <c r="BS93"/>
      <c r="BU93" s="82"/>
    </row>
    <row r="94" spans="2:73" x14ac:dyDescent="0.25">
      <c r="C94" s="81"/>
      <c r="D94" s="120"/>
      <c r="E94" s="120"/>
      <c r="F94" s="81"/>
      <c r="G94" s="81"/>
      <c r="H94" s="81"/>
      <c r="AN94" s="32"/>
      <c r="AT94" s="5"/>
      <c r="AU94" s="5"/>
      <c r="BS94"/>
      <c r="BU94" s="82"/>
    </row>
    <row r="95" spans="2:73" x14ac:dyDescent="0.25">
      <c r="C95" s="117" t="s">
        <v>92</v>
      </c>
      <c r="D95" s="93">
        <f>D92-D93</f>
        <v>0</v>
      </c>
      <c r="E95" s="93">
        <f t="shared" ref="E95:H95" si="75">E92-E93</f>
        <v>0</v>
      </c>
      <c r="F95" s="93">
        <f t="shared" si="75"/>
        <v>0</v>
      </c>
      <c r="G95" s="93">
        <f t="shared" si="75"/>
        <v>0</v>
      </c>
      <c r="H95" s="93">
        <f t="shared" si="75"/>
        <v>0</v>
      </c>
      <c r="AN95" s="32"/>
      <c r="AT95" s="5"/>
      <c r="AU95" s="5"/>
      <c r="BS95"/>
      <c r="BU95" s="82"/>
    </row>
    <row r="96" spans="2:73" x14ac:dyDescent="0.25">
      <c r="AN96" s="32"/>
      <c r="AT96" s="5"/>
      <c r="AU96" s="5"/>
      <c r="BS96"/>
      <c r="BU96" s="82"/>
    </row>
    <row r="97" spans="40:73" x14ac:dyDescent="0.25">
      <c r="AN97" s="32"/>
      <c r="AT97" s="5"/>
      <c r="AU97" s="5"/>
      <c r="BS97"/>
      <c r="BU97" s="82"/>
    </row>
    <row r="98" spans="40:73" x14ac:dyDescent="0.25">
      <c r="AN98" s="32"/>
      <c r="AT98" s="5"/>
      <c r="AU98" s="5"/>
      <c r="BS98"/>
      <c r="BU98" s="82"/>
    </row>
    <row r="99" spans="40:73" x14ac:dyDescent="0.25">
      <c r="BU99" s="82"/>
    </row>
    <row r="100" spans="40:73" x14ac:dyDescent="0.25">
      <c r="BU100" s="82"/>
    </row>
    <row r="101" spans="40:73" x14ac:dyDescent="0.25">
      <c r="BU101" s="82"/>
    </row>
    <row r="102" spans="40:73" x14ac:dyDescent="0.25">
      <c r="BU102" s="82"/>
    </row>
  </sheetData>
  <mergeCells count="14">
    <mergeCell ref="F32:G32"/>
    <mergeCell ref="K32:L32"/>
    <mergeCell ref="BO2:BP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</mergeCells>
  <conditionalFormatting sqref="M52 M60 K13:K17 K9:K10">
    <cfRule type="cellIs" dxfId="6" priority="26" operator="lessThan">
      <formula>0</formula>
    </cfRule>
  </conditionalFormatting>
  <conditionalFormatting sqref="K27">
    <cfRule type="cellIs" dxfId="5" priority="5" operator="lessThan">
      <formula>0</formula>
    </cfRule>
  </conditionalFormatting>
  <conditionalFormatting sqref="D27:I27">
    <cfRule type="cellIs" dxfId="4" priority="6" operator="lessThan">
      <formula>0</formula>
    </cfRule>
  </conditionalFormatting>
  <conditionalFormatting sqref="D95:H95">
    <cfRule type="cellIs" dxfId="3" priority="2" operator="lessThan">
      <formula>0</formula>
    </cfRule>
  </conditionalFormatting>
  <conditionalFormatting sqref="D75:I75">
    <cfRule type="cellIs" dxfId="2" priority="4" operator="lessThan">
      <formula>0</formula>
    </cfRule>
  </conditionalFormatting>
  <conditionalFormatting sqref="D85:H85">
    <cfRule type="cellIs" dxfId="1" priority="3" operator="lessThan">
      <formula>0</formula>
    </cfRule>
  </conditionalFormatting>
  <conditionalFormatting sqref="K7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9"/>
  <sheetViews>
    <sheetView workbookViewId="0">
      <selection activeCell="C30" sqref="C30"/>
    </sheetView>
  </sheetViews>
  <sheetFormatPr baseColWidth="10" defaultRowHeight="15" x14ac:dyDescent="0.25"/>
  <cols>
    <col min="1" max="1" width="21" customWidth="1"/>
    <col min="2" max="2" width="26.140625" customWidth="1"/>
    <col min="3" max="3" width="17.42578125" customWidth="1"/>
  </cols>
  <sheetData>
    <row r="3" spans="1:2" x14ac:dyDescent="0.25">
      <c r="A3" s="296" t="s">
        <v>1424</v>
      </c>
      <c r="B3" t="s">
        <v>1427</v>
      </c>
    </row>
    <row r="4" spans="1:2" x14ac:dyDescent="0.25">
      <c r="A4" s="15">
        <v>2</v>
      </c>
      <c r="B4" s="297">
        <v>11.990000000000002</v>
      </c>
    </row>
    <row r="5" spans="1:2" x14ac:dyDescent="0.25">
      <c r="A5" s="15">
        <v>3</v>
      </c>
      <c r="B5" s="297">
        <v>15.44</v>
      </c>
    </row>
    <row r="6" spans="1:2" x14ac:dyDescent="0.25">
      <c r="A6" s="15" t="s">
        <v>441</v>
      </c>
      <c r="B6" s="297">
        <v>2.7</v>
      </c>
    </row>
    <row r="7" spans="1:2" x14ac:dyDescent="0.25">
      <c r="A7" s="15" t="s">
        <v>448</v>
      </c>
      <c r="B7" s="297">
        <v>5</v>
      </c>
    </row>
    <row r="8" spans="1:2" x14ac:dyDescent="0.25">
      <c r="A8" s="15" t="s">
        <v>1425</v>
      </c>
      <c r="B8" s="297"/>
    </row>
    <row r="9" spans="1:2" x14ac:dyDescent="0.25">
      <c r="A9" s="15" t="s">
        <v>1426</v>
      </c>
      <c r="B9" s="297">
        <v>35.129999999999995</v>
      </c>
    </row>
    <row r="11" spans="1:2" x14ac:dyDescent="0.25">
      <c r="A11" s="15" t="s">
        <v>1428</v>
      </c>
      <c r="B11">
        <f>34.2+2.7</f>
        <v>36.900000000000006</v>
      </c>
    </row>
    <row r="17" spans="1:6" x14ac:dyDescent="0.25">
      <c r="E17" t="s">
        <v>1431</v>
      </c>
      <c r="F17" t="s">
        <v>1432</v>
      </c>
    </row>
    <row r="18" spans="1:6" x14ac:dyDescent="0.25">
      <c r="A18" s="296" t="s">
        <v>1424</v>
      </c>
      <c r="B18" t="s">
        <v>1430</v>
      </c>
      <c r="C18" t="s">
        <v>1427</v>
      </c>
    </row>
    <row r="19" spans="1:6" x14ac:dyDescent="0.25">
      <c r="A19" s="15">
        <v>14</v>
      </c>
      <c r="B19" s="297">
        <v>1</v>
      </c>
      <c r="C19" s="297">
        <v>1.94</v>
      </c>
      <c r="E19">
        <v>2</v>
      </c>
      <c r="F19">
        <f>GETPIVOTDATA("Somme de surface",$A$18,"MEP",14)-E19</f>
        <v>-6.0000000000000053E-2</v>
      </c>
    </row>
    <row r="20" spans="1:6" x14ac:dyDescent="0.25">
      <c r="A20" s="15">
        <v>78</v>
      </c>
      <c r="B20" s="297">
        <v>3</v>
      </c>
      <c r="C20" s="297">
        <v>6.66</v>
      </c>
      <c r="E20">
        <v>6.5</v>
      </c>
      <c r="F20">
        <f>GETPIVOTDATA("Somme de surface",$A$18,"MEP",78)-E20</f>
        <v>0.16000000000000014</v>
      </c>
    </row>
    <row r="21" spans="1:6" x14ac:dyDescent="0.25">
      <c r="A21" s="15">
        <v>88</v>
      </c>
      <c r="B21" s="297">
        <v>3</v>
      </c>
      <c r="C21" s="297">
        <v>5</v>
      </c>
      <c r="E21">
        <v>5</v>
      </c>
      <c r="F21">
        <f>GETPIVOTDATA("Somme de surface",$A$18,"MEP",88)-E21</f>
        <v>0</v>
      </c>
    </row>
    <row r="22" spans="1:6" x14ac:dyDescent="0.25">
      <c r="A22" s="15">
        <v>185</v>
      </c>
      <c r="B22" s="297">
        <v>7</v>
      </c>
      <c r="C22" s="297">
        <v>9.41</v>
      </c>
      <c r="E22">
        <v>9.4</v>
      </c>
      <c r="F22">
        <f>GETPIVOTDATA("Somme de surface",$A$18,"MEP",185)-E22</f>
        <v>9.9999999999997868E-3</v>
      </c>
    </row>
    <row r="23" spans="1:6" x14ac:dyDescent="0.25">
      <c r="A23" s="15" t="s">
        <v>1429</v>
      </c>
      <c r="B23" s="297">
        <v>1</v>
      </c>
      <c r="C23" s="297">
        <v>2.7</v>
      </c>
      <c r="E23">
        <v>2.7</v>
      </c>
      <c r="F23">
        <v>0</v>
      </c>
    </row>
    <row r="24" spans="1:6" x14ac:dyDescent="0.25">
      <c r="A24" s="15" t="s">
        <v>1425</v>
      </c>
      <c r="B24" s="297"/>
      <c r="C24" s="297"/>
    </row>
    <row r="25" spans="1:6" x14ac:dyDescent="0.25">
      <c r="A25" s="15">
        <v>13</v>
      </c>
      <c r="B25" s="297">
        <v>2</v>
      </c>
      <c r="C25" s="297">
        <v>3.42</v>
      </c>
      <c r="E25">
        <v>3.5</v>
      </c>
      <c r="F25">
        <f>GETPIVOTDATA("Somme de surface",$A$18,"MEP",13)-E25</f>
        <v>-8.0000000000000071E-2</v>
      </c>
    </row>
    <row r="26" spans="1:6" x14ac:dyDescent="0.25">
      <c r="A26" s="15">
        <v>187</v>
      </c>
      <c r="B26" s="297">
        <v>3</v>
      </c>
      <c r="C26" s="297">
        <v>6</v>
      </c>
      <c r="E26">
        <v>6</v>
      </c>
      <c r="F26">
        <f>GETPIVOTDATA("Somme de surface",$A$18,"MEP",187)-E26</f>
        <v>0</v>
      </c>
    </row>
    <row r="27" spans="1:6" x14ac:dyDescent="0.25">
      <c r="A27" s="15" t="s">
        <v>1426</v>
      </c>
      <c r="B27" s="297">
        <v>20</v>
      </c>
      <c r="C27" s="297">
        <v>35.129999999999995</v>
      </c>
    </row>
    <row r="29" spans="1:6" x14ac:dyDescent="0.25">
      <c r="C29">
        <f>35.13-2.7</f>
        <v>32.43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4"/>
  <sheetViews>
    <sheetView zoomScale="80" zoomScaleNormal="80" workbookViewId="0">
      <selection activeCell="B22" sqref="B22:Q35"/>
    </sheetView>
  </sheetViews>
  <sheetFormatPr baseColWidth="10" defaultRowHeight="15" x14ac:dyDescent="0.25"/>
  <cols>
    <col min="5" max="5" width="15.85546875" customWidth="1"/>
    <col min="6" max="6" width="13.85546875" customWidth="1"/>
    <col min="10" max="10" width="17.28515625" bestFit="1" customWidth="1"/>
    <col min="11" max="11" width="14" bestFit="1" customWidth="1"/>
    <col min="12" max="12" width="16.140625" customWidth="1"/>
    <col min="13" max="13" width="9.5703125" bestFit="1" customWidth="1"/>
    <col min="14" max="15" width="9.5703125" customWidth="1"/>
    <col min="16" max="16" width="11.42578125" style="16"/>
    <col min="17" max="17" width="15.42578125" style="16" customWidth="1"/>
    <col min="19" max="19" width="11.42578125" style="16"/>
    <col min="21" max="21" width="11.42578125" style="16"/>
    <col min="26" max="26" width="35.140625" customWidth="1"/>
  </cols>
  <sheetData>
    <row r="1" spans="1:29" ht="79.5" customHeight="1" x14ac:dyDescent="0.25">
      <c r="A1" s="6" t="s">
        <v>16</v>
      </c>
      <c r="B1" s="6" t="s">
        <v>34</v>
      </c>
      <c r="C1" s="6" t="s">
        <v>40</v>
      </c>
      <c r="D1" s="6" t="s">
        <v>449</v>
      </c>
      <c r="E1" s="6" t="s">
        <v>450</v>
      </c>
      <c r="F1" s="6" t="s">
        <v>76</v>
      </c>
      <c r="G1" s="7" t="s">
        <v>18</v>
      </c>
      <c r="H1" s="7" t="s">
        <v>1459</v>
      </c>
      <c r="I1" s="7" t="s">
        <v>19</v>
      </c>
      <c r="J1" s="7" t="s">
        <v>20</v>
      </c>
      <c r="K1" s="6" t="s">
        <v>21</v>
      </c>
      <c r="L1" s="6" t="s">
        <v>22</v>
      </c>
      <c r="M1" s="6" t="s">
        <v>23</v>
      </c>
      <c r="N1" s="6" t="s">
        <v>39</v>
      </c>
      <c r="O1" s="6" t="s">
        <v>45</v>
      </c>
      <c r="P1" s="25" t="s">
        <v>332</v>
      </c>
      <c r="Q1" s="25" t="s">
        <v>333</v>
      </c>
      <c r="R1" s="6" t="s">
        <v>46</v>
      </c>
      <c r="S1" s="25" t="s">
        <v>47</v>
      </c>
      <c r="T1" s="6" t="s">
        <v>48</v>
      </c>
      <c r="U1" s="25" t="s">
        <v>49</v>
      </c>
      <c r="V1" s="6" t="s">
        <v>50</v>
      </c>
    </row>
    <row r="2" spans="1:29" ht="15" customHeight="1" x14ac:dyDescent="0.25">
      <c r="A2" s="292">
        <v>2</v>
      </c>
      <c r="B2" s="9">
        <v>1</v>
      </c>
      <c r="C2" s="9">
        <v>0</v>
      </c>
      <c r="D2" s="9" t="s">
        <v>451</v>
      </c>
      <c r="E2" s="9" t="s">
        <v>448</v>
      </c>
      <c r="F2" s="9">
        <v>88</v>
      </c>
      <c r="G2" s="9">
        <v>1.5</v>
      </c>
      <c r="H2" s="9"/>
      <c r="I2" s="9">
        <v>3</v>
      </c>
      <c r="J2" s="9">
        <v>0</v>
      </c>
      <c r="K2" s="8">
        <f>IF(B2=2,0,IF(I2=$Y$10,G2*$AB$10,IF(I2=$Y$11,G2*$AB$11,IF(I2=$Y$12,G2*$AB$12,""))))</f>
        <v>1.6500000000000001</v>
      </c>
      <c r="L2" s="8">
        <f t="shared" ref="L2" si="0">IF(J2=$Y$5,K2*$AA$5,IF(J2=$Y$6,K2*$AA$6,IF(J2=$Y$7,K2*$AA$7,"")))</f>
        <v>1.6500000000000001</v>
      </c>
      <c r="M2" s="10">
        <f>IF(I2=$Y$10,SQRT(L2*10000),SQRT(Parcellaire!L2*10000)/$AC$11)</f>
        <v>90.829510622924758</v>
      </c>
      <c r="N2" s="10">
        <f t="shared" ref="N2" si="1">IF(I2=1,4,6)</f>
        <v>6</v>
      </c>
      <c r="O2" s="24">
        <v>6</v>
      </c>
      <c r="P2" s="26"/>
      <c r="Q2" s="155">
        <v>1</v>
      </c>
      <c r="R2" s="10">
        <f t="shared" ref="R2:R31" si="2">IF(C2=1,O2*M2,0)</f>
        <v>0</v>
      </c>
      <c r="S2" s="10">
        <f t="shared" ref="S2:S31" si="3">IF(C2=1,P2*M2,0)</f>
        <v>0</v>
      </c>
      <c r="T2" s="10">
        <f t="shared" ref="T2:T31" si="4">(M2*O2)-(M2*Q2)/2</f>
        <v>499.56230842608613</v>
      </c>
      <c r="U2" s="10">
        <f t="shared" ref="U2:U31" si="5">IF(C2=2,Q2*M2,0)</f>
        <v>0</v>
      </c>
      <c r="V2" s="27">
        <f t="shared" ref="V2:V31" si="6">O2*M2</f>
        <v>544.97706373754852</v>
      </c>
      <c r="W2" s="3"/>
      <c r="X2" s="3"/>
    </row>
    <row r="3" spans="1:29" ht="15" customHeight="1" x14ac:dyDescent="0.25">
      <c r="A3" s="292">
        <v>4</v>
      </c>
      <c r="B3" s="9">
        <v>2</v>
      </c>
      <c r="C3" s="9">
        <v>2</v>
      </c>
      <c r="D3" s="9" t="s">
        <v>451</v>
      </c>
      <c r="E3" s="9" t="s">
        <v>441</v>
      </c>
      <c r="F3" s="9" t="s">
        <v>1429</v>
      </c>
      <c r="G3" s="9">
        <v>2.7</v>
      </c>
      <c r="H3" s="9"/>
      <c r="I3" s="9">
        <v>3</v>
      </c>
      <c r="J3" s="9">
        <v>0.5</v>
      </c>
      <c r="K3" s="8">
        <f t="shared" ref="K3" si="7">IF(B3=2,0,IF(I3=$Y$10,G3*$AB$10,IF(I3=$Y$11,G3*$AB$11,IF(I3=$Y$12,G3*$AB$12,""))))</f>
        <v>0</v>
      </c>
      <c r="L3" s="8">
        <f t="shared" ref="L3" si="8">IF(J3=$Y$5,K3*$AA$5,IF(J3=$Y$6,K3*$AA$6,IF(J3=$Y$7,K3*$AA$7,"")))</f>
        <v>0</v>
      </c>
      <c r="M3" s="10">
        <f>IF(I3=$Y$10,SQRT(L3*10000),SQRT(Parcellaire!L3*10000)/$AC$11)</f>
        <v>0</v>
      </c>
      <c r="N3" s="10">
        <f t="shared" ref="N3" si="9">IF(I3=1,4,6)</f>
        <v>6</v>
      </c>
      <c r="O3" s="24">
        <v>6</v>
      </c>
      <c r="P3" s="26"/>
      <c r="Q3" s="155">
        <v>4</v>
      </c>
      <c r="R3" s="10">
        <f t="shared" si="2"/>
        <v>0</v>
      </c>
      <c r="S3" s="10">
        <f t="shared" si="3"/>
        <v>0</v>
      </c>
      <c r="T3" s="10">
        <f t="shared" si="4"/>
        <v>0</v>
      </c>
      <c r="U3" s="10">
        <f t="shared" si="5"/>
        <v>0</v>
      </c>
      <c r="V3" s="27">
        <f t="shared" si="6"/>
        <v>0</v>
      </c>
      <c r="W3" s="3"/>
      <c r="X3" s="3"/>
    </row>
    <row r="4" spans="1:29" s="44" customFormat="1" ht="15" customHeight="1" x14ac:dyDescent="0.25">
      <c r="A4" s="277"/>
      <c r="B4" s="9">
        <v>1</v>
      </c>
      <c r="C4" s="9">
        <v>2</v>
      </c>
      <c r="D4" s="9" t="s">
        <v>451</v>
      </c>
      <c r="E4" s="9" t="s">
        <v>448</v>
      </c>
      <c r="F4" s="9">
        <v>88</v>
      </c>
      <c r="G4" s="9">
        <v>4.75</v>
      </c>
      <c r="H4" s="9">
        <v>3.05</v>
      </c>
      <c r="I4" s="9">
        <v>2</v>
      </c>
      <c r="J4" s="9">
        <v>0.5</v>
      </c>
      <c r="K4" s="8">
        <f t="shared" ref="K4:K21" si="10">IF(B4=2,0,IF(I4=$Y$10,G4*$AB$10,IF(I4=$Y$11,G4*$AB$11,IF(I4=$Y$12,G4*$AB$12,""))))</f>
        <v>4.75</v>
      </c>
      <c r="L4" s="8">
        <f t="shared" ref="L4:L21" si="11">IF(J4=$Y$5,K4*$AA$5,IF(J4=$Y$6,K4*$AA$6,IF(J4=$Y$7,K4*$AA$7,"")))</f>
        <v>5.2250000000000005</v>
      </c>
      <c r="M4" s="10">
        <f>IF(I4=$Y$10,SQRT(L4*10000),SQRT(Parcellaire!L4*10000)/$AC$11)</f>
        <v>161.63229875244613</v>
      </c>
      <c r="N4" s="10">
        <f t="shared" ref="N4:N21" si="12">IF(I4=1,4,6)</f>
        <v>6</v>
      </c>
      <c r="O4" s="24">
        <v>6</v>
      </c>
      <c r="P4" s="26"/>
      <c r="Q4" s="155">
        <v>3</v>
      </c>
      <c r="R4" s="278"/>
      <c r="S4" s="278"/>
      <c r="T4" s="278"/>
      <c r="U4" s="278"/>
      <c r="V4" s="285"/>
      <c r="W4" s="286"/>
      <c r="X4" s="286"/>
      <c r="Z4" s="277" t="s">
        <v>20</v>
      </c>
      <c r="AA4" s="293" t="s">
        <v>27</v>
      </c>
    </row>
    <row r="5" spans="1:29" ht="15" customHeight="1" x14ac:dyDescent="0.25">
      <c r="A5" s="292">
        <v>6</v>
      </c>
      <c r="B5" s="9">
        <v>1</v>
      </c>
      <c r="C5" s="9">
        <v>2</v>
      </c>
      <c r="D5" s="9" t="s">
        <v>451</v>
      </c>
      <c r="E5" s="9">
        <v>2</v>
      </c>
      <c r="F5" s="9">
        <v>78</v>
      </c>
      <c r="G5" s="9"/>
      <c r="H5" s="9">
        <v>1.7</v>
      </c>
      <c r="I5" s="9">
        <v>2</v>
      </c>
      <c r="J5" s="9">
        <v>0.5</v>
      </c>
      <c r="K5" s="8">
        <f t="shared" si="10"/>
        <v>0</v>
      </c>
      <c r="L5" s="8">
        <f t="shared" si="11"/>
        <v>0</v>
      </c>
      <c r="M5" s="10">
        <f>IF(I5=$Y$10,SQRT(L5*10000),SQRT(Parcellaire!L5*10000)/$AC$11)</f>
        <v>0</v>
      </c>
      <c r="N5" s="10">
        <f t="shared" si="12"/>
        <v>6</v>
      </c>
      <c r="O5" s="24">
        <v>0</v>
      </c>
      <c r="P5" s="26"/>
      <c r="Q5" s="155">
        <v>0</v>
      </c>
      <c r="R5" s="10">
        <f t="shared" si="2"/>
        <v>0</v>
      </c>
      <c r="S5" s="10">
        <f t="shared" si="3"/>
        <v>0</v>
      </c>
      <c r="T5" s="10">
        <f t="shared" si="4"/>
        <v>0</v>
      </c>
      <c r="U5" s="10">
        <f t="shared" si="5"/>
        <v>0</v>
      </c>
      <c r="V5" s="27">
        <f t="shared" si="6"/>
        <v>0</v>
      </c>
      <c r="W5" s="3"/>
      <c r="X5" s="3"/>
      <c r="Y5" s="8">
        <v>0</v>
      </c>
      <c r="Z5" s="8" t="s">
        <v>29</v>
      </c>
      <c r="AA5" s="9">
        <v>1</v>
      </c>
    </row>
    <row r="6" spans="1:29" ht="15" customHeight="1" x14ac:dyDescent="0.25">
      <c r="A6" s="292">
        <v>7</v>
      </c>
      <c r="B6" s="9">
        <v>1</v>
      </c>
      <c r="C6" s="9">
        <v>2</v>
      </c>
      <c r="D6" s="9" t="s">
        <v>451</v>
      </c>
      <c r="E6" s="9">
        <v>3</v>
      </c>
      <c r="F6" s="9">
        <v>185</v>
      </c>
      <c r="G6" s="9">
        <v>3.05</v>
      </c>
      <c r="H6" s="9"/>
      <c r="I6" s="9">
        <v>3</v>
      </c>
      <c r="J6" s="9">
        <v>1</v>
      </c>
      <c r="K6" s="8">
        <f t="shared" si="10"/>
        <v>3.355</v>
      </c>
      <c r="L6" s="8">
        <f t="shared" si="11"/>
        <v>4.0259999999999998</v>
      </c>
      <c r="M6" s="10">
        <f>IF(I6=$Y$10,SQRT(L6*10000),SQRT(Parcellaire!L6*10000)/$AC$11)</f>
        <v>141.8802311810916</v>
      </c>
      <c r="N6" s="10">
        <f t="shared" si="12"/>
        <v>6</v>
      </c>
      <c r="O6" s="24">
        <v>0</v>
      </c>
      <c r="P6" s="26"/>
      <c r="Q6" s="155">
        <v>0</v>
      </c>
      <c r="R6" s="10">
        <f t="shared" si="2"/>
        <v>0</v>
      </c>
      <c r="S6" s="10">
        <f t="shared" si="3"/>
        <v>0</v>
      </c>
      <c r="T6" s="10">
        <f t="shared" si="4"/>
        <v>0</v>
      </c>
      <c r="U6" s="10">
        <f t="shared" si="5"/>
        <v>0</v>
      </c>
      <c r="V6" s="27">
        <f t="shared" si="6"/>
        <v>0</v>
      </c>
      <c r="W6" s="3"/>
      <c r="X6" s="3"/>
      <c r="Y6" s="8">
        <v>0.5</v>
      </c>
      <c r="Z6" s="8" t="s">
        <v>31</v>
      </c>
      <c r="AA6" s="9">
        <v>1.1000000000000001</v>
      </c>
    </row>
    <row r="7" spans="1:29" s="44" customFormat="1" ht="15" customHeight="1" x14ac:dyDescent="0.25">
      <c r="A7" s="277"/>
      <c r="B7" s="9">
        <v>1</v>
      </c>
      <c r="C7" s="9">
        <v>2</v>
      </c>
      <c r="D7" s="9" t="s">
        <v>451</v>
      </c>
      <c r="E7" s="9">
        <v>2</v>
      </c>
      <c r="F7" s="9">
        <v>13</v>
      </c>
      <c r="G7" s="9">
        <v>2</v>
      </c>
      <c r="H7" s="9"/>
      <c r="I7" s="9">
        <v>3</v>
      </c>
      <c r="J7" s="9">
        <v>1</v>
      </c>
      <c r="K7" s="8">
        <f t="shared" si="10"/>
        <v>2.2000000000000002</v>
      </c>
      <c r="L7" s="8">
        <f t="shared" si="11"/>
        <v>2.64</v>
      </c>
      <c r="M7" s="10">
        <f>IF(I7=$Y$10,SQRT(L7*10000),SQRT(Parcellaire!L7*10000)/$AC$11)</f>
        <v>114.89125293076057</v>
      </c>
      <c r="N7" s="10">
        <f t="shared" si="12"/>
        <v>6</v>
      </c>
      <c r="O7" s="24">
        <v>6</v>
      </c>
      <c r="P7" s="26"/>
      <c r="Q7" s="155">
        <v>4</v>
      </c>
      <c r="R7" s="278"/>
      <c r="S7" s="278"/>
      <c r="T7" s="278"/>
      <c r="U7" s="278"/>
      <c r="V7" s="285"/>
      <c r="W7" s="286"/>
      <c r="X7" s="286"/>
      <c r="Y7" s="277">
        <v>1</v>
      </c>
      <c r="Z7" s="277" t="s">
        <v>33</v>
      </c>
      <c r="AA7" s="276">
        <v>1.2</v>
      </c>
    </row>
    <row r="8" spans="1:29" ht="15" customHeight="1" x14ac:dyDescent="0.25">
      <c r="A8" s="292">
        <v>11</v>
      </c>
      <c r="B8" s="9">
        <v>1</v>
      </c>
      <c r="C8" s="9">
        <v>2</v>
      </c>
      <c r="D8" s="9" t="s">
        <v>451</v>
      </c>
      <c r="E8" s="9">
        <v>2</v>
      </c>
      <c r="F8" s="9">
        <v>187</v>
      </c>
      <c r="G8" s="9">
        <v>4</v>
      </c>
      <c r="H8" s="9"/>
      <c r="I8" s="9">
        <v>3</v>
      </c>
      <c r="J8" s="9">
        <v>1</v>
      </c>
      <c r="K8" s="8">
        <f t="shared" si="10"/>
        <v>4.4000000000000004</v>
      </c>
      <c r="L8" s="8">
        <f t="shared" si="11"/>
        <v>5.28</v>
      </c>
      <c r="M8" s="10">
        <f>IF(I8=$Y$10,SQRT(L8*10000),SQRT(Parcellaire!L8*10000)/$AC$11)</f>
        <v>162.48076809271919</v>
      </c>
      <c r="N8" s="10">
        <f t="shared" si="12"/>
        <v>6</v>
      </c>
      <c r="O8" s="24">
        <v>6</v>
      </c>
      <c r="P8" s="26"/>
      <c r="Q8" s="155">
        <v>3</v>
      </c>
      <c r="R8" s="10">
        <f t="shared" si="2"/>
        <v>0</v>
      </c>
      <c r="S8" s="10">
        <f t="shared" si="3"/>
        <v>0</v>
      </c>
      <c r="T8" s="10">
        <f t="shared" si="4"/>
        <v>731.16345641723638</v>
      </c>
      <c r="U8" s="10">
        <f t="shared" si="5"/>
        <v>487.44230427815756</v>
      </c>
      <c r="V8" s="27">
        <f t="shared" si="6"/>
        <v>974.88460855631513</v>
      </c>
      <c r="W8" s="3"/>
      <c r="X8" s="3"/>
    </row>
    <row r="9" spans="1:29" ht="15" customHeight="1" x14ac:dyDescent="0.25">
      <c r="A9" s="8"/>
      <c r="B9" s="9">
        <v>1</v>
      </c>
      <c r="C9" s="9">
        <v>2</v>
      </c>
      <c r="D9" s="9" t="s">
        <v>451</v>
      </c>
      <c r="E9" s="9">
        <v>3</v>
      </c>
      <c r="F9" s="9">
        <v>185</v>
      </c>
      <c r="G9" s="9">
        <v>0.45</v>
      </c>
      <c r="H9" s="9"/>
      <c r="I9" s="9">
        <v>3</v>
      </c>
      <c r="J9" s="9">
        <v>1</v>
      </c>
      <c r="K9" s="8">
        <f t="shared" si="10"/>
        <v>0.49500000000000005</v>
      </c>
      <c r="L9" s="8">
        <f t="shared" si="11"/>
        <v>0.59400000000000008</v>
      </c>
      <c r="M9" s="10">
        <f>IF(I9=$Y$10,SQRT(L9*10000),SQRT(Parcellaire!L9*10000)/$AC$11)</f>
        <v>54.497706373754852</v>
      </c>
      <c r="N9" s="10">
        <f t="shared" si="12"/>
        <v>6</v>
      </c>
      <c r="O9" s="24">
        <v>6</v>
      </c>
      <c r="P9" s="26"/>
      <c r="Q9" s="155">
        <v>3</v>
      </c>
      <c r="R9" s="10"/>
      <c r="S9" s="10"/>
      <c r="T9" s="10"/>
      <c r="U9" s="10"/>
      <c r="V9" s="27"/>
      <c r="W9" s="3"/>
      <c r="X9" s="3"/>
      <c r="Z9" s="8" t="s">
        <v>19</v>
      </c>
      <c r="AA9" s="11" t="s">
        <v>24</v>
      </c>
      <c r="AB9" s="11" t="s">
        <v>25</v>
      </c>
      <c r="AC9" s="11" t="s">
        <v>26</v>
      </c>
    </row>
    <row r="10" spans="1:29" s="44" customFormat="1" ht="15" customHeight="1" x14ac:dyDescent="0.25">
      <c r="A10" s="277"/>
      <c r="B10" s="9">
        <v>1</v>
      </c>
      <c r="C10" s="9">
        <v>2</v>
      </c>
      <c r="D10" s="9" t="s">
        <v>451</v>
      </c>
      <c r="E10" s="9">
        <v>3</v>
      </c>
      <c r="F10" s="9">
        <v>13</v>
      </c>
      <c r="G10" s="9">
        <v>1.42</v>
      </c>
      <c r="H10" s="9"/>
      <c r="I10" s="9">
        <v>3</v>
      </c>
      <c r="J10" s="9">
        <v>1</v>
      </c>
      <c r="K10" s="8">
        <f t="shared" si="10"/>
        <v>1.5620000000000001</v>
      </c>
      <c r="L10" s="8">
        <f t="shared" si="11"/>
        <v>1.8744000000000001</v>
      </c>
      <c r="M10" s="10">
        <f>IF(I10=$Y$10,SQRT(L10*10000),SQRT(Parcellaire!L10*10000)/$AC$11)</f>
        <v>96.809090482247584</v>
      </c>
      <c r="N10" s="10">
        <f t="shared" si="12"/>
        <v>6</v>
      </c>
      <c r="O10" s="24">
        <v>6</v>
      </c>
      <c r="P10" s="26"/>
      <c r="Q10" s="155">
        <v>1</v>
      </c>
      <c r="R10" s="278"/>
      <c r="S10" s="278"/>
      <c r="T10" s="278"/>
      <c r="U10" s="278"/>
      <c r="V10" s="285"/>
      <c r="W10" s="286"/>
      <c r="X10" s="286"/>
      <c r="Y10" s="277">
        <v>1</v>
      </c>
      <c r="Z10" s="277" t="s">
        <v>28</v>
      </c>
      <c r="AA10" s="276">
        <v>4</v>
      </c>
      <c r="AB10" s="276">
        <v>1</v>
      </c>
      <c r="AC10" s="287">
        <v>1</v>
      </c>
    </row>
    <row r="11" spans="1:29" ht="15" customHeight="1" x14ac:dyDescent="0.25">
      <c r="A11" s="8">
        <v>15</v>
      </c>
      <c r="B11" s="9">
        <v>1</v>
      </c>
      <c r="C11" s="9">
        <v>2</v>
      </c>
      <c r="D11" s="9" t="s">
        <v>451</v>
      </c>
      <c r="E11" s="9">
        <v>3</v>
      </c>
      <c r="F11" s="9">
        <v>187</v>
      </c>
      <c r="G11" s="9">
        <v>1.2</v>
      </c>
      <c r="H11" s="9"/>
      <c r="I11" s="9">
        <v>3</v>
      </c>
      <c r="J11" s="9">
        <v>1</v>
      </c>
      <c r="K11" s="8">
        <f t="shared" si="10"/>
        <v>1.32</v>
      </c>
      <c r="L11" s="8">
        <f t="shared" si="11"/>
        <v>1.5840000000000001</v>
      </c>
      <c r="M11" s="10">
        <f>IF(I11=$Y$10,SQRT(L11*10000),SQRT(Parcellaire!L11*10000)/$AC$11)</f>
        <v>88.994381845147956</v>
      </c>
      <c r="N11" s="10">
        <f t="shared" si="12"/>
        <v>6</v>
      </c>
      <c r="O11" s="24">
        <v>6</v>
      </c>
      <c r="P11" s="26"/>
      <c r="Q11" s="155">
        <v>1</v>
      </c>
      <c r="R11" s="10">
        <f t="shared" si="2"/>
        <v>0</v>
      </c>
      <c r="S11" s="10">
        <f t="shared" si="3"/>
        <v>0</v>
      </c>
      <c r="T11" s="10">
        <f t="shared" si="4"/>
        <v>489.46910014831383</v>
      </c>
      <c r="U11" s="10">
        <f t="shared" si="5"/>
        <v>88.994381845147956</v>
      </c>
      <c r="V11" s="27">
        <f t="shared" si="6"/>
        <v>533.96629107088779</v>
      </c>
      <c r="W11" s="3"/>
      <c r="X11" s="3"/>
      <c r="Y11" s="8">
        <v>2</v>
      </c>
      <c r="Z11" s="8" t="s">
        <v>30</v>
      </c>
      <c r="AA11" s="9">
        <v>6</v>
      </c>
      <c r="AB11" s="9">
        <v>1</v>
      </c>
      <c r="AC11" s="12">
        <f>SQRT(2)</f>
        <v>1.4142135623730951</v>
      </c>
    </row>
    <row r="12" spans="1:29" s="44" customFormat="1" ht="15" customHeight="1" x14ac:dyDescent="0.25">
      <c r="A12" s="277"/>
      <c r="B12" s="9">
        <v>1</v>
      </c>
      <c r="C12" s="9">
        <v>2</v>
      </c>
      <c r="D12" s="9" t="s">
        <v>451</v>
      </c>
      <c r="E12" s="9">
        <v>2</v>
      </c>
      <c r="F12" s="9">
        <v>78</v>
      </c>
      <c r="G12" s="9">
        <v>1.81</v>
      </c>
      <c r="H12" s="9">
        <v>1.36</v>
      </c>
      <c r="I12" s="9">
        <v>3</v>
      </c>
      <c r="J12" s="9">
        <v>0</v>
      </c>
      <c r="K12" s="8">
        <f t="shared" si="10"/>
        <v>1.9910000000000003</v>
      </c>
      <c r="L12" s="8">
        <f t="shared" si="11"/>
        <v>1.9910000000000003</v>
      </c>
      <c r="M12" s="10">
        <f>IF(I12=$Y$10,SQRT(L12*10000),SQRT(Parcellaire!L12*10000)/$AC$11)</f>
        <v>99.774746303861889</v>
      </c>
      <c r="N12" s="10">
        <f t="shared" si="12"/>
        <v>6</v>
      </c>
      <c r="O12" s="24">
        <v>6</v>
      </c>
      <c r="P12" s="26"/>
      <c r="Q12" s="155">
        <v>4</v>
      </c>
      <c r="R12" s="278"/>
      <c r="S12" s="278"/>
      <c r="T12" s="278"/>
      <c r="U12" s="278"/>
      <c r="V12" s="285"/>
      <c r="W12" s="286"/>
      <c r="X12" s="286"/>
      <c r="Y12" s="277">
        <v>3</v>
      </c>
      <c r="Z12" s="277" t="s">
        <v>32</v>
      </c>
      <c r="AA12" s="276">
        <v>6</v>
      </c>
      <c r="AB12" s="276">
        <v>1.1000000000000001</v>
      </c>
    </row>
    <row r="13" spans="1:29" ht="15" customHeight="1" x14ac:dyDescent="0.25">
      <c r="A13" s="8">
        <v>17</v>
      </c>
      <c r="B13" s="9">
        <v>1</v>
      </c>
      <c r="C13" s="9">
        <v>2</v>
      </c>
      <c r="D13" s="9" t="s">
        <v>451</v>
      </c>
      <c r="E13" s="9" t="s">
        <v>448</v>
      </c>
      <c r="F13" s="9">
        <v>88</v>
      </c>
      <c r="G13" s="9"/>
      <c r="H13" s="9">
        <v>0.45</v>
      </c>
      <c r="I13" s="9">
        <v>2</v>
      </c>
      <c r="J13" s="9">
        <v>0.5</v>
      </c>
      <c r="K13" s="8">
        <f t="shared" si="10"/>
        <v>0</v>
      </c>
      <c r="L13" s="8">
        <f t="shared" si="11"/>
        <v>0</v>
      </c>
      <c r="M13" s="10">
        <f>IF(I13=$Y$10,SQRT(L13*10000),SQRT(Parcellaire!L13*10000)/$AC$11)</f>
        <v>0</v>
      </c>
      <c r="N13" s="10">
        <f t="shared" si="12"/>
        <v>6</v>
      </c>
      <c r="O13" s="24">
        <v>0</v>
      </c>
      <c r="P13" s="26"/>
      <c r="Q13" s="155">
        <v>0</v>
      </c>
      <c r="R13" s="10">
        <f t="shared" si="2"/>
        <v>0</v>
      </c>
      <c r="S13" s="10">
        <f t="shared" si="3"/>
        <v>0</v>
      </c>
      <c r="T13" s="10">
        <f t="shared" si="4"/>
        <v>0</v>
      </c>
      <c r="U13" s="10">
        <f t="shared" si="5"/>
        <v>0</v>
      </c>
      <c r="V13" s="27">
        <f t="shared" si="6"/>
        <v>0</v>
      </c>
      <c r="W13" s="3"/>
      <c r="X13" s="3"/>
    </row>
    <row r="14" spans="1:29" ht="15" customHeight="1" x14ac:dyDescent="0.25">
      <c r="A14" s="8"/>
      <c r="B14" s="9">
        <v>1</v>
      </c>
      <c r="C14" s="9">
        <v>2</v>
      </c>
      <c r="D14" s="9" t="s">
        <v>451</v>
      </c>
      <c r="E14" s="9">
        <v>2</v>
      </c>
      <c r="F14" s="9">
        <v>187</v>
      </c>
      <c r="G14" s="9">
        <v>0.8</v>
      </c>
      <c r="H14" s="9"/>
      <c r="I14" s="9">
        <v>3</v>
      </c>
      <c r="J14" s="9">
        <v>0</v>
      </c>
      <c r="K14" s="8">
        <f t="shared" si="10"/>
        <v>0.88000000000000012</v>
      </c>
      <c r="L14" s="8">
        <f t="shared" si="11"/>
        <v>0.88000000000000012</v>
      </c>
      <c r="M14" s="10">
        <f>IF(I14=$Y$10,SQRT(L14*10000),SQRT(Parcellaire!L14*10000)/$AC$11)</f>
        <v>66.332495807108003</v>
      </c>
      <c r="N14" s="10">
        <f t="shared" si="12"/>
        <v>6</v>
      </c>
      <c r="O14" s="24">
        <v>6</v>
      </c>
      <c r="P14" s="26"/>
      <c r="Q14" s="155">
        <v>3</v>
      </c>
      <c r="R14" s="10"/>
      <c r="S14" s="10"/>
      <c r="T14" s="10"/>
      <c r="U14" s="10"/>
      <c r="V14" s="27"/>
      <c r="W14" s="3"/>
      <c r="X14" s="3"/>
    </row>
    <row r="15" spans="1:29" ht="15" customHeight="1" x14ac:dyDescent="0.25">
      <c r="A15" s="8">
        <v>23</v>
      </c>
      <c r="B15" s="9">
        <v>1</v>
      </c>
      <c r="C15" s="9">
        <v>2</v>
      </c>
      <c r="D15" s="9" t="s">
        <v>451</v>
      </c>
      <c r="E15" s="9">
        <v>3</v>
      </c>
      <c r="F15" s="9">
        <v>14</v>
      </c>
      <c r="G15" s="9">
        <v>1.94</v>
      </c>
      <c r="H15" s="9"/>
      <c r="I15" s="9">
        <v>2</v>
      </c>
      <c r="J15" s="9">
        <v>0.5</v>
      </c>
      <c r="K15" s="8">
        <f t="shared" si="10"/>
        <v>1.94</v>
      </c>
      <c r="L15" s="8">
        <f t="shared" si="11"/>
        <v>2.1339999999999999</v>
      </c>
      <c r="M15" s="10">
        <f>IF(I15=$Y$10,SQRT(L15*10000),SQRT(Parcellaire!L15*10000)/$AC$11)</f>
        <v>103.29569206893383</v>
      </c>
      <c r="N15" s="10">
        <f t="shared" si="12"/>
        <v>6</v>
      </c>
      <c r="O15" s="24">
        <v>6</v>
      </c>
      <c r="P15" s="26"/>
      <c r="Q15" s="155">
        <v>0</v>
      </c>
      <c r="R15" s="10">
        <f t="shared" si="2"/>
        <v>0</v>
      </c>
      <c r="S15" s="10">
        <f t="shared" si="3"/>
        <v>0</v>
      </c>
      <c r="T15" s="10">
        <f t="shared" si="4"/>
        <v>619.77415241360302</v>
      </c>
      <c r="U15" s="10">
        <f t="shared" si="5"/>
        <v>0</v>
      </c>
      <c r="V15" s="27">
        <f t="shared" si="6"/>
        <v>619.77415241360302</v>
      </c>
      <c r="W15" s="3"/>
      <c r="X15" s="3"/>
      <c r="Z15" s="8" t="s">
        <v>41</v>
      </c>
    </row>
    <row r="16" spans="1:29" ht="15" customHeight="1" x14ac:dyDescent="0.25">
      <c r="A16" s="8">
        <v>24</v>
      </c>
      <c r="B16" s="9">
        <v>1</v>
      </c>
      <c r="C16" s="9">
        <v>2</v>
      </c>
      <c r="D16" s="9" t="s">
        <v>451</v>
      </c>
      <c r="E16" s="9">
        <v>3</v>
      </c>
      <c r="F16" s="9">
        <v>185</v>
      </c>
      <c r="G16" s="9">
        <v>0.77</v>
      </c>
      <c r="H16" s="9"/>
      <c r="I16" s="9">
        <v>3</v>
      </c>
      <c r="J16" s="9">
        <v>1</v>
      </c>
      <c r="K16" s="8">
        <f t="shared" si="10"/>
        <v>0.84700000000000009</v>
      </c>
      <c r="L16" s="8">
        <f t="shared" si="11"/>
        <v>1.0164</v>
      </c>
      <c r="M16" s="10">
        <f>IF(I16=$Y$10,SQRT(L16*10000),SQRT(Parcellaire!L16*10000)/$AC$11)</f>
        <v>71.288147682486454</v>
      </c>
      <c r="N16" s="10">
        <f t="shared" si="12"/>
        <v>6</v>
      </c>
      <c r="O16" s="24">
        <v>6</v>
      </c>
      <c r="P16" s="26"/>
      <c r="Q16" s="155">
        <v>1</v>
      </c>
      <c r="R16" s="10">
        <f t="shared" si="2"/>
        <v>0</v>
      </c>
      <c r="S16" s="10">
        <f t="shared" si="3"/>
        <v>0</v>
      </c>
      <c r="T16" s="10">
        <f t="shared" si="4"/>
        <v>392.08481225367552</v>
      </c>
      <c r="U16" s="10">
        <f t="shared" si="5"/>
        <v>71.288147682486454</v>
      </c>
      <c r="V16" s="27">
        <f t="shared" si="6"/>
        <v>427.72888609491872</v>
      </c>
      <c r="W16" s="3"/>
      <c r="X16" s="3"/>
      <c r="Y16" s="8">
        <v>1</v>
      </c>
      <c r="Z16" s="138" t="s">
        <v>334</v>
      </c>
      <c r="AA16" s="134" t="s">
        <v>325</v>
      </c>
      <c r="AB16" t="s">
        <v>51</v>
      </c>
    </row>
    <row r="17" spans="1:28" s="44" customFormat="1" ht="15" customHeight="1" x14ac:dyDescent="0.25">
      <c r="A17" s="277"/>
      <c r="B17" s="9">
        <v>1</v>
      </c>
      <c r="C17" s="9">
        <v>2</v>
      </c>
      <c r="D17" s="9" t="s">
        <v>451</v>
      </c>
      <c r="E17" s="9">
        <v>3</v>
      </c>
      <c r="F17" s="9">
        <v>78</v>
      </c>
      <c r="G17" s="9">
        <v>3.6</v>
      </c>
      <c r="H17" s="9"/>
      <c r="I17" s="9">
        <v>3</v>
      </c>
      <c r="J17" s="9">
        <v>0.5</v>
      </c>
      <c r="K17" s="8">
        <f t="shared" si="10"/>
        <v>3.9600000000000004</v>
      </c>
      <c r="L17" s="8">
        <f t="shared" si="11"/>
        <v>4.3560000000000008</v>
      </c>
      <c r="M17" s="10">
        <f>IF(I17=$Y$10,SQRT(L17*10000),SQRT(Parcellaire!L17*10000)/$AC$11)</f>
        <v>147.58048651498612</v>
      </c>
      <c r="N17" s="10">
        <f t="shared" si="12"/>
        <v>6</v>
      </c>
      <c r="O17" s="24">
        <v>6</v>
      </c>
      <c r="P17" s="26"/>
      <c r="Q17" s="155">
        <v>1</v>
      </c>
      <c r="R17" s="278"/>
      <c r="S17" s="278"/>
      <c r="T17" s="278"/>
      <c r="U17" s="278"/>
      <c r="V17" s="285"/>
      <c r="W17" s="286"/>
      <c r="X17" s="286"/>
      <c r="Y17" s="277">
        <v>2</v>
      </c>
      <c r="Z17" s="288" t="s">
        <v>335</v>
      </c>
      <c r="AA17" s="289">
        <f>T64</f>
        <v>4335.0201721013491</v>
      </c>
      <c r="AB17" s="44" t="s">
        <v>42</v>
      </c>
    </row>
    <row r="18" spans="1:28" ht="15" customHeight="1" x14ac:dyDescent="0.25">
      <c r="A18" s="295">
        <v>26</v>
      </c>
      <c r="B18" s="9">
        <v>1</v>
      </c>
      <c r="C18" s="9">
        <v>2</v>
      </c>
      <c r="D18" s="9" t="s">
        <v>451</v>
      </c>
      <c r="E18" s="9">
        <v>2</v>
      </c>
      <c r="F18" s="9">
        <v>185</v>
      </c>
      <c r="G18" s="9">
        <v>2.13</v>
      </c>
      <c r="H18" s="9">
        <v>0.88</v>
      </c>
      <c r="I18" s="9">
        <v>3</v>
      </c>
      <c r="J18" s="9">
        <v>1</v>
      </c>
      <c r="K18" s="8">
        <f t="shared" si="10"/>
        <v>2.343</v>
      </c>
      <c r="L18" s="8">
        <f t="shared" si="11"/>
        <v>2.8115999999999999</v>
      </c>
      <c r="M18" s="10">
        <f>IF(I18=$Y$10,SQRT(L18*10000),SQRT(Parcellaire!L18*10000)/$AC$11)</f>
        <v>118.56643707221703</v>
      </c>
      <c r="N18" s="10">
        <f t="shared" si="12"/>
        <v>6</v>
      </c>
      <c r="O18" s="24">
        <v>6</v>
      </c>
      <c r="P18" s="26"/>
      <c r="Q18" s="155">
        <v>0</v>
      </c>
      <c r="R18" s="10">
        <f t="shared" si="2"/>
        <v>0</v>
      </c>
      <c r="S18" s="10">
        <f t="shared" si="3"/>
        <v>0</v>
      </c>
      <c r="T18" s="10">
        <f t="shared" si="4"/>
        <v>711.39862243330219</v>
      </c>
      <c r="U18" s="10">
        <f t="shared" si="5"/>
        <v>0</v>
      </c>
      <c r="V18" s="27">
        <f t="shared" si="6"/>
        <v>711.39862243330219</v>
      </c>
      <c r="W18" s="3"/>
      <c r="X18" s="3"/>
      <c r="Y18" s="8">
        <v>3</v>
      </c>
      <c r="Z18" s="138" t="s">
        <v>336</v>
      </c>
      <c r="AA18" s="136">
        <f>S64</f>
        <v>0</v>
      </c>
      <c r="AB18" t="s">
        <v>43</v>
      </c>
    </row>
    <row r="19" spans="1:28" s="44" customFormat="1" ht="15" customHeight="1" x14ac:dyDescent="0.25">
      <c r="A19" s="277"/>
      <c r="B19" s="9">
        <v>1</v>
      </c>
      <c r="C19" s="9">
        <v>2</v>
      </c>
      <c r="D19" s="9" t="s">
        <v>451</v>
      </c>
      <c r="E19" s="9">
        <v>2</v>
      </c>
      <c r="F19" s="9">
        <v>185</v>
      </c>
      <c r="G19" s="9"/>
      <c r="H19" s="9">
        <v>1.25</v>
      </c>
      <c r="I19" s="9">
        <v>3</v>
      </c>
      <c r="J19" s="9">
        <v>1</v>
      </c>
      <c r="K19" s="8">
        <f t="shared" si="10"/>
        <v>0</v>
      </c>
      <c r="L19" s="8">
        <f t="shared" si="11"/>
        <v>0</v>
      </c>
      <c r="M19" s="10">
        <f>IF(I19=$Y$10,SQRT(L19*10000),SQRT(Parcellaire!L19*10000)/$AC$11)</f>
        <v>0</v>
      </c>
      <c r="N19" s="10">
        <f t="shared" si="12"/>
        <v>6</v>
      </c>
      <c r="O19" s="24">
        <v>0</v>
      </c>
      <c r="P19" s="26"/>
      <c r="Q19" s="155">
        <v>0</v>
      </c>
      <c r="R19" s="278"/>
      <c r="S19" s="278"/>
      <c r="T19" s="278"/>
      <c r="U19" s="278"/>
      <c r="V19" s="285"/>
      <c r="W19" s="286"/>
      <c r="X19" s="286"/>
      <c r="Z19" s="290"/>
      <c r="AA19" s="289">
        <f>AA17+AA18</f>
        <v>4335.0201721013491</v>
      </c>
      <c r="AB19" s="44" t="s">
        <v>44</v>
      </c>
    </row>
    <row r="20" spans="1:28" ht="15" customHeight="1" x14ac:dyDescent="0.25">
      <c r="A20" s="292">
        <v>29</v>
      </c>
      <c r="B20" s="9">
        <v>1</v>
      </c>
      <c r="C20" s="9">
        <v>2</v>
      </c>
      <c r="D20" s="9" t="s">
        <v>451</v>
      </c>
      <c r="E20" s="9">
        <v>3</v>
      </c>
      <c r="F20" s="9">
        <v>185</v>
      </c>
      <c r="G20" s="9">
        <v>1.61</v>
      </c>
      <c r="H20" s="9"/>
      <c r="I20" s="9">
        <v>2</v>
      </c>
      <c r="J20" s="9">
        <v>1</v>
      </c>
      <c r="K20" s="8">
        <f t="shared" si="10"/>
        <v>1.61</v>
      </c>
      <c r="L20" s="8">
        <f t="shared" si="11"/>
        <v>1.9319999999999999</v>
      </c>
      <c r="M20" s="10">
        <f>IF(I20=$Y$10,SQRT(L20*10000),SQRT(Parcellaire!L20*10000)/$AC$11)</f>
        <v>98.285299002444916</v>
      </c>
      <c r="N20" s="10">
        <f t="shared" si="12"/>
        <v>6</v>
      </c>
      <c r="O20" s="24">
        <v>6</v>
      </c>
      <c r="P20" s="26"/>
      <c r="Q20" s="155">
        <v>1</v>
      </c>
      <c r="R20" s="10">
        <f t="shared" si="2"/>
        <v>0</v>
      </c>
      <c r="S20" s="10">
        <f t="shared" si="3"/>
        <v>0</v>
      </c>
      <c r="T20" s="10">
        <f t="shared" si="4"/>
        <v>540.5691445134471</v>
      </c>
      <c r="U20" s="10">
        <f t="shared" si="5"/>
        <v>98.285299002444916</v>
      </c>
      <c r="V20" s="27">
        <f t="shared" si="6"/>
        <v>589.71179401466952</v>
      </c>
      <c r="W20" s="3"/>
      <c r="X20" s="3"/>
      <c r="Z20" s="20"/>
    </row>
    <row r="21" spans="1:28" ht="15" customHeight="1" x14ac:dyDescent="0.25">
      <c r="A21" s="292">
        <v>30</v>
      </c>
      <c r="B21" s="9">
        <v>1</v>
      </c>
      <c r="C21" s="9">
        <v>2</v>
      </c>
      <c r="D21" s="9" t="s">
        <v>451</v>
      </c>
      <c r="E21" s="9">
        <v>3</v>
      </c>
      <c r="F21" s="9">
        <v>185</v>
      </c>
      <c r="G21" s="9">
        <v>1.4</v>
      </c>
      <c r="H21" s="9"/>
      <c r="I21" s="9">
        <v>3</v>
      </c>
      <c r="J21" s="9">
        <v>0</v>
      </c>
      <c r="K21" s="8">
        <f t="shared" si="10"/>
        <v>1.54</v>
      </c>
      <c r="L21" s="8">
        <f t="shared" si="11"/>
        <v>1.54</v>
      </c>
      <c r="M21" s="10">
        <f>IF(I21=$Y$10,SQRT(L21*10000),SQRT(Parcellaire!L21*10000)/$AC$11)</f>
        <v>87.749643873921215</v>
      </c>
      <c r="N21" s="10">
        <f t="shared" si="12"/>
        <v>6</v>
      </c>
      <c r="O21" s="24">
        <v>6</v>
      </c>
      <c r="P21" s="26"/>
      <c r="Q21" s="155">
        <v>4</v>
      </c>
      <c r="R21" s="10">
        <f t="shared" si="2"/>
        <v>0</v>
      </c>
      <c r="S21" s="10">
        <f t="shared" si="3"/>
        <v>0</v>
      </c>
      <c r="T21" s="10">
        <f t="shared" si="4"/>
        <v>350.9985754956848</v>
      </c>
      <c r="U21" s="10">
        <f t="shared" si="5"/>
        <v>350.99857549568486</v>
      </c>
      <c r="V21" s="27">
        <f t="shared" si="6"/>
        <v>526.49786324352726</v>
      </c>
      <c r="W21" s="3"/>
      <c r="X21" s="3"/>
    </row>
    <row r="22" spans="1:28" ht="15" customHeight="1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8"/>
      <c r="L22" s="8"/>
      <c r="M22" s="10"/>
      <c r="N22" s="10"/>
      <c r="O22" s="24"/>
      <c r="P22" s="26"/>
      <c r="Q22" s="155"/>
      <c r="R22" s="10"/>
      <c r="S22" s="10"/>
      <c r="T22" s="10"/>
      <c r="U22" s="10"/>
      <c r="V22" s="27"/>
      <c r="W22" s="3"/>
      <c r="X22" s="3"/>
      <c r="Z22" t="s">
        <v>323</v>
      </c>
    </row>
    <row r="23" spans="1:28" ht="15" customHeight="1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8"/>
      <c r="L23" s="8"/>
      <c r="M23" s="10"/>
      <c r="N23" s="10"/>
      <c r="O23" s="24"/>
      <c r="P23" s="26"/>
      <c r="Q23" s="155"/>
      <c r="R23" s="10"/>
      <c r="S23" s="10"/>
      <c r="T23" s="10"/>
      <c r="U23" s="10"/>
      <c r="V23" s="27"/>
      <c r="W23" s="3"/>
      <c r="X23" s="3"/>
      <c r="Y23" s="133">
        <v>0</v>
      </c>
      <c r="Z23" t="s">
        <v>324</v>
      </c>
    </row>
    <row r="24" spans="1:28" ht="15" customHeight="1" x14ac:dyDescent="0.25">
      <c r="A24" s="8">
        <v>33</v>
      </c>
      <c r="B24" s="9"/>
      <c r="C24" s="9"/>
      <c r="D24" s="9"/>
      <c r="E24" s="9"/>
      <c r="F24" s="9"/>
      <c r="G24" s="9"/>
      <c r="H24" s="9"/>
      <c r="I24" s="9"/>
      <c r="J24" s="9"/>
      <c r="K24" s="8"/>
      <c r="L24" s="8"/>
      <c r="M24" s="10"/>
      <c r="N24" s="10"/>
      <c r="O24" s="24"/>
      <c r="P24" s="26"/>
      <c r="Q24" s="155"/>
      <c r="R24" s="10">
        <f t="shared" si="2"/>
        <v>0</v>
      </c>
      <c r="S24" s="10">
        <f t="shared" si="3"/>
        <v>0</v>
      </c>
      <c r="T24" s="10">
        <f t="shared" si="4"/>
        <v>0</v>
      </c>
      <c r="U24" s="10">
        <f t="shared" si="5"/>
        <v>0</v>
      </c>
      <c r="V24" s="27">
        <f t="shared" si="6"/>
        <v>0</v>
      </c>
      <c r="W24" s="3"/>
      <c r="X24" s="3"/>
      <c r="Y24" s="133">
        <v>1</v>
      </c>
      <c r="Z24" t="s">
        <v>473</v>
      </c>
    </row>
    <row r="25" spans="1:28" ht="15" customHeight="1" x14ac:dyDescent="0.25">
      <c r="A25" s="8">
        <v>35</v>
      </c>
      <c r="B25" s="9"/>
      <c r="C25" s="9"/>
      <c r="D25" s="9"/>
      <c r="E25" s="9"/>
      <c r="F25" s="9"/>
      <c r="G25" s="9"/>
      <c r="H25" s="9"/>
      <c r="I25" s="9"/>
      <c r="J25" s="9"/>
      <c r="K25" s="8"/>
      <c r="L25" s="8"/>
      <c r="M25" s="10"/>
      <c r="N25" s="10"/>
      <c r="O25" s="24"/>
      <c r="P25" s="26"/>
      <c r="Q25" s="155"/>
      <c r="R25" s="10">
        <f t="shared" si="2"/>
        <v>0</v>
      </c>
      <c r="S25" s="10">
        <f t="shared" si="3"/>
        <v>0</v>
      </c>
      <c r="T25" s="10">
        <f t="shared" si="4"/>
        <v>0</v>
      </c>
      <c r="U25" s="10">
        <f t="shared" si="5"/>
        <v>0</v>
      </c>
      <c r="V25" s="27">
        <f t="shared" si="6"/>
        <v>0</v>
      </c>
      <c r="W25" s="3"/>
      <c r="X25" s="3"/>
      <c r="Y25">
        <v>2</v>
      </c>
      <c r="Z25" t="s">
        <v>474</v>
      </c>
    </row>
    <row r="26" spans="1:28" ht="15" customHeight="1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8"/>
      <c r="L26" s="8"/>
      <c r="M26" s="10"/>
      <c r="N26" s="10"/>
      <c r="O26" s="24"/>
      <c r="P26" s="26"/>
      <c r="Q26" s="155"/>
      <c r="R26" s="10"/>
      <c r="S26" s="10"/>
      <c r="T26" s="10"/>
      <c r="U26" s="10"/>
      <c r="V26" s="27"/>
      <c r="W26" s="3"/>
      <c r="X26" s="3"/>
      <c r="Z26" t="s">
        <v>17</v>
      </c>
    </row>
    <row r="27" spans="1:28" ht="15" customHeight="1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8"/>
      <c r="L27" s="8"/>
      <c r="M27" s="10"/>
      <c r="N27" s="10"/>
      <c r="O27" s="24"/>
      <c r="P27" s="26"/>
      <c r="Q27" s="155"/>
      <c r="R27" s="10"/>
      <c r="S27" s="10"/>
      <c r="T27" s="10"/>
      <c r="U27" s="10"/>
      <c r="V27" s="27"/>
      <c r="W27" s="3"/>
      <c r="X27" s="3"/>
      <c r="Y27">
        <v>0</v>
      </c>
      <c r="Z27" t="s">
        <v>337</v>
      </c>
    </row>
    <row r="28" spans="1:28" ht="15" customHeight="1" x14ac:dyDescent="0.25">
      <c r="A28" s="8">
        <v>38</v>
      </c>
      <c r="B28" s="9"/>
      <c r="C28" s="9"/>
      <c r="D28" s="9"/>
      <c r="E28" s="9"/>
      <c r="F28" s="9"/>
      <c r="G28" s="9"/>
      <c r="H28" s="9"/>
      <c r="I28" s="9"/>
      <c r="J28" s="9"/>
      <c r="K28" s="8"/>
      <c r="L28" s="8"/>
      <c r="M28" s="10"/>
      <c r="N28" s="10"/>
      <c r="O28" s="24"/>
      <c r="P28" s="26"/>
      <c r="Q28" s="155"/>
      <c r="R28" s="10">
        <f t="shared" si="2"/>
        <v>0</v>
      </c>
      <c r="S28" s="10">
        <f t="shared" si="3"/>
        <v>0</v>
      </c>
      <c r="T28" s="10">
        <f t="shared" si="4"/>
        <v>0</v>
      </c>
      <c r="U28" s="10">
        <f t="shared" si="5"/>
        <v>0</v>
      </c>
      <c r="V28" s="27">
        <f t="shared" si="6"/>
        <v>0</v>
      </c>
      <c r="W28" s="3"/>
      <c r="X28" s="3"/>
      <c r="Y28">
        <v>1</v>
      </c>
      <c r="Z28" t="s">
        <v>338</v>
      </c>
    </row>
    <row r="29" spans="1:28" ht="15" customHeight="1" x14ac:dyDescent="0.25">
      <c r="A29" s="8">
        <v>39</v>
      </c>
      <c r="B29" s="9"/>
      <c r="C29" s="9"/>
      <c r="D29" s="9"/>
      <c r="E29" s="9"/>
      <c r="F29" s="9"/>
      <c r="G29" s="9"/>
      <c r="H29" s="9"/>
      <c r="I29" s="9"/>
      <c r="J29" s="9"/>
      <c r="K29" s="8"/>
      <c r="L29" s="8"/>
      <c r="M29" s="10"/>
      <c r="N29" s="10"/>
      <c r="O29" s="24"/>
      <c r="P29" s="26"/>
      <c r="Q29" s="155"/>
      <c r="R29" s="10">
        <f t="shared" si="2"/>
        <v>0</v>
      </c>
      <c r="S29" s="10">
        <f t="shared" si="3"/>
        <v>0</v>
      </c>
      <c r="T29" s="10">
        <f t="shared" si="4"/>
        <v>0</v>
      </c>
      <c r="U29" s="10">
        <f t="shared" si="5"/>
        <v>0</v>
      </c>
      <c r="V29" s="27">
        <f t="shared" si="6"/>
        <v>0</v>
      </c>
      <c r="W29" s="3"/>
      <c r="X29" s="3"/>
      <c r="Y29">
        <v>2</v>
      </c>
      <c r="Z29" t="s">
        <v>339</v>
      </c>
    </row>
    <row r="30" spans="1:28" ht="15" customHeight="1" x14ac:dyDescent="0.25">
      <c r="A30" s="8">
        <v>42</v>
      </c>
      <c r="B30" s="9"/>
      <c r="C30" s="9"/>
      <c r="D30" s="9"/>
      <c r="E30" s="9"/>
      <c r="F30" s="9"/>
      <c r="G30" s="9"/>
      <c r="H30" s="9"/>
      <c r="I30" s="9"/>
      <c r="J30" s="9"/>
      <c r="K30" s="8"/>
      <c r="L30" s="8"/>
      <c r="M30" s="10"/>
      <c r="N30" s="10"/>
      <c r="O30" s="24"/>
      <c r="P30" s="26"/>
      <c r="Q30" s="155"/>
      <c r="R30" s="10">
        <f t="shared" si="2"/>
        <v>0</v>
      </c>
      <c r="S30" s="10">
        <f t="shared" si="3"/>
        <v>0</v>
      </c>
      <c r="T30" s="10">
        <f t="shared" si="4"/>
        <v>0</v>
      </c>
      <c r="U30" s="10">
        <f t="shared" si="5"/>
        <v>0</v>
      </c>
      <c r="V30" s="27">
        <f t="shared" si="6"/>
        <v>0</v>
      </c>
      <c r="W30" s="3"/>
      <c r="X30" s="3"/>
      <c r="Y30">
        <v>3</v>
      </c>
      <c r="Z30" t="s">
        <v>340</v>
      </c>
    </row>
    <row r="31" spans="1:28" ht="15" customHeight="1" x14ac:dyDescent="0.25">
      <c r="A31" s="8">
        <v>43</v>
      </c>
      <c r="B31" s="9"/>
      <c r="C31" s="9"/>
      <c r="D31" s="9"/>
      <c r="E31" s="9"/>
      <c r="F31" s="9"/>
      <c r="G31" s="9"/>
      <c r="H31" s="9"/>
      <c r="I31" s="9"/>
      <c r="J31" s="9"/>
      <c r="K31" s="8"/>
      <c r="L31" s="8"/>
      <c r="M31" s="10"/>
      <c r="N31" s="10"/>
      <c r="O31" s="24"/>
      <c r="P31" s="26"/>
      <c r="Q31" s="155"/>
      <c r="R31" s="10">
        <f t="shared" si="2"/>
        <v>0</v>
      </c>
      <c r="S31" s="10">
        <f t="shared" si="3"/>
        <v>0</v>
      </c>
      <c r="T31" s="10">
        <f t="shared" si="4"/>
        <v>0</v>
      </c>
      <c r="U31" s="10">
        <f t="shared" si="5"/>
        <v>0</v>
      </c>
      <c r="V31" s="27">
        <f t="shared" si="6"/>
        <v>0</v>
      </c>
      <c r="W31" s="3"/>
      <c r="X31" s="3"/>
      <c r="Y31">
        <v>4</v>
      </c>
      <c r="Z31" t="s">
        <v>341</v>
      </c>
    </row>
    <row r="32" spans="1:28" ht="15" customHeight="1" x14ac:dyDescent="0.25">
      <c r="A32" s="292"/>
      <c r="B32" s="9"/>
      <c r="C32" s="9"/>
      <c r="D32" s="9"/>
      <c r="E32" s="9"/>
      <c r="F32" s="9"/>
      <c r="G32" s="9"/>
      <c r="H32" s="9"/>
      <c r="I32" s="9"/>
      <c r="J32" s="9"/>
      <c r="K32" s="8"/>
      <c r="L32" s="8"/>
      <c r="M32" s="10"/>
      <c r="N32" s="10"/>
      <c r="O32" s="24"/>
      <c r="P32" s="26"/>
      <c r="Q32" s="155"/>
      <c r="R32" s="10"/>
      <c r="S32" s="10"/>
      <c r="T32" s="10"/>
      <c r="U32" s="10"/>
      <c r="V32" s="27"/>
      <c r="W32" s="3"/>
      <c r="X32" s="3"/>
      <c r="Y32" t="s">
        <v>343</v>
      </c>
      <c r="Z32" t="s">
        <v>342</v>
      </c>
    </row>
    <row r="33" spans="1:26" s="44" customFormat="1" ht="15" customHeight="1" x14ac:dyDescent="0.25">
      <c r="A33" s="277"/>
      <c r="B33" s="276"/>
      <c r="C33" s="276"/>
      <c r="D33" s="9"/>
      <c r="E33" s="276"/>
      <c r="F33" s="276"/>
      <c r="G33" s="276"/>
      <c r="H33" s="276"/>
      <c r="I33" s="276"/>
      <c r="J33" s="276"/>
      <c r="K33" s="8"/>
      <c r="L33" s="8"/>
      <c r="M33" s="10"/>
      <c r="N33" s="10"/>
      <c r="O33" s="279"/>
      <c r="P33" s="280"/>
      <c r="Q33" s="281"/>
      <c r="R33" s="278"/>
      <c r="S33" s="278"/>
      <c r="T33" s="278"/>
      <c r="U33" s="278"/>
      <c r="V33" s="285"/>
      <c r="W33" s="286"/>
      <c r="X33" s="286"/>
      <c r="Y33" s="44" t="s">
        <v>345</v>
      </c>
      <c r="Z33" s="44" t="s">
        <v>344</v>
      </c>
    </row>
    <row r="34" spans="1:26" ht="15" customHeight="1" x14ac:dyDescent="0.25">
      <c r="A34" s="8">
        <v>47</v>
      </c>
      <c r="B34" s="9"/>
      <c r="C34" s="9"/>
      <c r="D34" s="9"/>
      <c r="E34" s="9"/>
      <c r="F34" s="9"/>
      <c r="G34" s="9"/>
      <c r="H34" s="9"/>
      <c r="I34" s="9"/>
      <c r="J34" s="9"/>
      <c r="K34" s="8"/>
      <c r="L34" s="8"/>
      <c r="M34" s="10"/>
      <c r="N34" s="10"/>
      <c r="O34" s="24"/>
      <c r="P34" s="26"/>
      <c r="Q34" s="155"/>
      <c r="R34" s="10">
        <f t="shared" ref="R34:R63" si="13">IF(C34=1,O34*M34,0)</f>
        <v>0</v>
      </c>
      <c r="S34" s="10">
        <f t="shared" ref="S34:S63" si="14">IF(C34=1,P34*M34,0)</f>
        <v>0</v>
      </c>
      <c r="T34" s="10">
        <f t="shared" ref="T34:T63" si="15">(M34*O34)-(M34*Q34)/2</f>
        <v>0</v>
      </c>
      <c r="U34" s="10">
        <f t="shared" ref="U34:U63" si="16">IF(C34=2,Q34*M34,0)</f>
        <v>0</v>
      </c>
      <c r="V34" s="27">
        <f t="shared" ref="V34:V63" si="17">O34*M34</f>
        <v>0</v>
      </c>
      <c r="W34" s="3"/>
      <c r="X34" s="3"/>
      <c r="Y34">
        <v>6</v>
      </c>
      <c r="Z34" t="s">
        <v>346</v>
      </c>
    </row>
    <row r="35" spans="1:26" ht="15" customHeight="1" x14ac:dyDescent="0.25">
      <c r="A35" s="8">
        <v>48</v>
      </c>
      <c r="B35" s="9"/>
      <c r="C35" s="9"/>
      <c r="D35" s="9"/>
      <c r="E35" s="9"/>
      <c r="F35" s="9"/>
      <c r="G35" s="9"/>
      <c r="H35" s="9"/>
      <c r="I35" s="9"/>
      <c r="J35" s="9"/>
      <c r="K35" s="8"/>
      <c r="L35" s="8"/>
      <c r="M35" s="10"/>
      <c r="N35" s="10"/>
      <c r="O35" s="24"/>
      <c r="P35" s="26"/>
      <c r="Q35" s="155"/>
      <c r="R35" s="10">
        <f t="shared" si="13"/>
        <v>0</v>
      </c>
      <c r="S35" s="10">
        <f t="shared" si="14"/>
        <v>0</v>
      </c>
      <c r="T35" s="10">
        <f t="shared" si="15"/>
        <v>0</v>
      </c>
      <c r="U35" s="10">
        <f t="shared" si="16"/>
        <v>0</v>
      </c>
      <c r="V35" s="27">
        <f t="shared" si="17"/>
        <v>0</v>
      </c>
      <c r="W35" s="3"/>
      <c r="X35" s="3"/>
      <c r="Y35">
        <v>7</v>
      </c>
      <c r="Z35" t="s">
        <v>347</v>
      </c>
    </row>
    <row r="36" spans="1:26" ht="15" customHeight="1" x14ac:dyDescent="0.25">
      <c r="A36" s="8"/>
      <c r="B36" s="276"/>
      <c r="C36" s="276"/>
      <c r="D36" s="9"/>
      <c r="E36" s="276"/>
      <c r="F36" s="276"/>
      <c r="G36" s="276"/>
      <c r="H36" s="276"/>
      <c r="I36" s="276"/>
      <c r="J36" s="276"/>
      <c r="K36" s="277"/>
      <c r="L36" s="277"/>
      <c r="M36" s="10"/>
      <c r="N36" s="278"/>
      <c r="O36" s="279"/>
      <c r="P36" s="280"/>
      <c r="Q36" s="281"/>
      <c r="R36" s="10"/>
      <c r="S36" s="10"/>
      <c r="T36" s="10"/>
      <c r="U36" s="10"/>
      <c r="V36" s="27"/>
      <c r="W36" s="3"/>
      <c r="X36" s="3"/>
      <c r="Y36" t="s">
        <v>349</v>
      </c>
      <c r="Z36" t="s">
        <v>348</v>
      </c>
    </row>
    <row r="37" spans="1:26" ht="15" customHeight="1" x14ac:dyDescent="0.25">
      <c r="A37" s="8"/>
      <c r="B37" s="276"/>
      <c r="C37" s="276"/>
      <c r="D37" s="276"/>
      <c r="E37" s="276"/>
      <c r="F37" s="276"/>
      <c r="G37" s="276"/>
      <c r="H37" s="276"/>
      <c r="I37" s="276"/>
      <c r="J37" s="276"/>
      <c r="K37" s="277"/>
      <c r="L37" s="277"/>
      <c r="M37" s="10"/>
      <c r="N37" s="278"/>
      <c r="O37" s="279"/>
      <c r="P37" s="280"/>
      <c r="Q37" s="281"/>
      <c r="R37" s="10"/>
      <c r="S37" s="10"/>
      <c r="T37" s="10"/>
      <c r="U37" s="10"/>
      <c r="V37" s="27"/>
      <c r="W37" s="3"/>
      <c r="X37" s="3"/>
      <c r="Y37" t="s">
        <v>351</v>
      </c>
      <c r="Z37" t="s">
        <v>350</v>
      </c>
    </row>
    <row r="38" spans="1:26" x14ac:dyDescent="0.25">
      <c r="A38" s="8"/>
      <c r="B38" s="276"/>
      <c r="C38" s="276"/>
      <c r="D38" s="276"/>
      <c r="E38" s="276"/>
      <c r="F38" s="276"/>
      <c r="G38" s="276"/>
      <c r="H38" s="276"/>
      <c r="I38" s="276"/>
      <c r="J38" s="276"/>
      <c r="K38" s="277"/>
      <c r="L38" s="277"/>
      <c r="M38" s="10"/>
      <c r="N38" s="278"/>
      <c r="O38" s="279"/>
      <c r="P38" s="280"/>
      <c r="Q38" s="281"/>
      <c r="R38" s="10"/>
      <c r="S38" s="10"/>
      <c r="T38" s="10"/>
      <c r="U38" s="10"/>
      <c r="V38" s="27"/>
      <c r="Y38" t="s">
        <v>352</v>
      </c>
      <c r="Z38" t="s">
        <v>353</v>
      </c>
    </row>
    <row r="39" spans="1:26" x14ac:dyDescent="0.25">
      <c r="A39" s="8"/>
      <c r="B39" s="276"/>
      <c r="C39" s="276"/>
      <c r="D39" s="276"/>
      <c r="E39" s="276"/>
      <c r="F39" s="276"/>
      <c r="G39" s="276"/>
      <c r="H39" s="276"/>
      <c r="I39" s="276"/>
      <c r="J39" s="276"/>
      <c r="K39" s="277"/>
      <c r="L39" s="277"/>
      <c r="M39" s="291"/>
      <c r="N39" s="278"/>
      <c r="O39" s="279"/>
      <c r="P39" s="280"/>
      <c r="Q39" s="281"/>
      <c r="R39" s="10"/>
      <c r="S39" s="10"/>
      <c r="T39" s="10"/>
      <c r="U39" s="10"/>
      <c r="V39" s="27"/>
    </row>
    <row r="40" spans="1:26" x14ac:dyDescent="0.25">
      <c r="A40" s="8"/>
      <c r="B40" s="276"/>
      <c r="C40" s="276"/>
      <c r="D40" s="276"/>
      <c r="E40" s="276"/>
      <c r="F40" s="276"/>
      <c r="G40" s="276"/>
      <c r="H40" s="276"/>
      <c r="I40" s="276"/>
      <c r="J40" s="276"/>
      <c r="K40" s="277"/>
      <c r="L40" s="277"/>
      <c r="M40" s="294"/>
      <c r="N40" s="278"/>
      <c r="O40" s="279"/>
      <c r="P40" s="280"/>
      <c r="Q40" s="281"/>
      <c r="R40" s="10"/>
      <c r="S40" s="10"/>
      <c r="T40" s="10"/>
      <c r="U40" s="10"/>
      <c r="V40" s="27"/>
    </row>
    <row r="41" spans="1:26" x14ac:dyDescent="0.25">
      <c r="A41" s="8"/>
      <c r="B41" s="276"/>
      <c r="C41" s="276"/>
      <c r="D41" s="276"/>
      <c r="E41" s="276"/>
      <c r="F41" s="276"/>
      <c r="G41" s="276"/>
      <c r="H41" s="276"/>
      <c r="I41" s="276"/>
      <c r="J41" s="276"/>
      <c r="K41" s="277"/>
      <c r="L41" s="277"/>
      <c r="M41" s="294"/>
      <c r="N41" s="278"/>
      <c r="O41" s="279"/>
      <c r="P41" s="280"/>
      <c r="Q41" s="281"/>
      <c r="R41" s="10"/>
      <c r="S41" s="10"/>
      <c r="T41" s="10"/>
      <c r="U41" s="10"/>
      <c r="V41" s="27"/>
    </row>
    <row r="42" spans="1:26" x14ac:dyDescent="0.25">
      <c r="A42" s="8"/>
      <c r="B42" s="276"/>
      <c r="C42" s="276"/>
      <c r="D42" s="276"/>
      <c r="E42" s="276"/>
      <c r="F42" s="276"/>
      <c r="G42" s="276"/>
      <c r="H42" s="276"/>
      <c r="I42" s="276"/>
      <c r="J42" s="276"/>
      <c r="K42" s="277"/>
      <c r="L42" s="277"/>
      <c r="M42" s="294"/>
      <c r="N42" s="278"/>
      <c r="O42" s="279"/>
      <c r="P42" s="280"/>
      <c r="Q42" s="281"/>
      <c r="R42" s="10"/>
      <c r="S42" s="10"/>
      <c r="T42" s="10"/>
      <c r="U42" s="10"/>
      <c r="V42" s="27"/>
    </row>
    <row r="43" spans="1:26" x14ac:dyDescent="0.25">
      <c r="A43" s="8"/>
      <c r="B43" s="276"/>
      <c r="C43" s="276"/>
      <c r="D43" s="276"/>
      <c r="E43" s="276"/>
      <c r="F43" s="276"/>
      <c r="G43" s="276"/>
      <c r="H43" s="276"/>
      <c r="I43" s="276"/>
      <c r="J43" s="276"/>
      <c r="K43" s="277"/>
      <c r="L43" s="277"/>
      <c r="M43" s="294"/>
      <c r="N43" s="278"/>
      <c r="O43" s="279"/>
      <c r="P43" s="280"/>
      <c r="Q43" s="281"/>
      <c r="R43" s="10"/>
      <c r="S43" s="10"/>
      <c r="T43" s="10"/>
      <c r="U43" s="10"/>
      <c r="V43" s="27"/>
    </row>
    <row r="44" spans="1:26" x14ac:dyDescent="0.25">
      <c r="A44" s="8"/>
      <c r="B44" s="276"/>
      <c r="C44" s="276"/>
      <c r="D44" s="276"/>
      <c r="E44" s="276"/>
      <c r="F44" s="276"/>
      <c r="G44" s="276"/>
      <c r="H44" s="276"/>
      <c r="I44" s="276"/>
      <c r="J44" s="276"/>
      <c r="K44" s="277"/>
      <c r="L44" s="277"/>
      <c r="M44" s="294"/>
      <c r="N44" s="278"/>
      <c r="O44" s="279"/>
      <c r="P44" s="280"/>
      <c r="Q44" s="281"/>
      <c r="R44" s="10"/>
      <c r="S44" s="10"/>
      <c r="T44" s="10"/>
      <c r="U44" s="10"/>
      <c r="V44" s="27"/>
    </row>
    <row r="45" spans="1:26" x14ac:dyDescent="0.25">
      <c r="A45" s="8"/>
      <c r="B45" s="276"/>
      <c r="C45" s="276"/>
      <c r="D45" s="276"/>
      <c r="E45" s="276"/>
      <c r="F45" s="276"/>
      <c r="G45" s="276"/>
      <c r="H45" s="276"/>
      <c r="I45" s="276"/>
      <c r="J45" s="276"/>
      <c r="K45" s="277"/>
      <c r="L45" s="277"/>
      <c r="M45" s="294"/>
      <c r="N45" s="278"/>
      <c r="O45" s="279"/>
      <c r="P45" s="280"/>
      <c r="Q45" s="281"/>
      <c r="R45" s="10"/>
      <c r="S45" s="10"/>
      <c r="T45" s="10"/>
      <c r="U45" s="10"/>
      <c r="V45" s="27"/>
    </row>
    <row r="46" spans="1:26" x14ac:dyDescent="0.25">
      <c r="A46" s="8"/>
      <c r="B46" s="276"/>
      <c r="C46" s="276"/>
      <c r="D46" s="276"/>
      <c r="E46" s="276"/>
      <c r="F46" s="276"/>
      <c r="G46" s="276"/>
      <c r="H46" s="276"/>
      <c r="I46" s="276"/>
      <c r="J46" s="276"/>
      <c r="K46" s="277"/>
      <c r="L46" s="277"/>
      <c r="M46" s="294"/>
      <c r="N46" s="278"/>
      <c r="O46" s="279"/>
      <c r="P46" s="280"/>
      <c r="Q46" s="281"/>
      <c r="R46" s="10"/>
      <c r="S46" s="10"/>
      <c r="T46" s="10"/>
      <c r="U46" s="10"/>
      <c r="V46" s="27"/>
    </row>
    <row r="47" spans="1:26" x14ac:dyDescent="0.25">
      <c r="A47" s="8"/>
      <c r="B47" s="276"/>
      <c r="C47" s="276"/>
      <c r="D47" s="276"/>
      <c r="E47" s="276"/>
      <c r="F47" s="276"/>
      <c r="G47" s="276"/>
      <c r="H47" s="276"/>
      <c r="I47" s="276"/>
      <c r="J47" s="276"/>
      <c r="K47" s="277"/>
      <c r="L47" s="277"/>
      <c r="M47" s="294"/>
      <c r="N47" s="278"/>
      <c r="O47" s="279"/>
      <c r="P47" s="280"/>
      <c r="Q47" s="281"/>
      <c r="R47" s="10"/>
      <c r="S47" s="10"/>
      <c r="T47" s="10"/>
      <c r="U47" s="10"/>
      <c r="V47" s="27"/>
    </row>
    <row r="48" spans="1:26" x14ac:dyDescent="0.25">
      <c r="A48" s="8"/>
      <c r="B48" s="276"/>
      <c r="C48" s="276"/>
      <c r="D48" s="276"/>
      <c r="E48" s="276"/>
      <c r="F48" s="276"/>
      <c r="G48" s="276"/>
      <c r="H48" s="276"/>
      <c r="I48" s="276"/>
      <c r="J48" s="276"/>
      <c r="K48" s="277"/>
      <c r="L48" s="277"/>
      <c r="M48" s="294"/>
      <c r="N48" s="278"/>
      <c r="O48" s="279"/>
      <c r="P48" s="280"/>
      <c r="Q48" s="281"/>
      <c r="R48" s="10"/>
      <c r="S48" s="10"/>
      <c r="T48" s="10"/>
      <c r="U48" s="10"/>
      <c r="V48" s="27"/>
    </row>
    <row r="49" spans="1:22" x14ac:dyDescent="0.25">
      <c r="A49" s="8"/>
      <c r="B49" s="276"/>
      <c r="C49" s="276"/>
      <c r="D49" s="276"/>
      <c r="E49" s="276"/>
      <c r="F49" s="276"/>
      <c r="G49" s="276"/>
      <c r="H49" s="276"/>
      <c r="I49" s="276"/>
      <c r="J49" s="276"/>
      <c r="K49" s="277"/>
      <c r="L49" s="277"/>
      <c r="M49" s="294"/>
      <c r="N49" s="278"/>
      <c r="O49" s="279"/>
      <c r="P49" s="280"/>
      <c r="Q49" s="281"/>
      <c r="R49" s="10"/>
      <c r="S49" s="10"/>
      <c r="T49" s="10"/>
      <c r="U49" s="10"/>
      <c r="V49" s="27"/>
    </row>
    <row r="50" spans="1:22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8"/>
      <c r="L50" s="8"/>
      <c r="M50" s="291"/>
      <c r="N50" s="10"/>
      <c r="O50" s="24"/>
      <c r="P50" s="26"/>
      <c r="Q50" s="155"/>
      <c r="R50" s="10"/>
      <c r="S50" s="10"/>
      <c r="T50" s="10"/>
      <c r="U50" s="10"/>
      <c r="V50" s="27"/>
    </row>
    <row r="51" spans="1:22" x14ac:dyDescent="0.25">
      <c r="A51" s="8">
        <v>50</v>
      </c>
      <c r="B51" s="9"/>
      <c r="C51" s="9"/>
      <c r="D51" s="9"/>
      <c r="E51" s="9"/>
      <c r="F51" s="9"/>
      <c r="G51" s="9"/>
      <c r="H51" s="9"/>
      <c r="I51" s="9"/>
      <c r="J51" s="9"/>
      <c r="K51" s="8" t="str">
        <f t="shared" ref="K51:K63" si="18">IF(I51=$Y$10,G51*$AB$10,IF(I51=$Y$11,G51*$AB$11,IF(I51=$Y$12,G51*$AB$12,"")))</f>
        <v/>
      </c>
      <c r="L51" s="8" t="e">
        <f t="shared" ref="L51:L63" si="19">IF(J51=$Y$5,K51*$AA$5,IF(J51=$Y$6,K51*$AA$6,IF(J51=$Y$7,K51*$AA$7,"")))</f>
        <v>#VALUE!</v>
      </c>
      <c r="M51" s="10" t="e">
        <f>IF(I51=$Y$10,SQRT(L51*10000),SQRT(Parcellaire!L51*10000)/$AC$11)</f>
        <v>#VALUE!</v>
      </c>
      <c r="N51" s="10">
        <f t="shared" ref="N51:N63" si="20">IF(I51=1,4,6)</f>
        <v>6</v>
      </c>
      <c r="O51" s="24"/>
      <c r="P51" s="26"/>
      <c r="Q51" s="155">
        <v>0</v>
      </c>
      <c r="R51" s="10">
        <f t="shared" si="13"/>
        <v>0</v>
      </c>
      <c r="S51" s="10">
        <f t="shared" si="14"/>
        <v>0</v>
      </c>
      <c r="T51" s="10" t="e">
        <f t="shared" si="15"/>
        <v>#VALUE!</v>
      </c>
      <c r="U51" s="10">
        <f t="shared" si="16"/>
        <v>0</v>
      </c>
      <c r="V51" s="27" t="e">
        <f t="shared" si="17"/>
        <v>#VALUE!</v>
      </c>
    </row>
    <row r="52" spans="1:22" x14ac:dyDescent="0.25">
      <c r="A52" s="8">
        <v>51</v>
      </c>
      <c r="B52" s="9"/>
      <c r="C52" s="9"/>
      <c r="D52" s="9"/>
      <c r="E52" s="9"/>
      <c r="F52" s="9"/>
      <c r="G52" s="9"/>
      <c r="H52" s="9"/>
      <c r="I52" s="9"/>
      <c r="J52" s="9"/>
      <c r="K52" s="8" t="str">
        <f t="shared" si="18"/>
        <v/>
      </c>
      <c r="L52" s="8" t="e">
        <f t="shared" si="19"/>
        <v>#VALUE!</v>
      </c>
      <c r="M52" s="10" t="e">
        <f>IF(I52=$Y$10,SQRT(L52*10000),SQRT(Parcellaire!L52*10000)/$AC$11)</f>
        <v>#VALUE!</v>
      </c>
      <c r="N52" s="10">
        <f t="shared" si="20"/>
        <v>6</v>
      </c>
      <c r="O52" s="24"/>
      <c r="P52" s="26"/>
      <c r="Q52" s="155">
        <v>0</v>
      </c>
      <c r="R52" s="10">
        <f t="shared" si="13"/>
        <v>0</v>
      </c>
      <c r="S52" s="10">
        <f t="shared" si="14"/>
        <v>0</v>
      </c>
      <c r="T52" s="10" t="e">
        <f t="shared" si="15"/>
        <v>#VALUE!</v>
      </c>
      <c r="U52" s="10">
        <f t="shared" si="16"/>
        <v>0</v>
      </c>
      <c r="V52" s="27" t="e">
        <f t="shared" si="17"/>
        <v>#VALUE!</v>
      </c>
    </row>
    <row r="53" spans="1:22" x14ac:dyDescent="0.25">
      <c r="A53" s="8">
        <v>52</v>
      </c>
      <c r="B53" s="9"/>
      <c r="C53" s="9"/>
      <c r="D53" s="9"/>
      <c r="E53" s="9"/>
      <c r="F53" s="9"/>
      <c r="G53" s="9"/>
      <c r="H53" s="9"/>
      <c r="I53" s="9"/>
      <c r="J53" s="9"/>
      <c r="K53" s="8" t="str">
        <f t="shared" si="18"/>
        <v/>
      </c>
      <c r="L53" s="8" t="e">
        <f t="shared" si="19"/>
        <v>#VALUE!</v>
      </c>
      <c r="M53" s="10" t="e">
        <f>IF(I53=$Y$10,SQRT(L53*10000),SQRT(Parcellaire!L53*10000)/$AC$11)</f>
        <v>#VALUE!</v>
      </c>
      <c r="N53" s="10">
        <f t="shared" si="20"/>
        <v>6</v>
      </c>
      <c r="O53" s="24"/>
      <c r="P53" s="26"/>
      <c r="Q53" s="155">
        <v>0</v>
      </c>
      <c r="R53" s="10">
        <f t="shared" si="13"/>
        <v>0</v>
      </c>
      <c r="S53" s="10">
        <f t="shared" si="14"/>
        <v>0</v>
      </c>
      <c r="T53" s="10" t="e">
        <f t="shared" si="15"/>
        <v>#VALUE!</v>
      </c>
      <c r="U53" s="10">
        <f t="shared" si="16"/>
        <v>0</v>
      </c>
      <c r="V53" s="27" t="e">
        <f t="shared" si="17"/>
        <v>#VALUE!</v>
      </c>
    </row>
    <row r="54" spans="1:22" x14ac:dyDescent="0.25">
      <c r="A54" s="8">
        <v>53</v>
      </c>
      <c r="B54" s="9"/>
      <c r="C54" s="9"/>
      <c r="D54" s="9"/>
      <c r="E54" s="9"/>
      <c r="F54" s="9"/>
      <c r="G54" s="9"/>
      <c r="H54" s="9"/>
      <c r="I54" s="9"/>
      <c r="J54" s="9"/>
      <c r="K54" s="8" t="str">
        <f t="shared" si="18"/>
        <v/>
      </c>
      <c r="L54" s="8" t="e">
        <f t="shared" si="19"/>
        <v>#VALUE!</v>
      </c>
      <c r="M54" s="10" t="e">
        <f>IF(I54=$Y$10,SQRT(L54*10000),SQRT(Parcellaire!L54*10000)/$AC$11)</f>
        <v>#VALUE!</v>
      </c>
      <c r="N54" s="10">
        <f t="shared" si="20"/>
        <v>6</v>
      </c>
      <c r="O54" s="24"/>
      <c r="P54" s="26"/>
      <c r="Q54" s="155">
        <v>0</v>
      </c>
      <c r="R54" s="10">
        <f t="shared" si="13"/>
        <v>0</v>
      </c>
      <c r="S54" s="10">
        <f t="shared" si="14"/>
        <v>0</v>
      </c>
      <c r="T54" s="10" t="e">
        <f t="shared" si="15"/>
        <v>#VALUE!</v>
      </c>
      <c r="U54" s="10">
        <f t="shared" si="16"/>
        <v>0</v>
      </c>
      <c r="V54" s="27" t="e">
        <f t="shared" si="17"/>
        <v>#VALUE!</v>
      </c>
    </row>
    <row r="55" spans="1:22" x14ac:dyDescent="0.25">
      <c r="A55" s="8">
        <v>54</v>
      </c>
      <c r="B55" s="9"/>
      <c r="C55" s="9"/>
      <c r="D55" s="9"/>
      <c r="E55" s="9"/>
      <c r="F55" s="9"/>
      <c r="G55" s="9"/>
      <c r="H55" s="9"/>
      <c r="I55" s="9"/>
      <c r="J55" s="9"/>
      <c r="K55" s="8" t="str">
        <f t="shared" si="18"/>
        <v/>
      </c>
      <c r="L55" s="8" t="e">
        <f t="shared" si="19"/>
        <v>#VALUE!</v>
      </c>
      <c r="M55" s="10" t="e">
        <f>IF(I55=$Y$10,SQRT(L55*10000),SQRT(Parcellaire!L55*10000)/$AC$11)</f>
        <v>#VALUE!</v>
      </c>
      <c r="N55" s="10">
        <f t="shared" si="20"/>
        <v>6</v>
      </c>
      <c r="O55" s="24"/>
      <c r="P55" s="26"/>
      <c r="Q55" s="155">
        <v>0</v>
      </c>
      <c r="R55" s="10">
        <f t="shared" si="13"/>
        <v>0</v>
      </c>
      <c r="S55" s="10">
        <f t="shared" si="14"/>
        <v>0</v>
      </c>
      <c r="T55" s="10" t="e">
        <f t="shared" si="15"/>
        <v>#VALUE!</v>
      </c>
      <c r="U55" s="10">
        <f t="shared" si="16"/>
        <v>0</v>
      </c>
      <c r="V55" s="27" t="e">
        <f t="shared" si="17"/>
        <v>#VALUE!</v>
      </c>
    </row>
    <row r="56" spans="1:22" x14ac:dyDescent="0.25">
      <c r="A56" s="8">
        <v>55</v>
      </c>
      <c r="B56" s="9"/>
      <c r="C56" s="9"/>
      <c r="D56" s="9"/>
      <c r="E56" s="9"/>
      <c r="F56" s="9"/>
      <c r="G56" s="9"/>
      <c r="H56" s="9"/>
      <c r="I56" s="9"/>
      <c r="J56" s="9"/>
      <c r="K56" s="8" t="str">
        <f t="shared" si="18"/>
        <v/>
      </c>
      <c r="L56" s="8" t="e">
        <f t="shared" si="19"/>
        <v>#VALUE!</v>
      </c>
      <c r="M56" s="10" t="e">
        <f>IF(I56=$Y$10,SQRT(L56*10000),SQRT(Parcellaire!L56*10000)/$AC$11)</f>
        <v>#VALUE!</v>
      </c>
      <c r="N56" s="10">
        <f t="shared" si="20"/>
        <v>6</v>
      </c>
      <c r="O56" s="24"/>
      <c r="P56" s="26"/>
      <c r="Q56" s="155">
        <v>0</v>
      </c>
      <c r="R56" s="10">
        <f t="shared" si="13"/>
        <v>0</v>
      </c>
      <c r="S56" s="10">
        <f t="shared" si="14"/>
        <v>0</v>
      </c>
      <c r="T56" s="10" t="e">
        <f t="shared" si="15"/>
        <v>#VALUE!</v>
      </c>
      <c r="U56" s="10">
        <f t="shared" si="16"/>
        <v>0</v>
      </c>
      <c r="V56" s="27" t="e">
        <f t="shared" si="17"/>
        <v>#VALUE!</v>
      </c>
    </row>
    <row r="57" spans="1:22" x14ac:dyDescent="0.25">
      <c r="A57" s="8">
        <v>56</v>
      </c>
      <c r="B57" s="9"/>
      <c r="C57" s="9"/>
      <c r="D57" s="9"/>
      <c r="E57" s="9"/>
      <c r="F57" s="9"/>
      <c r="G57" s="9"/>
      <c r="H57" s="9"/>
      <c r="I57" s="9"/>
      <c r="J57" s="9"/>
      <c r="K57" s="8" t="str">
        <f t="shared" si="18"/>
        <v/>
      </c>
      <c r="L57" s="8" t="e">
        <f t="shared" si="19"/>
        <v>#VALUE!</v>
      </c>
      <c r="M57" s="10" t="e">
        <f>IF(I57=$Y$10,SQRT(L57*10000),SQRT(Parcellaire!L57*10000)/$AC$11)</f>
        <v>#VALUE!</v>
      </c>
      <c r="N57" s="10">
        <f t="shared" si="20"/>
        <v>6</v>
      </c>
      <c r="O57" s="24"/>
      <c r="P57" s="26"/>
      <c r="Q57" s="155">
        <v>0</v>
      </c>
      <c r="R57" s="10">
        <f t="shared" si="13"/>
        <v>0</v>
      </c>
      <c r="S57" s="10">
        <f t="shared" si="14"/>
        <v>0</v>
      </c>
      <c r="T57" s="10" t="e">
        <f t="shared" si="15"/>
        <v>#VALUE!</v>
      </c>
      <c r="U57" s="10">
        <f t="shared" si="16"/>
        <v>0</v>
      </c>
      <c r="V57" s="27" t="e">
        <f t="shared" si="17"/>
        <v>#VALUE!</v>
      </c>
    </row>
    <row r="58" spans="1:22" x14ac:dyDescent="0.25">
      <c r="A58" s="8">
        <v>57</v>
      </c>
      <c r="B58" s="9"/>
      <c r="C58" s="9"/>
      <c r="D58" s="9"/>
      <c r="E58" s="9"/>
      <c r="F58" s="9"/>
      <c r="G58" s="9"/>
      <c r="H58" s="9"/>
      <c r="I58" s="9"/>
      <c r="J58" s="9"/>
      <c r="K58" s="8" t="str">
        <f t="shared" si="18"/>
        <v/>
      </c>
      <c r="L58" s="8" t="e">
        <f t="shared" si="19"/>
        <v>#VALUE!</v>
      </c>
      <c r="M58" s="10" t="e">
        <f>IF(I58=$Y$10,SQRT(L58*10000),SQRT(Parcellaire!L58*10000)/$AC$11)</f>
        <v>#VALUE!</v>
      </c>
      <c r="N58" s="10">
        <f t="shared" si="20"/>
        <v>6</v>
      </c>
      <c r="O58" s="24"/>
      <c r="P58" s="26"/>
      <c r="Q58" s="155">
        <v>0</v>
      </c>
      <c r="R58" s="10">
        <f t="shared" si="13"/>
        <v>0</v>
      </c>
      <c r="S58" s="10">
        <f t="shared" si="14"/>
        <v>0</v>
      </c>
      <c r="T58" s="10" t="e">
        <f t="shared" si="15"/>
        <v>#VALUE!</v>
      </c>
      <c r="U58" s="10">
        <f t="shared" si="16"/>
        <v>0</v>
      </c>
      <c r="V58" s="27" t="e">
        <f t="shared" si="17"/>
        <v>#VALUE!</v>
      </c>
    </row>
    <row r="59" spans="1:22" x14ac:dyDescent="0.25">
      <c r="A59" s="8">
        <v>58</v>
      </c>
      <c r="B59" s="9"/>
      <c r="C59" s="9"/>
      <c r="D59" s="9"/>
      <c r="E59" s="9"/>
      <c r="F59" s="9"/>
      <c r="G59" s="9"/>
      <c r="H59" s="9"/>
      <c r="I59" s="9"/>
      <c r="J59" s="9"/>
      <c r="K59" s="8" t="str">
        <f t="shared" si="18"/>
        <v/>
      </c>
      <c r="L59" s="8" t="e">
        <f t="shared" si="19"/>
        <v>#VALUE!</v>
      </c>
      <c r="M59" s="10" t="e">
        <f>IF(I59=$Y$10,SQRT(L59*10000),SQRT(Parcellaire!L59*10000)/$AC$11)</f>
        <v>#VALUE!</v>
      </c>
      <c r="N59" s="10">
        <f t="shared" si="20"/>
        <v>6</v>
      </c>
      <c r="O59" s="24"/>
      <c r="P59" s="26"/>
      <c r="Q59" s="155">
        <v>0</v>
      </c>
      <c r="R59" s="10">
        <f t="shared" si="13"/>
        <v>0</v>
      </c>
      <c r="S59" s="10">
        <f t="shared" si="14"/>
        <v>0</v>
      </c>
      <c r="T59" s="10" t="e">
        <f t="shared" si="15"/>
        <v>#VALUE!</v>
      </c>
      <c r="U59" s="10">
        <f t="shared" si="16"/>
        <v>0</v>
      </c>
      <c r="V59" s="27" t="e">
        <f t="shared" si="17"/>
        <v>#VALUE!</v>
      </c>
    </row>
    <row r="60" spans="1:22" x14ac:dyDescent="0.25">
      <c r="A60" s="8">
        <v>59</v>
      </c>
      <c r="B60" s="9"/>
      <c r="C60" s="9"/>
      <c r="D60" s="9"/>
      <c r="E60" s="9"/>
      <c r="F60" s="9"/>
      <c r="G60" s="9"/>
      <c r="H60" s="9"/>
      <c r="I60" s="9"/>
      <c r="J60" s="9"/>
      <c r="K60" s="8" t="str">
        <f t="shared" si="18"/>
        <v/>
      </c>
      <c r="L60" s="8" t="e">
        <f t="shared" si="19"/>
        <v>#VALUE!</v>
      </c>
      <c r="M60" s="10" t="e">
        <f>IF(I60=$Y$10,SQRT(L60*10000),SQRT(Parcellaire!L60*10000)/$AC$11)</f>
        <v>#VALUE!</v>
      </c>
      <c r="N60" s="10">
        <f t="shared" si="20"/>
        <v>6</v>
      </c>
      <c r="O60" s="24"/>
      <c r="P60" s="26"/>
      <c r="Q60" s="155">
        <v>0</v>
      </c>
      <c r="R60" s="10">
        <f t="shared" si="13"/>
        <v>0</v>
      </c>
      <c r="S60" s="10">
        <f t="shared" si="14"/>
        <v>0</v>
      </c>
      <c r="T60" s="10" t="e">
        <f t="shared" si="15"/>
        <v>#VALUE!</v>
      </c>
      <c r="U60" s="10">
        <f t="shared" si="16"/>
        <v>0</v>
      </c>
      <c r="V60" s="27" t="e">
        <f t="shared" si="17"/>
        <v>#VALUE!</v>
      </c>
    </row>
    <row r="61" spans="1:22" x14ac:dyDescent="0.25">
      <c r="A61" s="8">
        <v>60</v>
      </c>
      <c r="B61" s="9"/>
      <c r="C61" s="9"/>
      <c r="D61" s="9"/>
      <c r="E61" s="9"/>
      <c r="F61" s="9"/>
      <c r="G61" s="9"/>
      <c r="H61" s="9"/>
      <c r="I61" s="9"/>
      <c r="J61" s="9"/>
      <c r="K61" s="8" t="str">
        <f t="shared" si="18"/>
        <v/>
      </c>
      <c r="L61" s="8" t="e">
        <f t="shared" si="19"/>
        <v>#VALUE!</v>
      </c>
      <c r="M61" s="10" t="e">
        <f>IF(I61=$Y$10,SQRT(L61*10000),SQRT(Parcellaire!L61*10000)/$AC$11)</f>
        <v>#VALUE!</v>
      </c>
      <c r="N61" s="10">
        <f t="shared" si="20"/>
        <v>6</v>
      </c>
      <c r="O61" s="24"/>
      <c r="P61" s="26"/>
      <c r="Q61" s="155">
        <v>0</v>
      </c>
      <c r="R61" s="10">
        <f t="shared" si="13"/>
        <v>0</v>
      </c>
      <c r="S61" s="10">
        <f t="shared" si="14"/>
        <v>0</v>
      </c>
      <c r="T61" s="10" t="e">
        <f t="shared" si="15"/>
        <v>#VALUE!</v>
      </c>
      <c r="U61" s="10">
        <f t="shared" si="16"/>
        <v>0</v>
      </c>
      <c r="V61" s="27" t="e">
        <f t="shared" si="17"/>
        <v>#VALUE!</v>
      </c>
    </row>
    <row r="62" spans="1:22" x14ac:dyDescent="0.25">
      <c r="A62" s="8">
        <v>61</v>
      </c>
      <c r="B62" s="9"/>
      <c r="C62" s="9"/>
      <c r="D62" s="9"/>
      <c r="E62" s="9"/>
      <c r="F62" s="9"/>
      <c r="G62" s="9"/>
      <c r="H62" s="9"/>
      <c r="I62" s="9"/>
      <c r="J62" s="9"/>
      <c r="K62" s="8" t="str">
        <f t="shared" si="18"/>
        <v/>
      </c>
      <c r="L62" s="8" t="e">
        <f t="shared" si="19"/>
        <v>#VALUE!</v>
      </c>
      <c r="M62" s="10" t="e">
        <f>IF(I62=$Y$10,SQRT(L62*10000),SQRT(Parcellaire!L62*10000)/$AC$11)</f>
        <v>#VALUE!</v>
      </c>
      <c r="N62" s="10">
        <f t="shared" si="20"/>
        <v>6</v>
      </c>
      <c r="O62" s="24"/>
      <c r="P62" s="26"/>
      <c r="Q62" s="155">
        <v>0</v>
      </c>
      <c r="R62" s="10">
        <f t="shared" si="13"/>
        <v>0</v>
      </c>
      <c r="S62" s="10">
        <f t="shared" si="14"/>
        <v>0</v>
      </c>
      <c r="T62" s="10" t="e">
        <f t="shared" si="15"/>
        <v>#VALUE!</v>
      </c>
      <c r="U62" s="10">
        <f t="shared" si="16"/>
        <v>0</v>
      </c>
      <c r="V62" s="27" t="e">
        <f t="shared" si="17"/>
        <v>#VALUE!</v>
      </c>
    </row>
    <row r="63" spans="1:22" x14ac:dyDescent="0.25">
      <c r="A63" s="8">
        <v>62</v>
      </c>
      <c r="B63" s="9"/>
      <c r="C63" s="9"/>
      <c r="D63" s="9"/>
      <c r="E63" s="9"/>
      <c r="F63" s="9"/>
      <c r="G63" s="9"/>
      <c r="H63" s="9"/>
      <c r="I63" s="9"/>
      <c r="J63" s="9"/>
      <c r="K63" s="8" t="str">
        <f t="shared" si="18"/>
        <v/>
      </c>
      <c r="L63" s="8" t="e">
        <f t="shared" si="19"/>
        <v>#VALUE!</v>
      </c>
      <c r="M63" s="10" t="e">
        <f>IF(I63=$Y$10,SQRT(L63*10000),SQRT(Parcellaire!L63*10000)/$AC$11)</f>
        <v>#VALUE!</v>
      </c>
      <c r="N63" s="10">
        <f t="shared" si="20"/>
        <v>6</v>
      </c>
      <c r="O63" s="24"/>
      <c r="P63" s="26"/>
      <c r="Q63" s="155">
        <v>0</v>
      </c>
      <c r="R63" s="10">
        <f t="shared" si="13"/>
        <v>0</v>
      </c>
      <c r="S63" s="10">
        <f t="shared" si="14"/>
        <v>0</v>
      </c>
      <c r="T63" s="10" t="e">
        <f t="shared" si="15"/>
        <v>#VALUE!</v>
      </c>
      <c r="U63" s="10">
        <f t="shared" si="16"/>
        <v>0</v>
      </c>
      <c r="V63" s="27" t="e">
        <f t="shared" si="17"/>
        <v>#VALUE!</v>
      </c>
    </row>
    <row r="64" spans="1:22" s="82" customFormat="1" x14ac:dyDescent="0.25">
      <c r="A64" s="135" t="s">
        <v>13</v>
      </c>
      <c r="B64" s="135"/>
      <c r="C64" s="135"/>
      <c r="D64" s="135"/>
      <c r="E64" s="135"/>
      <c r="F64" s="135"/>
      <c r="G64" s="135">
        <f>SUMIF(Parcellaire!$B$2:$B$63,1,Parcellaire!G2:G63)</f>
        <v>32.43</v>
      </c>
      <c r="H64" s="135"/>
      <c r="I64" s="135">
        <f>SUMIF(Parcellaire!$B$2:$B$63,1,Parcellaire!I2:I63)</f>
        <v>52</v>
      </c>
      <c r="J64" s="135">
        <f>SUMIF(Parcellaire!$B$2:$B$63,1,Parcellaire!J2:J63)</f>
        <v>12.5</v>
      </c>
      <c r="K64" s="135">
        <f>SUMIF(Parcellaire!$B$2:$B$63,1,Parcellaire!K2:K63)</f>
        <v>34.843000000000011</v>
      </c>
      <c r="L64" s="135">
        <f>SUMIF(Parcellaire!$B$2:$B$63,1,Parcellaire!L2:L63)</f>
        <v>39.534400000000005</v>
      </c>
      <c r="M64" s="135">
        <f>SUMIF(Parcellaire!$B$2:$B$63,1,Parcellaire!M2:M63)</f>
        <v>1704.8881886070521</v>
      </c>
      <c r="N64" s="135">
        <f>SUMIF(Parcellaire!$B$2:$B$63,1,Parcellaire!N2:N63)</f>
        <v>114</v>
      </c>
      <c r="O64" s="135">
        <f>SUMIF(Parcellaire!$B$2:$B$63,1,Parcellaire!O2:O63)</f>
        <v>90</v>
      </c>
      <c r="P64" s="135">
        <f>SUMIF(Parcellaire!$B$2:$B$63,1,Parcellaire!P2:P63)</f>
        <v>0</v>
      </c>
      <c r="Q64" s="135">
        <f>SUMIF(Parcellaire!$B$2:$B$63,1,Parcellaire!Q2:Q63)</f>
        <v>30</v>
      </c>
      <c r="R64" s="135">
        <f>SUMIF(Parcellaire!$B$2:$B$63,1,Parcellaire!R2:R63)</f>
        <v>0</v>
      </c>
      <c r="S64" s="135">
        <f>SUMIF(Parcellaire!$B$2:$B$63,1,Parcellaire!S2:S63)</f>
        <v>0</v>
      </c>
      <c r="T64" s="135">
        <f>SUMIF(Parcellaire!$B$2:$B$63,1,Parcellaire!T2:T63)</f>
        <v>4335.0201721013491</v>
      </c>
      <c r="U64" s="135">
        <f>SUMIF(Parcellaire!$B$2:$B$63,1,Parcellaire!U2:U63)</f>
        <v>1097.0087083039218</v>
      </c>
      <c r="V64" s="135">
        <f>SUMIF(Parcellaire!$B$2:$B$63,1,Parcellaire!V2:V63)</f>
        <v>4928.9392815647716</v>
      </c>
    </row>
  </sheetData>
  <sortState ref="A2:P35">
    <sortCondition ref="A2:A35"/>
  </sortState>
  <dataValidations count="1">
    <dataValidation type="list" allowBlank="1" showInputMessage="1" showErrorMessage="1" sqref="B2:B63">
      <formula1>$Y$23:$Y$27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64"/>
  <sheetViews>
    <sheetView topLeftCell="A25" zoomScaleNormal="100" workbookViewId="0">
      <selection activeCell="L47" sqref="L47"/>
    </sheetView>
  </sheetViews>
  <sheetFormatPr baseColWidth="10" defaultRowHeight="15" x14ac:dyDescent="0.25"/>
  <cols>
    <col min="5" max="5" width="15.85546875" customWidth="1"/>
    <col min="6" max="6" width="13.85546875" customWidth="1"/>
    <col min="9" max="9" width="17.28515625" bestFit="1" customWidth="1"/>
    <col min="10" max="10" width="14" bestFit="1" customWidth="1"/>
    <col min="11" max="11" width="16.140625" customWidth="1"/>
    <col min="12" max="12" width="9.5703125" bestFit="1" customWidth="1"/>
    <col min="13" max="14" width="9.5703125" customWidth="1"/>
    <col min="15" max="15" width="11.42578125" style="16"/>
    <col min="16" max="16" width="15.42578125" style="16" customWidth="1"/>
    <col min="18" max="18" width="11.42578125" style="16"/>
    <col min="20" max="20" width="11.42578125" style="16"/>
    <col min="25" max="25" width="35.140625" customWidth="1"/>
  </cols>
  <sheetData>
    <row r="1" spans="1:28" ht="79.5" customHeight="1" x14ac:dyDescent="0.25">
      <c r="A1" s="6" t="s">
        <v>16</v>
      </c>
      <c r="B1" s="6" t="s">
        <v>34</v>
      </c>
      <c r="C1" s="6" t="s">
        <v>40</v>
      </c>
      <c r="D1" s="6" t="s">
        <v>449</v>
      </c>
      <c r="E1" s="6" t="s">
        <v>450</v>
      </c>
      <c r="F1" s="6" t="s">
        <v>76</v>
      </c>
      <c r="G1" s="7" t="s">
        <v>18</v>
      </c>
      <c r="H1" s="7" t="s">
        <v>19</v>
      </c>
      <c r="I1" s="7" t="s">
        <v>20</v>
      </c>
      <c r="J1" s="6" t="s">
        <v>21</v>
      </c>
      <c r="K1" s="6" t="s">
        <v>22</v>
      </c>
      <c r="L1" s="6" t="s">
        <v>23</v>
      </c>
      <c r="M1" s="6" t="s">
        <v>39</v>
      </c>
      <c r="N1" s="6" t="s">
        <v>45</v>
      </c>
      <c r="O1" s="25" t="s">
        <v>332</v>
      </c>
      <c r="P1" s="25" t="s">
        <v>333</v>
      </c>
      <c r="Q1" s="6" t="s">
        <v>46</v>
      </c>
      <c r="R1" s="25" t="s">
        <v>47</v>
      </c>
      <c r="S1" s="6" t="s">
        <v>48</v>
      </c>
      <c r="T1" s="25" t="s">
        <v>49</v>
      </c>
      <c r="U1" s="6" t="s">
        <v>50</v>
      </c>
    </row>
    <row r="2" spans="1:28" ht="15" customHeight="1" x14ac:dyDescent="0.25">
      <c r="A2" s="8">
        <v>1</v>
      </c>
      <c r="B2" s="9">
        <v>0</v>
      </c>
      <c r="C2" s="9">
        <v>2</v>
      </c>
      <c r="D2" s="9" t="s">
        <v>452</v>
      </c>
      <c r="E2" s="9">
        <v>3</v>
      </c>
      <c r="F2" s="9">
        <v>139</v>
      </c>
      <c r="G2" s="9">
        <v>4.05</v>
      </c>
      <c r="H2" s="9">
        <v>3</v>
      </c>
      <c r="I2" s="9">
        <v>1</v>
      </c>
      <c r="J2" s="8">
        <f t="shared" ref="J2:J63" si="0">IF(H2=$X$10,G2*$AA$10,IF(H2=$X$11,G2*$AA$11,IF(H2=$X$12,G2*$AA$12,"")))</f>
        <v>4.4550000000000001</v>
      </c>
      <c r="K2" s="8">
        <f t="shared" ref="K2:K63" si="1">IF(I2=$X$5,J2*$Z$5,IF(I2=$X$6,J2*$Z$6,IF(I2=$X$7,J2*$Z$7,"")))</f>
        <v>5.3460000000000001</v>
      </c>
      <c r="L2" s="10">
        <f>IF(H2=$X$10,SQRT(K2*10000),SQRT('Parcellaire (2)'!K2*10000)/$AB$11)</f>
        <v>163.49311912126456</v>
      </c>
      <c r="M2" s="10">
        <f>IF(H2=1,4,6)</f>
        <v>6</v>
      </c>
      <c r="N2" s="24">
        <v>6</v>
      </c>
      <c r="O2" s="26"/>
      <c r="P2" s="155">
        <v>1</v>
      </c>
      <c r="Q2" s="10">
        <f>IF(C2=1,N2*L2,0)</f>
        <v>0</v>
      </c>
      <c r="R2" s="10">
        <f>IF(C2=1,O2*L2,0)</f>
        <v>0</v>
      </c>
      <c r="S2" s="10">
        <f>(L2*N2)-(L2*P2)/2</f>
        <v>899.21215516695509</v>
      </c>
      <c r="T2" s="10">
        <f>IF(C2=2,P2*L2,0)</f>
        <v>163.49311912126456</v>
      </c>
      <c r="U2" s="27">
        <f>N2*L2</f>
        <v>980.95871472758733</v>
      </c>
      <c r="V2" s="3"/>
      <c r="W2" s="3"/>
    </row>
    <row r="3" spans="1:28" ht="15" customHeight="1" x14ac:dyDescent="0.25">
      <c r="A3" s="8">
        <v>2</v>
      </c>
      <c r="B3" s="9">
        <v>2</v>
      </c>
      <c r="C3" s="9">
        <v>0</v>
      </c>
      <c r="D3" s="9" t="s">
        <v>452</v>
      </c>
      <c r="E3" s="9" t="s">
        <v>440</v>
      </c>
      <c r="F3" s="9">
        <v>211</v>
      </c>
      <c r="G3" s="273">
        <v>1.5</v>
      </c>
      <c r="H3" s="9">
        <v>3</v>
      </c>
      <c r="I3" s="9">
        <v>0</v>
      </c>
      <c r="J3" s="8">
        <f t="shared" si="0"/>
        <v>1.6500000000000001</v>
      </c>
      <c r="K3" s="8">
        <f t="shared" si="1"/>
        <v>1.6500000000000001</v>
      </c>
      <c r="L3" s="10">
        <f>IF(H3=$X$10,SQRT(K3*10000),SQRT('Parcellaire (2)'!K3*10000)/$AB$11)</f>
        <v>90.829510622924758</v>
      </c>
      <c r="M3" s="10">
        <f t="shared" ref="M3:M63" si="2">IF(H3=1,4,6)</f>
        <v>6</v>
      </c>
      <c r="N3" s="24">
        <v>6</v>
      </c>
      <c r="O3" s="26"/>
      <c r="P3" s="155">
        <v>1</v>
      </c>
      <c r="Q3" s="10">
        <f t="shared" ref="Q3:Q63" si="3">IF(C3=1,N3*L3,0)</f>
        <v>0</v>
      </c>
      <c r="R3" s="10">
        <f t="shared" ref="R3:R63" si="4">IF(C3=1,O3*L3,0)</f>
        <v>0</v>
      </c>
      <c r="S3" s="10">
        <f t="shared" ref="S3:S63" si="5">(L3*N3)-(L3*P3)/2</f>
        <v>499.56230842608613</v>
      </c>
      <c r="T3" s="10">
        <f t="shared" ref="T3:T63" si="6">IF(C3=2,P3*L3,0)</f>
        <v>0</v>
      </c>
      <c r="U3" s="27">
        <f t="shared" ref="U3:U63" si="7">N3*L3</f>
        <v>544.97706373754852</v>
      </c>
      <c r="V3" s="3"/>
      <c r="W3" s="3"/>
    </row>
    <row r="4" spans="1:28" ht="15" customHeight="1" x14ac:dyDescent="0.25">
      <c r="A4" s="8">
        <v>3</v>
      </c>
      <c r="B4" s="9">
        <v>0</v>
      </c>
      <c r="C4" s="9">
        <v>0</v>
      </c>
      <c r="D4" s="9" t="s">
        <v>452</v>
      </c>
      <c r="E4" s="9" t="s">
        <v>440</v>
      </c>
      <c r="F4" s="9">
        <v>211</v>
      </c>
      <c r="G4" s="9">
        <v>0.3</v>
      </c>
      <c r="H4" s="9">
        <v>1</v>
      </c>
      <c r="I4" s="9">
        <v>0</v>
      </c>
      <c r="J4" s="8">
        <f t="shared" si="0"/>
        <v>0.3</v>
      </c>
      <c r="K4" s="8">
        <f t="shared" si="1"/>
        <v>0.3</v>
      </c>
      <c r="L4" s="10">
        <f>IF(H4=$X$10,SQRT(K4*10000),SQRT('Parcellaire (2)'!K4*10000)/$AB$11)</f>
        <v>54.772255750516614</v>
      </c>
      <c r="M4" s="10">
        <f t="shared" si="2"/>
        <v>4</v>
      </c>
      <c r="N4" s="24">
        <v>4</v>
      </c>
      <c r="O4" s="26"/>
      <c r="P4" s="155">
        <v>3</v>
      </c>
      <c r="Q4" s="10">
        <f t="shared" si="3"/>
        <v>0</v>
      </c>
      <c r="R4" s="10">
        <f t="shared" si="4"/>
        <v>0</v>
      </c>
      <c r="S4" s="10">
        <f t="shared" si="5"/>
        <v>136.93063937629154</v>
      </c>
      <c r="T4" s="10">
        <f>IF(C4=2,P4*L4,0)</f>
        <v>0</v>
      </c>
      <c r="U4" s="27">
        <f t="shared" si="7"/>
        <v>219.08902300206645</v>
      </c>
      <c r="V4" s="3"/>
      <c r="W4" s="3"/>
      <c r="Y4" s="8" t="s">
        <v>20</v>
      </c>
      <c r="Z4" s="11" t="s">
        <v>27</v>
      </c>
    </row>
    <row r="5" spans="1:28" ht="15" customHeight="1" x14ac:dyDescent="0.25">
      <c r="A5" s="8">
        <v>4</v>
      </c>
      <c r="B5" s="9">
        <v>2</v>
      </c>
      <c r="C5" s="9">
        <v>2</v>
      </c>
      <c r="D5" s="9" t="s">
        <v>452</v>
      </c>
      <c r="E5" s="9" t="s">
        <v>441</v>
      </c>
      <c r="F5" s="9">
        <v>8</v>
      </c>
      <c r="G5" s="272">
        <v>2.2999999999999998</v>
      </c>
      <c r="H5" s="9">
        <v>3</v>
      </c>
      <c r="I5" s="9">
        <v>0.5</v>
      </c>
      <c r="J5" s="8">
        <f t="shared" si="0"/>
        <v>2.5299999999999998</v>
      </c>
      <c r="K5" s="8">
        <f t="shared" si="1"/>
        <v>2.7829999999999999</v>
      </c>
      <c r="L5" s="10">
        <f>IF(H5=$X$10,SQRT(K5*10000),SQRT('Parcellaire (2)'!K5*10000)/$AB$11)</f>
        <v>117.9618582423997</v>
      </c>
      <c r="M5" s="10">
        <f t="shared" si="2"/>
        <v>6</v>
      </c>
      <c r="N5" s="24">
        <v>6</v>
      </c>
      <c r="O5" s="26"/>
      <c r="P5" s="155">
        <v>4</v>
      </c>
      <c r="Q5" s="10">
        <f t="shared" si="3"/>
        <v>0</v>
      </c>
      <c r="R5" s="10">
        <f t="shared" si="4"/>
        <v>0</v>
      </c>
      <c r="S5" s="10">
        <f t="shared" si="5"/>
        <v>471.84743296959886</v>
      </c>
      <c r="T5" s="10">
        <f t="shared" si="6"/>
        <v>471.8474329695988</v>
      </c>
      <c r="U5" s="27">
        <f t="shared" si="7"/>
        <v>707.77114945439826</v>
      </c>
      <c r="V5" s="3"/>
      <c r="W5" s="3"/>
      <c r="X5" s="8">
        <v>0</v>
      </c>
      <c r="Y5" s="8" t="s">
        <v>29</v>
      </c>
      <c r="Z5" s="9">
        <v>1</v>
      </c>
    </row>
    <row r="6" spans="1:28" ht="15" customHeight="1" x14ac:dyDescent="0.25">
      <c r="A6" s="8">
        <v>5</v>
      </c>
      <c r="B6" s="9">
        <v>1</v>
      </c>
      <c r="C6" s="9">
        <v>2</v>
      </c>
      <c r="D6" s="9" t="s">
        <v>452</v>
      </c>
      <c r="E6" s="9" t="s">
        <v>343</v>
      </c>
      <c r="F6" s="9">
        <v>19</v>
      </c>
      <c r="G6" s="274">
        <v>1.1000000000000001</v>
      </c>
      <c r="H6" s="9">
        <v>2</v>
      </c>
      <c r="I6" s="9">
        <v>0.5</v>
      </c>
      <c r="J6" s="8">
        <f t="shared" si="0"/>
        <v>1.1000000000000001</v>
      </c>
      <c r="K6" s="8">
        <f t="shared" si="1"/>
        <v>1.2100000000000002</v>
      </c>
      <c r="L6" s="167">
        <v>269.7</v>
      </c>
      <c r="M6" s="10">
        <f t="shared" si="2"/>
        <v>6</v>
      </c>
      <c r="N6" s="24">
        <v>6</v>
      </c>
      <c r="O6" s="26"/>
      <c r="P6" s="155">
        <v>3</v>
      </c>
      <c r="Q6" s="10">
        <f t="shared" si="3"/>
        <v>0</v>
      </c>
      <c r="R6" s="10">
        <f t="shared" si="4"/>
        <v>0</v>
      </c>
      <c r="S6" s="10">
        <f t="shared" si="5"/>
        <v>1213.6499999999999</v>
      </c>
      <c r="T6" s="10">
        <f t="shared" si="6"/>
        <v>809.09999999999991</v>
      </c>
      <c r="U6" s="27">
        <f t="shared" si="7"/>
        <v>1618.1999999999998</v>
      </c>
      <c r="V6" s="3"/>
      <c r="W6" s="3"/>
      <c r="X6" s="8">
        <v>0.5</v>
      </c>
      <c r="Y6" s="8" t="s">
        <v>31</v>
      </c>
      <c r="Z6" s="9">
        <v>1.1000000000000001</v>
      </c>
    </row>
    <row r="7" spans="1:28" ht="15" customHeight="1" x14ac:dyDescent="0.25">
      <c r="A7" s="8">
        <v>6</v>
      </c>
      <c r="B7" s="9">
        <v>1</v>
      </c>
      <c r="C7" s="9">
        <v>2</v>
      </c>
      <c r="D7" s="9" t="s">
        <v>452</v>
      </c>
      <c r="E7" s="9" t="s">
        <v>448</v>
      </c>
      <c r="F7" s="9">
        <v>88</v>
      </c>
      <c r="G7" s="273">
        <v>3.05</v>
      </c>
      <c r="H7" s="9">
        <v>2</v>
      </c>
      <c r="I7" s="9">
        <v>0.5</v>
      </c>
      <c r="J7" s="8">
        <f t="shared" si="0"/>
        <v>3.05</v>
      </c>
      <c r="K7" s="8">
        <f t="shared" si="1"/>
        <v>3.355</v>
      </c>
      <c r="L7" s="167">
        <v>0</v>
      </c>
      <c r="M7" s="10">
        <f t="shared" si="2"/>
        <v>6</v>
      </c>
      <c r="N7" s="24">
        <v>0</v>
      </c>
      <c r="O7" s="26"/>
      <c r="P7" s="155">
        <v>0</v>
      </c>
      <c r="Q7" s="10">
        <f>IF(C7=1,N7*L7,0)</f>
        <v>0</v>
      </c>
      <c r="R7" s="10">
        <f t="shared" si="4"/>
        <v>0</v>
      </c>
      <c r="S7" s="10">
        <f t="shared" si="5"/>
        <v>0</v>
      </c>
      <c r="T7" s="10">
        <f t="shared" si="6"/>
        <v>0</v>
      </c>
      <c r="U7" s="27">
        <f t="shared" si="7"/>
        <v>0</v>
      </c>
      <c r="V7" s="3"/>
      <c r="W7" s="3"/>
      <c r="X7" s="8">
        <v>1</v>
      </c>
      <c r="Y7" s="8" t="s">
        <v>33</v>
      </c>
      <c r="Z7" s="9">
        <v>1.2</v>
      </c>
    </row>
    <row r="8" spans="1:28" ht="15" customHeight="1" x14ac:dyDescent="0.25">
      <c r="A8" s="8">
        <v>7</v>
      </c>
      <c r="B8" s="9">
        <v>1</v>
      </c>
      <c r="C8" s="9">
        <v>2</v>
      </c>
      <c r="D8" s="9" t="s">
        <v>452</v>
      </c>
      <c r="E8" s="9">
        <v>2</v>
      </c>
      <c r="F8" s="9">
        <v>187</v>
      </c>
      <c r="G8" s="273">
        <v>1.7</v>
      </c>
      <c r="H8" s="9">
        <v>2</v>
      </c>
      <c r="I8" s="9">
        <v>0.5</v>
      </c>
      <c r="J8" s="8">
        <f t="shared" si="0"/>
        <v>1.7</v>
      </c>
      <c r="K8" s="8">
        <f t="shared" si="1"/>
        <v>1.87</v>
      </c>
      <c r="L8" s="167">
        <v>0</v>
      </c>
      <c r="M8" s="10">
        <f t="shared" si="2"/>
        <v>6</v>
      </c>
      <c r="N8" s="24">
        <v>0</v>
      </c>
      <c r="O8" s="26"/>
      <c r="P8" s="155">
        <v>0</v>
      </c>
      <c r="Q8" s="10">
        <f t="shared" si="3"/>
        <v>0</v>
      </c>
      <c r="R8" s="10">
        <f t="shared" si="4"/>
        <v>0</v>
      </c>
      <c r="S8" s="10">
        <f t="shared" si="5"/>
        <v>0</v>
      </c>
      <c r="T8" s="10">
        <f t="shared" si="6"/>
        <v>0</v>
      </c>
      <c r="U8" s="27">
        <f t="shared" si="7"/>
        <v>0</v>
      </c>
      <c r="V8" s="3"/>
      <c r="W8" s="3"/>
    </row>
    <row r="9" spans="1:28" ht="15" customHeight="1" x14ac:dyDescent="0.25">
      <c r="A9" s="8">
        <v>8</v>
      </c>
      <c r="B9" s="9">
        <v>0</v>
      </c>
      <c r="C9" s="9">
        <v>2</v>
      </c>
      <c r="D9" s="9" t="s">
        <v>452</v>
      </c>
      <c r="E9" s="9" t="s">
        <v>442</v>
      </c>
      <c r="F9" s="9">
        <v>2</v>
      </c>
      <c r="G9" s="9">
        <v>0.47</v>
      </c>
      <c r="H9" s="9">
        <v>2</v>
      </c>
      <c r="I9" s="9">
        <v>0.5</v>
      </c>
      <c r="J9" s="8">
        <f t="shared" si="0"/>
        <v>0.47</v>
      </c>
      <c r="K9" s="8">
        <f t="shared" si="1"/>
        <v>0.51700000000000002</v>
      </c>
      <c r="L9" s="167">
        <v>0</v>
      </c>
      <c r="M9" s="10">
        <f t="shared" si="2"/>
        <v>6</v>
      </c>
      <c r="N9" s="24">
        <v>0</v>
      </c>
      <c r="O9" s="26"/>
      <c r="P9" s="155">
        <v>0</v>
      </c>
      <c r="Q9" s="10">
        <f t="shared" si="3"/>
        <v>0</v>
      </c>
      <c r="R9" s="10">
        <f t="shared" si="4"/>
        <v>0</v>
      </c>
      <c r="S9" s="10">
        <f t="shared" si="5"/>
        <v>0</v>
      </c>
      <c r="T9" s="10">
        <f t="shared" si="6"/>
        <v>0</v>
      </c>
      <c r="U9" s="27">
        <f t="shared" si="7"/>
        <v>0</v>
      </c>
      <c r="V9" s="3"/>
      <c r="W9" s="3"/>
      <c r="Y9" s="8" t="s">
        <v>19</v>
      </c>
      <c r="Z9" s="11" t="s">
        <v>24</v>
      </c>
      <c r="AA9" s="11" t="s">
        <v>25</v>
      </c>
      <c r="AB9" s="11" t="s">
        <v>26</v>
      </c>
    </row>
    <row r="10" spans="1:28" ht="15" customHeight="1" x14ac:dyDescent="0.25">
      <c r="A10" s="8">
        <v>9</v>
      </c>
      <c r="B10" s="9">
        <v>1</v>
      </c>
      <c r="C10" s="9">
        <v>2</v>
      </c>
      <c r="D10" s="9" t="s">
        <v>452</v>
      </c>
      <c r="E10" s="9" t="s">
        <v>443</v>
      </c>
      <c r="F10" s="9">
        <v>44</v>
      </c>
      <c r="G10" s="274">
        <v>0.7</v>
      </c>
      <c r="H10" s="9">
        <v>3</v>
      </c>
      <c r="I10" s="9">
        <v>0.5</v>
      </c>
      <c r="J10" s="8">
        <f t="shared" si="0"/>
        <v>0.77</v>
      </c>
      <c r="K10" s="8">
        <f t="shared" si="1"/>
        <v>0.84700000000000009</v>
      </c>
      <c r="L10" s="167">
        <v>0</v>
      </c>
      <c r="M10" s="10">
        <f t="shared" si="2"/>
        <v>6</v>
      </c>
      <c r="N10" s="24">
        <v>0</v>
      </c>
      <c r="O10" s="26"/>
      <c r="P10" s="155">
        <v>0</v>
      </c>
      <c r="Q10" s="10">
        <f t="shared" si="3"/>
        <v>0</v>
      </c>
      <c r="R10" s="10">
        <f t="shared" si="4"/>
        <v>0</v>
      </c>
      <c r="S10" s="10">
        <f t="shared" si="5"/>
        <v>0</v>
      </c>
      <c r="T10" s="10">
        <f t="shared" si="6"/>
        <v>0</v>
      </c>
      <c r="U10" s="27">
        <f t="shared" si="7"/>
        <v>0</v>
      </c>
      <c r="V10" s="3"/>
      <c r="W10" s="3"/>
      <c r="X10" s="8">
        <v>1</v>
      </c>
      <c r="Y10" s="8" t="s">
        <v>28</v>
      </c>
      <c r="Z10" s="9">
        <v>4</v>
      </c>
      <c r="AA10" s="9">
        <v>1</v>
      </c>
      <c r="AB10" s="12">
        <v>1</v>
      </c>
    </row>
    <row r="11" spans="1:28" ht="15" customHeight="1" x14ac:dyDescent="0.25">
      <c r="A11" s="8">
        <v>10</v>
      </c>
      <c r="B11" s="9">
        <v>0</v>
      </c>
      <c r="C11" s="9">
        <v>2</v>
      </c>
      <c r="D11" s="9" t="s">
        <v>452</v>
      </c>
      <c r="E11" s="9" t="s">
        <v>448</v>
      </c>
      <c r="F11" s="9">
        <v>91</v>
      </c>
      <c r="G11" s="9">
        <v>1.95</v>
      </c>
      <c r="H11" s="9">
        <v>2</v>
      </c>
      <c r="I11" s="9">
        <v>0.5</v>
      </c>
      <c r="J11" s="8">
        <f t="shared" si="0"/>
        <v>1.95</v>
      </c>
      <c r="K11" s="8">
        <f t="shared" si="1"/>
        <v>2.145</v>
      </c>
      <c r="L11" s="167">
        <v>0</v>
      </c>
      <c r="M11" s="10">
        <f t="shared" si="2"/>
        <v>6</v>
      </c>
      <c r="N11" s="24">
        <v>0</v>
      </c>
      <c r="O11" s="26"/>
      <c r="P11" s="155">
        <v>0</v>
      </c>
      <c r="Q11" s="10">
        <f t="shared" si="3"/>
        <v>0</v>
      </c>
      <c r="R11" s="10">
        <f t="shared" si="4"/>
        <v>0</v>
      </c>
      <c r="S11" s="10">
        <f t="shared" si="5"/>
        <v>0</v>
      </c>
      <c r="T11" s="10">
        <f t="shared" si="6"/>
        <v>0</v>
      </c>
      <c r="U11" s="27">
        <f t="shared" si="7"/>
        <v>0</v>
      </c>
      <c r="V11" s="3"/>
      <c r="W11" s="3"/>
      <c r="X11" s="8">
        <v>2</v>
      </c>
      <c r="Y11" s="8" t="s">
        <v>30</v>
      </c>
      <c r="Z11" s="9">
        <v>6</v>
      </c>
      <c r="AA11" s="9">
        <v>1</v>
      </c>
      <c r="AB11" s="12">
        <f>SQRT(2)</f>
        <v>1.4142135623730951</v>
      </c>
    </row>
    <row r="12" spans="1:28" ht="15" customHeight="1" x14ac:dyDescent="0.25">
      <c r="A12" s="8">
        <v>11</v>
      </c>
      <c r="B12" s="9">
        <v>1</v>
      </c>
      <c r="C12" s="9">
        <v>2</v>
      </c>
      <c r="D12" s="9" t="s">
        <v>452</v>
      </c>
      <c r="E12" s="9">
        <v>3</v>
      </c>
      <c r="F12" s="9">
        <v>14</v>
      </c>
      <c r="G12" s="273">
        <v>3.05</v>
      </c>
      <c r="H12" s="9">
        <v>3</v>
      </c>
      <c r="I12" s="9">
        <v>1</v>
      </c>
      <c r="J12" s="8">
        <f t="shared" si="0"/>
        <v>3.355</v>
      </c>
      <c r="K12" s="8">
        <f t="shared" si="1"/>
        <v>4.0259999999999998</v>
      </c>
      <c r="L12" s="167">
        <v>0</v>
      </c>
      <c r="M12" s="10">
        <f t="shared" si="2"/>
        <v>6</v>
      </c>
      <c r="N12" s="24">
        <v>0</v>
      </c>
      <c r="O12" s="26"/>
      <c r="P12" s="155">
        <v>0</v>
      </c>
      <c r="Q12" s="10">
        <f t="shared" si="3"/>
        <v>0</v>
      </c>
      <c r="R12" s="10">
        <f t="shared" si="4"/>
        <v>0</v>
      </c>
      <c r="S12" s="10">
        <f t="shared" si="5"/>
        <v>0</v>
      </c>
      <c r="T12" s="10">
        <f t="shared" si="6"/>
        <v>0</v>
      </c>
      <c r="U12" s="27">
        <f t="shared" si="7"/>
        <v>0</v>
      </c>
      <c r="V12" s="3"/>
      <c r="W12" s="3"/>
      <c r="X12" s="8">
        <v>3</v>
      </c>
      <c r="Y12" s="8" t="s">
        <v>32</v>
      </c>
      <c r="Z12" s="9">
        <v>6</v>
      </c>
      <c r="AA12" s="9">
        <v>1.1000000000000001</v>
      </c>
    </row>
    <row r="13" spans="1:28" ht="15" customHeight="1" x14ac:dyDescent="0.25">
      <c r="A13" s="8">
        <v>12</v>
      </c>
      <c r="B13" s="9">
        <v>1</v>
      </c>
      <c r="C13" s="9">
        <v>2</v>
      </c>
      <c r="D13" s="9" t="s">
        <v>452</v>
      </c>
      <c r="E13" s="9" t="s">
        <v>444</v>
      </c>
      <c r="F13" s="9">
        <v>14</v>
      </c>
      <c r="G13" s="273">
        <v>2.04</v>
      </c>
      <c r="H13" s="9">
        <v>3</v>
      </c>
      <c r="I13" s="9">
        <v>1</v>
      </c>
      <c r="J13" s="8">
        <f t="shared" si="0"/>
        <v>2.2440000000000002</v>
      </c>
      <c r="K13" s="8">
        <f t="shared" si="1"/>
        <v>2.6928000000000001</v>
      </c>
      <c r="L13" s="167">
        <v>167.3</v>
      </c>
      <c r="M13" s="10">
        <f t="shared" si="2"/>
        <v>6</v>
      </c>
      <c r="N13" s="24">
        <v>6</v>
      </c>
      <c r="O13" s="26"/>
      <c r="P13" s="155">
        <v>4</v>
      </c>
      <c r="Q13" s="10">
        <f t="shared" si="3"/>
        <v>0</v>
      </c>
      <c r="R13" s="10">
        <f t="shared" si="4"/>
        <v>0</v>
      </c>
      <c r="S13" s="10">
        <f t="shared" si="5"/>
        <v>669.2</v>
      </c>
      <c r="T13" s="10">
        <f t="shared" si="6"/>
        <v>669.2</v>
      </c>
      <c r="U13" s="27">
        <f t="shared" si="7"/>
        <v>1003.8000000000001</v>
      </c>
      <c r="V13" s="3"/>
      <c r="W13" s="3"/>
    </row>
    <row r="14" spans="1:28" ht="15" customHeight="1" x14ac:dyDescent="0.25">
      <c r="A14" s="8">
        <v>13</v>
      </c>
      <c r="B14" s="9">
        <v>0</v>
      </c>
      <c r="C14" s="9">
        <v>2</v>
      </c>
      <c r="D14" s="9" t="s">
        <v>452</v>
      </c>
      <c r="E14" s="9" t="s">
        <v>445</v>
      </c>
      <c r="F14" s="9">
        <v>2</v>
      </c>
      <c r="G14" s="9">
        <v>1.53</v>
      </c>
      <c r="H14" s="9">
        <v>2</v>
      </c>
      <c r="I14" s="9">
        <v>1</v>
      </c>
      <c r="J14" s="8">
        <f t="shared" si="0"/>
        <v>1.53</v>
      </c>
      <c r="K14" s="8">
        <f t="shared" si="1"/>
        <v>1.8359999999999999</v>
      </c>
      <c r="L14" s="167">
        <v>0</v>
      </c>
      <c r="M14" s="10">
        <f t="shared" si="2"/>
        <v>6</v>
      </c>
      <c r="N14" s="24">
        <v>0</v>
      </c>
      <c r="O14" s="26"/>
      <c r="P14" s="155">
        <v>0</v>
      </c>
      <c r="Q14" s="10">
        <f t="shared" si="3"/>
        <v>0</v>
      </c>
      <c r="R14" s="10">
        <f t="shared" si="4"/>
        <v>0</v>
      </c>
      <c r="S14" s="10">
        <f t="shared" si="5"/>
        <v>0</v>
      </c>
      <c r="T14" s="10">
        <f t="shared" si="6"/>
        <v>0</v>
      </c>
      <c r="U14" s="27">
        <f t="shared" si="7"/>
        <v>0</v>
      </c>
      <c r="V14" s="3"/>
      <c r="W14" s="3"/>
    </row>
    <row r="15" spans="1:28" ht="15" customHeight="1" x14ac:dyDescent="0.25">
      <c r="A15" s="8">
        <v>14</v>
      </c>
      <c r="B15" s="9">
        <v>1</v>
      </c>
      <c r="C15" s="9">
        <v>2</v>
      </c>
      <c r="D15" s="9" t="s">
        <v>452</v>
      </c>
      <c r="E15" s="9" t="s">
        <v>443</v>
      </c>
      <c r="F15" s="9">
        <v>44</v>
      </c>
      <c r="G15" s="274">
        <v>0.67</v>
      </c>
      <c r="H15" s="9">
        <v>3</v>
      </c>
      <c r="I15" s="9">
        <v>1</v>
      </c>
      <c r="J15" s="8">
        <f t="shared" si="0"/>
        <v>0.7370000000000001</v>
      </c>
      <c r="K15" s="8">
        <f t="shared" si="1"/>
        <v>0.88440000000000007</v>
      </c>
      <c r="L15" s="167">
        <v>0</v>
      </c>
      <c r="M15" s="10">
        <f t="shared" si="2"/>
        <v>6</v>
      </c>
      <c r="N15" s="24">
        <v>0</v>
      </c>
      <c r="O15" s="26"/>
      <c r="P15" s="155">
        <v>0</v>
      </c>
      <c r="Q15" s="10">
        <f t="shared" si="3"/>
        <v>0</v>
      </c>
      <c r="R15" s="10">
        <f t="shared" si="4"/>
        <v>0</v>
      </c>
      <c r="S15" s="10">
        <f t="shared" si="5"/>
        <v>0</v>
      </c>
      <c r="T15" s="10">
        <f t="shared" si="6"/>
        <v>0</v>
      </c>
      <c r="U15" s="27">
        <f t="shared" si="7"/>
        <v>0</v>
      </c>
      <c r="V15" s="3"/>
      <c r="W15" s="3"/>
      <c r="Y15" s="8" t="s">
        <v>41</v>
      </c>
    </row>
    <row r="16" spans="1:28" ht="15" customHeight="1" x14ac:dyDescent="0.25">
      <c r="A16" s="8">
        <v>15</v>
      </c>
      <c r="B16" s="9">
        <v>1</v>
      </c>
      <c r="C16" s="9">
        <v>2</v>
      </c>
      <c r="D16" s="9" t="s">
        <v>452</v>
      </c>
      <c r="E16" s="9">
        <v>2</v>
      </c>
      <c r="F16" s="9">
        <v>13</v>
      </c>
      <c r="G16" s="273">
        <v>2.15</v>
      </c>
      <c r="H16" s="9">
        <v>3</v>
      </c>
      <c r="I16" s="9">
        <v>1</v>
      </c>
      <c r="J16" s="8">
        <f t="shared" si="0"/>
        <v>2.3650000000000002</v>
      </c>
      <c r="K16" s="8">
        <f t="shared" si="1"/>
        <v>2.8380000000000001</v>
      </c>
      <c r="L16" s="167">
        <v>239.3</v>
      </c>
      <c r="M16" s="10">
        <f t="shared" si="2"/>
        <v>6</v>
      </c>
      <c r="N16" s="24">
        <v>6</v>
      </c>
      <c r="O16" s="26"/>
      <c r="P16" s="155">
        <v>4</v>
      </c>
      <c r="Q16" s="10">
        <f t="shared" si="3"/>
        <v>0</v>
      </c>
      <c r="R16" s="10">
        <f t="shared" si="4"/>
        <v>0</v>
      </c>
      <c r="S16" s="10">
        <f t="shared" si="5"/>
        <v>957.20000000000016</v>
      </c>
      <c r="T16" s="10">
        <f t="shared" si="6"/>
        <v>957.2</v>
      </c>
      <c r="U16" s="27">
        <f t="shared" si="7"/>
        <v>1435.8000000000002</v>
      </c>
      <c r="V16" s="3"/>
      <c r="W16" s="3"/>
      <c r="X16" s="8">
        <v>1</v>
      </c>
      <c r="Y16" s="138" t="s">
        <v>334</v>
      </c>
      <c r="Z16" s="134" t="s">
        <v>325</v>
      </c>
      <c r="AA16" t="s">
        <v>51</v>
      </c>
    </row>
    <row r="17" spans="1:27" ht="15" customHeight="1" x14ac:dyDescent="0.25">
      <c r="A17" s="8">
        <v>16</v>
      </c>
      <c r="B17" s="9">
        <v>1</v>
      </c>
      <c r="C17" s="9">
        <v>2</v>
      </c>
      <c r="D17" s="9" t="s">
        <v>452</v>
      </c>
      <c r="E17" s="9" t="s">
        <v>443</v>
      </c>
      <c r="F17" s="9">
        <v>44</v>
      </c>
      <c r="G17" s="274">
        <v>2.5299999999999998</v>
      </c>
      <c r="H17" s="9">
        <v>2</v>
      </c>
      <c r="I17" s="9">
        <v>1</v>
      </c>
      <c r="J17" s="8">
        <f t="shared" si="0"/>
        <v>2.5299999999999998</v>
      </c>
      <c r="K17" s="8">
        <f t="shared" si="1"/>
        <v>3.0359999999999996</v>
      </c>
      <c r="L17" s="167">
        <v>0</v>
      </c>
      <c r="M17" s="10">
        <f t="shared" si="2"/>
        <v>6</v>
      </c>
      <c r="N17" s="24">
        <v>0</v>
      </c>
      <c r="O17" s="26"/>
      <c r="P17" s="155">
        <v>0</v>
      </c>
      <c r="Q17" s="10">
        <f t="shared" si="3"/>
        <v>0</v>
      </c>
      <c r="R17" s="10">
        <f t="shared" si="4"/>
        <v>0</v>
      </c>
      <c r="S17" s="10">
        <f t="shared" si="5"/>
        <v>0</v>
      </c>
      <c r="T17" s="10">
        <f t="shared" si="6"/>
        <v>0</v>
      </c>
      <c r="U17" s="27">
        <f t="shared" si="7"/>
        <v>0</v>
      </c>
      <c r="V17" s="3"/>
      <c r="W17" s="3"/>
      <c r="X17" s="8">
        <v>2</v>
      </c>
      <c r="Y17" s="138" t="s">
        <v>335</v>
      </c>
      <c r="Z17" s="136">
        <f>S64</f>
        <v>8602.8127551545313</v>
      </c>
      <c r="AA17" t="s">
        <v>42</v>
      </c>
    </row>
    <row r="18" spans="1:27" ht="15" customHeight="1" x14ac:dyDescent="0.25">
      <c r="A18" s="8">
        <v>17</v>
      </c>
      <c r="B18" s="9">
        <v>1</v>
      </c>
      <c r="C18" s="9">
        <v>2</v>
      </c>
      <c r="D18" s="9" t="s">
        <v>452</v>
      </c>
      <c r="E18" s="9">
        <v>2</v>
      </c>
      <c r="F18" s="9">
        <v>187</v>
      </c>
      <c r="G18" s="273">
        <v>4</v>
      </c>
      <c r="H18" s="9">
        <v>3</v>
      </c>
      <c r="I18" s="9">
        <v>1</v>
      </c>
      <c r="J18" s="8">
        <f t="shared" si="0"/>
        <v>4.4000000000000004</v>
      </c>
      <c r="K18" s="8">
        <f t="shared" si="1"/>
        <v>5.28</v>
      </c>
      <c r="L18" s="167">
        <v>0</v>
      </c>
      <c r="M18" s="10">
        <f t="shared" si="2"/>
        <v>6</v>
      </c>
      <c r="N18" s="24">
        <v>0</v>
      </c>
      <c r="O18" s="26"/>
      <c r="P18" s="155">
        <v>0</v>
      </c>
      <c r="Q18" s="10">
        <f t="shared" si="3"/>
        <v>0</v>
      </c>
      <c r="R18" s="10">
        <f t="shared" si="4"/>
        <v>0</v>
      </c>
      <c r="S18" s="10">
        <f t="shared" si="5"/>
        <v>0</v>
      </c>
      <c r="T18" s="10">
        <f t="shared" si="6"/>
        <v>0</v>
      </c>
      <c r="U18" s="27">
        <f t="shared" si="7"/>
        <v>0</v>
      </c>
      <c r="V18" s="3"/>
      <c r="W18" s="3"/>
      <c r="X18" s="8">
        <v>3</v>
      </c>
      <c r="Y18" s="138" t="s">
        <v>336</v>
      </c>
      <c r="Z18" s="136">
        <f>R64</f>
        <v>0</v>
      </c>
      <c r="AA18" t="s">
        <v>43</v>
      </c>
    </row>
    <row r="19" spans="1:27" ht="15" customHeight="1" x14ac:dyDescent="0.25">
      <c r="A19" s="8">
        <v>18</v>
      </c>
      <c r="B19" s="9">
        <v>0</v>
      </c>
      <c r="C19" s="9">
        <v>2</v>
      </c>
      <c r="D19" s="9" t="s">
        <v>452</v>
      </c>
      <c r="E19" s="9">
        <v>3</v>
      </c>
      <c r="F19" s="9">
        <v>137</v>
      </c>
      <c r="G19" s="9">
        <v>0.3</v>
      </c>
      <c r="H19" s="9">
        <v>3</v>
      </c>
      <c r="I19" s="9">
        <v>1</v>
      </c>
      <c r="J19" s="8">
        <f t="shared" si="0"/>
        <v>0.33</v>
      </c>
      <c r="K19" s="8">
        <f t="shared" si="1"/>
        <v>0.39600000000000002</v>
      </c>
      <c r="L19" s="10">
        <f>IF(H19=$X$10,SQRT(K19*10000),SQRT('Parcellaire (2)'!K19*10000)/$AB$11)</f>
        <v>44.497190922573978</v>
      </c>
      <c r="M19" s="10">
        <f t="shared" si="2"/>
        <v>6</v>
      </c>
      <c r="N19" s="24">
        <v>6</v>
      </c>
      <c r="O19" s="26"/>
      <c r="P19" s="155">
        <v>4</v>
      </c>
      <c r="Q19" s="10">
        <f t="shared" si="3"/>
        <v>0</v>
      </c>
      <c r="R19" s="10">
        <f t="shared" si="4"/>
        <v>0</v>
      </c>
      <c r="S19" s="10">
        <f t="shared" si="5"/>
        <v>177.98876369029594</v>
      </c>
      <c r="T19" s="10">
        <f t="shared" si="6"/>
        <v>177.98876369029591</v>
      </c>
      <c r="U19" s="27">
        <f t="shared" si="7"/>
        <v>266.9831455354439</v>
      </c>
      <c r="V19" s="3"/>
      <c r="W19" s="3"/>
      <c r="Y19" s="20"/>
      <c r="Z19" s="136">
        <f>Z17+Z18</f>
        <v>8602.8127551545313</v>
      </c>
      <c r="AA19" t="s">
        <v>44</v>
      </c>
    </row>
    <row r="20" spans="1:27" ht="15" customHeight="1" x14ac:dyDescent="0.25">
      <c r="A20" s="8">
        <v>19</v>
      </c>
      <c r="B20" s="9">
        <v>0</v>
      </c>
      <c r="C20" s="9">
        <v>2</v>
      </c>
      <c r="D20" s="9" t="s">
        <v>452</v>
      </c>
      <c r="E20" s="9">
        <v>3</v>
      </c>
      <c r="F20" s="9">
        <v>137</v>
      </c>
      <c r="G20" s="9">
        <v>0.76</v>
      </c>
      <c r="H20" s="9">
        <v>2</v>
      </c>
      <c r="I20" s="9">
        <v>1</v>
      </c>
      <c r="J20" s="8">
        <f t="shared" si="0"/>
        <v>0.76</v>
      </c>
      <c r="K20" s="8">
        <f t="shared" si="1"/>
        <v>0.91199999999999992</v>
      </c>
      <c r="L20" s="167">
        <v>102.2</v>
      </c>
      <c r="M20" s="10">
        <f t="shared" si="2"/>
        <v>6</v>
      </c>
      <c r="N20" s="24">
        <v>6</v>
      </c>
      <c r="O20" s="26"/>
      <c r="P20" s="155">
        <v>3</v>
      </c>
      <c r="Q20" s="10">
        <f t="shared" si="3"/>
        <v>0</v>
      </c>
      <c r="R20" s="10">
        <f t="shared" si="4"/>
        <v>0</v>
      </c>
      <c r="S20" s="10">
        <f t="shared" si="5"/>
        <v>459.90000000000003</v>
      </c>
      <c r="T20" s="10">
        <f t="shared" si="6"/>
        <v>306.60000000000002</v>
      </c>
      <c r="U20" s="27">
        <f t="shared" si="7"/>
        <v>613.20000000000005</v>
      </c>
      <c r="V20" s="3"/>
      <c r="W20" s="3"/>
      <c r="Y20" s="20"/>
    </row>
    <row r="21" spans="1:27" ht="15" customHeight="1" x14ac:dyDescent="0.25">
      <c r="A21" s="8">
        <v>20</v>
      </c>
      <c r="B21" s="9">
        <v>0</v>
      </c>
      <c r="C21" s="9">
        <v>2</v>
      </c>
      <c r="D21" s="9" t="s">
        <v>452</v>
      </c>
      <c r="E21" s="9" t="s">
        <v>445</v>
      </c>
      <c r="F21" s="9">
        <v>2</v>
      </c>
      <c r="G21" s="9">
        <v>0.76</v>
      </c>
      <c r="H21" s="9">
        <v>2</v>
      </c>
      <c r="I21" s="9">
        <v>1</v>
      </c>
      <c r="J21" s="8">
        <f t="shared" si="0"/>
        <v>0.76</v>
      </c>
      <c r="K21" s="8">
        <f t="shared" si="1"/>
        <v>0.91199999999999992</v>
      </c>
      <c r="L21" s="167">
        <v>0</v>
      </c>
      <c r="M21" s="10">
        <f t="shared" si="2"/>
        <v>6</v>
      </c>
      <c r="N21" s="24">
        <v>0</v>
      </c>
      <c r="O21" s="26"/>
      <c r="P21" s="155">
        <v>0</v>
      </c>
      <c r="Q21" s="10">
        <f t="shared" si="3"/>
        <v>0</v>
      </c>
      <c r="R21" s="10">
        <f t="shared" si="4"/>
        <v>0</v>
      </c>
      <c r="S21" s="10">
        <f t="shared" si="5"/>
        <v>0</v>
      </c>
      <c r="T21" s="10">
        <f t="shared" si="6"/>
        <v>0</v>
      </c>
      <c r="U21" s="27">
        <f t="shared" si="7"/>
        <v>0</v>
      </c>
      <c r="V21" s="3"/>
      <c r="W21" s="3"/>
    </row>
    <row r="22" spans="1:27" ht="15" customHeight="1" x14ac:dyDescent="0.25">
      <c r="A22" s="8">
        <v>21</v>
      </c>
      <c r="B22" s="9">
        <v>0</v>
      </c>
      <c r="C22" s="9">
        <v>2</v>
      </c>
      <c r="D22" s="9" t="s">
        <v>452</v>
      </c>
      <c r="E22" s="9">
        <v>3</v>
      </c>
      <c r="F22" s="9">
        <v>137</v>
      </c>
      <c r="G22" s="9">
        <v>1.27</v>
      </c>
      <c r="H22" s="9">
        <v>2</v>
      </c>
      <c r="I22" s="9">
        <v>1</v>
      </c>
      <c r="J22" s="8">
        <f t="shared" si="0"/>
        <v>1.27</v>
      </c>
      <c r="K22" s="8">
        <f t="shared" si="1"/>
        <v>1.524</v>
      </c>
      <c r="L22" s="10">
        <f>IF(H22=$X$10,SQRT(K22*10000),SQRT('Parcellaire (2)'!K22*10000)/$AB$11)</f>
        <v>87.292611371180769</v>
      </c>
      <c r="M22" s="10">
        <f t="shared" si="2"/>
        <v>6</v>
      </c>
      <c r="N22" s="24">
        <v>6</v>
      </c>
      <c r="O22" s="26"/>
      <c r="P22" s="155">
        <v>2</v>
      </c>
      <c r="Q22" s="10">
        <f t="shared" si="3"/>
        <v>0</v>
      </c>
      <c r="R22" s="10">
        <f t="shared" si="4"/>
        <v>0</v>
      </c>
      <c r="S22" s="10">
        <f t="shared" si="5"/>
        <v>436.4630568559038</v>
      </c>
      <c r="T22" s="10">
        <f t="shared" si="6"/>
        <v>174.58522274236154</v>
      </c>
      <c r="U22" s="27">
        <f t="shared" si="7"/>
        <v>523.75566822708458</v>
      </c>
      <c r="V22" s="3"/>
      <c r="W22" s="3"/>
      <c r="Y22" t="s">
        <v>323</v>
      </c>
    </row>
    <row r="23" spans="1:27" ht="15" customHeight="1" x14ac:dyDescent="0.25">
      <c r="A23" s="8">
        <v>22</v>
      </c>
      <c r="B23" s="9">
        <v>1</v>
      </c>
      <c r="C23" s="9">
        <v>2</v>
      </c>
      <c r="D23" s="9" t="s">
        <v>452</v>
      </c>
      <c r="E23" s="9">
        <v>3</v>
      </c>
      <c r="F23" s="9">
        <v>14</v>
      </c>
      <c r="G23" s="273">
        <v>0.26</v>
      </c>
      <c r="H23" s="9">
        <v>3</v>
      </c>
      <c r="I23" s="9">
        <v>1</v>
      </c>
      <c r="J23" s="8">
        <f t="shared" si="0"/>
        <v>0.28600000000000003</v>
      </c>
      <c r="K23" s="8">
        <f t="shared" si="1"/>
        <v>0.34320000000000001</v>
      </c>
      <c r="L23" s="10">
        <f>IF(H23=$X$10,SQRT(K23*10000),SQRT('Parcellaire (2)'!K23*10000)/$AB$11)</f>
        <v>41.424630354415953</v>
      </c>
      <c r="M23" s="10">
        <f t="shared" si="2"/>
        <v>6</v>
      </c>
      <c r="N23" s="24">
        <v>6</v>
      </c>
      <c r="O23" s="26"/>
      <c r="P23" s="155">
        <v>3</v>
      </c>
      <c r="Q23" s="10">
        <f t="shared" si="3"/>
        <v>0</v>
      </c>
      <c r="R23" s="10">
        <f t="shared" si="4"/>
        <v>0</v>
      </c>
      <c r="S23" s="10">
        <f t="shared" si="5"/>
        <v>186.4108365948718</v>
      </c>
      <c r="T23" s="10">
        <f t="shared" si="6"/>
        <v>124.27389106324786</v>
      </c>
      <c r="U23" s="27">
        <f t="shared" si="7"/>
        <v>248.54778212649572</v>
      </c>
      <c r="V23" s="3"/>
      <c r="W23" s="3"/>
      <c r="X23" s="133">
        <v>0</v>
      </c>
      <c r="Y23" t="s">
        <v>324</v>
      </c>
    </row>
    <row r="24" spans="1:27" ht="15" customHeight="1" x14ac:dyDescent="0.25">
      <c r="A24" s="8">
        <v>23</v>
      </c>
      <c r="B24" s="9">
        <v>1</v>
      </c>
      <c r="C24" s="9">
        <v>2</v>
      </c>
      <c r="D24" s="9" t="s">
        <v>452</v>
      </c>
      <c r="E24" s="9">
        <v>3</v>
      </c>
      <c r="F24" s="9">
        <v>14</v>
      </c>
      <c r="G24" s="273">
        <v>0.43</v>
      </c>
      <c r="H24" s="9">
        <v>3</v>
      </c>
      <c r="I24" s="9">
        <v>1</v>
      </c>
      <c r="J24" s="8">
        <f t="shared" si="0"/>
        <v>0.47300000000000003</v>
      </c>
      <c r="K24" s="8">
        <f t="shared" si="1"/>
        <v>0.56759999999999999</v>
      </c>
      <c r="L24" s="10">
        <f>IF(H24=$X$10,SQRT(K24*10000),SQRT('Parcellaire (2)'!K24*10000)/$AB$11)</f>
        <v>53.272882407468806</v>
      </c>
      <c r="M24" s="10">
        <f t="shared" si="2"/>
        <v>6</v>
      </c>
      <c r="N24" s="24">
        <v>6</v>
      </c>
      <c r="O24" s="26"/>
      <c r="P24" s="155">
        <v>3</v>
      </c>
      <c r="Q24" s="10">
        <f t="shared" si="3"/>
        <v>0</v>
      </c>
      <c r="R24" s="10">
        <f t="shared" si="4"/>
        <v>0</v>
      </c>
      <c r="S24" s="10">
        <f t="shared" si="5"/>
        <v>239.72797083360962</v>
      </c>
      <c r="T24" s="10">
        <f t="shared" si="6"/>
        <v>159.81864722240641</v>
      </c>
      <c r="U24" s="27">
        <f t="shared" si="7"/>
        <v>319.63729444481282</v>
      </c>
      <c r="V24" s="3"/>
      <c r="W24" s="3"/>
      <c r="X24" s="133">
        <v>1</v>
      </c>
      <c r="Y24" t="s">
        <v>473</v>
      </c>
    </row>
    <row r="25" spans="1:27" ht="15" customHeight="1" x14ac:dyDescent="0.25">
      <c r="A25" s="8">
        <v>24</v>
      </c>
      <c r="B25" s="9">
        <v>1</v>
      </c>
      <c r="C25" s="9">
        <v>2</v>
      </c>
      <c r="D25" s="9" t="s">
        <v>452</v>
      </c>
      <c r="E25" s="9">
        <v>3</v>
      </c>
      <c r="F25" s="9">
        <v>14</v>
      </c>
      <c r="G25" s="273">
        <v>1.42</v>
      </c>
      <c r="H25" s="9">
        <v>3</v>
      </c>
      <c r="I25" s="9">
        <v>1</v>
      </c>
      <c r="J25" s="8">
        <f t="shared" si="0"/>
        <v>1.5620000000000001</v>
      </c>
      <c r="K25" s="8">
        <f t="shared" si="1"/>
        <v>1.8744000000000001</v>
      </c>
      <c r="L25" s="167">
        <v>107.5</v>
      </c>
      <c r="M25" s="10">
        <f t="shared" si="2"/>
        <v>6</v>
      </c>
      <c r="N25" s="24">
        <v>6</v>
      </c>
      <c r="O25" s="26"/>
      <c r="P25" s="155">
        <v>1</v>
      </c>
      <c r="Q25" s="10">
        <f t="shared" si="3"/>
        <v>0</v>
      </c>
      <c r="R25" s="10">
        <f t="shared" si="4"/>
        <v>0</v>
      </c>
      <c r="S25" s="10">
        <f t="shared" si="5"/>
        <v>591.25</v>
      </c>
      <c r="T25" s="10">
        <f t="shared" si="6"/>
        <v>107.5</v>
      </c>
      <c r="U25" s="27">
        <f t="shared" si="7"/>
        <v>645</v>
      </c>
      <c r="V25" s="3"/>
      <c r="W25" s="3"/>
      <c r="X25">
        <v>2</v>
      </c>
      <c r="Y25" t="s">
        <v>474</v>
      </c>
    </row>
    <row r="26" spans="1:27" ht="15" customHeight="1" x14ac:dyDescent="0.25">
      <c r="A26" s="8">
        <v>25</v>
      </c>
      <c r="B26" s="9">
        <v>1</v>
      </c>
      <c r="C26" s="9">
        <v>2</v>
      </c>
      <c r="D26" s="9" t="s">
        <v>452</v>
      </c>
      <c r="E26" s="9" t="s">
        <v>443</v>
      </c>
      <c r="F26" s="9">
        <v>44</v>
      </c>
      <c r="G26" s="274">
        <v>0.33</v>
      </c>
      <c r="H26" s="9">
        <v>3</v>
      </c>
      <c r="I26" s="9">
        <v>1</v>
      </c>
      <c r="J26" s="8">
        <f t="shared" si="0"/>
        <v>0.36300000000000004</v>
      </c>
      <c r="K26" s="8">
        <f t="shared" si="1"/>
        <v>0.43560000000000004</v>
      </c>
      <c r="L26" s="167">
        <v>0</v>
      </c>
      <c r="M26" s="10">
        <f t="shared" si="2"/>
        <v>6</v>
      </c>
      <c r="N26" s="24">
        <v>0</v>
      </c>
      <c r="O26" s="26"/>
      <c r="P26" s="155">
        <v>0</v>
      </c>
      <c r="Q26" s="10">
        <f t="shared" si="3"/>
        <v>0</v>
      </c>
      <c r="R26" s="10">
        <f t="shared" si="4"/>
        <v>0</v>
      </c>
      <c r="S26" s="10">
        <f t="shared" si="5"/>
        <v>0</v>
      </c>
      <c r="T26" s="10">
        <f t="shared" si="6"/>
        <v>0</v>
      </c>
      <c r="U26" s="27">
        <f t="shared" si="7"/>
        <v>0</v>
      </c>
      <c r="V26" s="3"/>
      <c r="W26" s="3"/>
      <c r="Y26" t="s">
        <v>17</v>
      </c>
    </row>
    <row r="27" spans="1:27" ht="15" customHeight="1" x14ac:dyDescent="0.25">
      <c r="A27" s="8">
        <v>26</v>
      </c>
      <c r="B27" s="9">
        <v>1</v>
      </c>
      <c r="C27" s="9">
        <v>2</v>
      </c>
      <c r="D27" s="9" t="s">
        <v>451</v>
      </c>
      <c r="E27" s="9">
        <v>3</v>
      </c>
      <c r="F27" s="9">
        <v>185</v>
      </c>
      <c r="G27" s="275">
        <v>1</v>
      </c>
      <c r="H27" s="9">
        <v>3</v>
      </c>
      <c r="I27" s="9">
        <v>1</v>
      </c>
      <c r="J27" s="8">
        <f t="shared" si="0"/>
        <v>1.1000000000000001</v>
      </c>
      <c r="K27" s="8">
        <f t="shared" si="1"/>
        <v>1.32</v>
      </c>
      <c r="L27" s="167">
        <v>113.2</v>
      </c>
      <c r="M27" s="10">
        <f t="shared" si="2"/>
        <v>6</v>
      </c>
      <c r="N27" s="24">
        <v>6</v>
      </c>
      <c r="O27" s="26"/>
      <c r="P27" s="155">
        <v>1</v>
      </c>
      <c r="Q27" s="10">
        <f t="shared" si="3"/>
        <v>0</v>
      </c>
      <c r="R27" s="10">
        <f t="shared" si="4"/>
        <v>0</v>
      </c>
      <c r="S27" s="10">
        <f t="shared" si="5"/>
        <v>622.6</v>
      </c>
      <c r="T27" s="10">
        <f t="shared" si="6"/>
        <v>113.2</v>
      </c>
      <c r="U27" s="27">
        <f t="shared" si="7"/>
        <v>679.2</v>
      </c>
      <c r="V27" s="3"/>
      <c r="W27" s="3"/>
      <c r="X27">
        <v>0</v>
      </c>
      <c r="Y27" t="s">
        <v>337</v>
      </c>
    </row>
    <row r="28" spans="1:27" ht="15" customHeight="1" x14ac:dyDescent="0.25">
      <c r="A28" s="8">
        <v>27</v>
      </c>
      <c r="B28" s="9">
        <v>1</v>
      </c>
      <c r="C28" s="9">
        <v>2</v>
      </c>
      <c r="D28" s="9" t="s">
        <v>451</v>
      </c>
      <c r="E28" s="9" t="s">
        <v>443</v>
      </c>
      <c r="F28" s="9">
        <v>44</v>
      </c>
      <c r="G28" s="274">
        <v>0.74</v>
      </c>
      <c r="H28" s="9">
        <v>3</v>
      </c>
      <c r="I28" s="9">
        <v>1</v>
      </c>
      <c r="J28" s="8">
        <f t="shared" si="0"/>
        <v>0.81400000000000006</v>
      </c>
      <c r="K28" s="8">
        <f t="shared" si="1"/>
        <v>0.9768</v>
      </c>
      <c r="L28" s="167">
        <v>0</v>
      </c>
      <c r="M28" s="10">
        <f t="shared" si="2"/>
        <v>6</v>
      </c>
      <c r="N28" s="24">
        <v>0</v>
      </c>
      <c r="O28" s="26"/>
      <c r="P28" s="155">
        <v>0</v>
      </c>
      <c r="Q28" s="10">
        <f t="shared" si="3"/>
        <v>0</v>
      </c>
      <c r="R28" s="10">
        <f t="shared" si="4"/>
        <v>0</v>
      </c>
      <c r="S28" s="10">
        <f t="shared" si="5"/>
        <v>0</v>
      </c>
      <c r="T28" s="10">
        <f t="shared" si="6"/>
        <v>0</v>
      </c>
      <c r="U28" s="27">
        <f t="shared" si="7"/>
        <v>0</v>
      </c>
      <c r="V28" s="3"/>
      <c r="W28" s="3"/>
      <c r="X28">
        <v>1</v>
      </c>
      <c r="Y28" t="s">
        <v>338</v>
      </c>
    </row>
    <row r="29" spans="1:27" ht="15" customHeight="1" x14ac:dyDescent="0.25">
      <c r="A29" s="8">
        <v>28</v>
      </c>
      <c r="B29" s="9">
        <v>0</v>
      </c>
      <c r="C29" s="9">
        <v>2</v>
      </c>
      <c r="D29" s="9" t="s">
        <v>451</v>
      </c>
      <c r="E29" s="9">
        <v>3</v>
      </c>
      <c r="F29" s="9">
        <v>185</v>
      </c>
      <c r="G29" s="9">
        <v>1.4</v>
      </c>
      <c r="H29" s="9">
        <v>3</v>
      </c>
      <c r="I29" s="9">
        <v>1</v>
      </c>
      <c r="J29" s="8">
        <f t="shared" si="0"/>
        <v>1.54</v>
      </c>
      <c r="K29" s="8">
        <f t="shared" si="1"/>
        <v>1.8479999999999999</v>
      </c>
      <c r="L29" s="10">
        <f>IF(H29=$X$10,SQRT(K29*10000),SQRT('Parcellaire (2)'!K29*10000)/$AB$11)</f>
        <v>96.124918725583328</v>
      </c>
      <c r="M29" s="10">
        <f t="shared" si="2"/>
        <v>6</v>
      </c>
      <c r="N29" s="24">
        <v>6</v>
      </c>
      <c r="O29" s="26"/>
      <c r="P29" s="155">
        <v>0</v>
      </c>
      <c r="Q29" s="10">
        <f t="shared" si="3"/>
        <v>0</v>
      </c>
      <c r="R29" s="10">
        <f t="shared" si="4"/>
        <v>0</v>
      </c>
      <c r="S29" s="10">
        <f t="shared" si="5"/>
        <v>576.74951235349999</v>
      </c>
      <c r="T29" s="10">
        <f t="shared" si="6"/>
        <v>0</v>
      </c>
      <c r="U29" s="27">
        <f t="shared" si="7"/>
        <v>576.74951235349999</v>
      </c>
      <c r="V29" s="3"/>
      <c r="W29" s="3"/>
      <c r="X29">
        <v>2</v>
      </c>
      <c r="Y29" t="s">
        <v>339</v>
      </c>
    </row>
    <row r="30" spans="1:27" ht="15" customHeight="1" x14ac:dyDescent="0.25">
      <c r="A30" s="8">
        <v>29</v>
      </c>
      <c r="B30" s="9">
        <v>1</v>
      </c>
      <c r="C30" s="9">
        <v>2</v>
      </c>
      <c r="D30" s="9" t="s">
        <v>452</v>
      </c>
      <c r="E30" s="9">
        <v>2</v>
      </c>
      <c r="F30" s="9">
        <v>78</v>
      </c>
      <c r="G30" s="273">
        <v>1.36</v>
      </c>
      <c r="H30" s="9">
        <v>3</v>
      </c>
      <c r="I30" s="9">
        <v>0</v>
      </c>
      <c r="J30" s="8">
        <f t="shared" si="0"/>
        <v>1.4960000000000002</v>
      </c>
      <c r="K30" s="8">
        <f t="shared" si="1"/>
        <v>1.4960000000000002</v>
      </c>
      <c r="L30" s="167">
        <v>134.9</v>
      </c>
      <c r="M30" s="10">
        <f t="shared" si="2"/>
        <v>6</v>
      </c>
      <c r="N30" s="24">
        <v>6</v>
      </c>
      <c r="O30" s="26"/>
      <c r="P30" s="155">
        <v>4</v>
      </c>
      <c r="Q30" s="10">
        <f t="shared" si="3"/>
        <v>0</v>
      </c>
      <c r="R30" s="10">
        <f t="shared" si="4"/>
        <v>0</v>
      </c>
      <c r="S30" s="10">
        <f t="shared" si="5"/>
        <v>539.60000000000014</v>
      </c>
      <c r="T30" s="10">
        <f t="shared" si="6"/>
        <v>539.6</v>
      </c>
      <c r="U30" s="27">
        <f t="shared" si="7"/>
        <v>809.40000000000009</v>
      </c>
      <c r="V30" s="3"/>
      <c r="W30" s="3"/>
      <c r="X30">
        <v>3</v>
      </c>
      <c r="Y30" t="s">
        <v>340</v>
      </c>
    </row>
    <row r="31" spans="1:27" ht="15" customHeight="1" x14ac:dyDescent="0.25">
      <c r="A31" s="8">
        <v>30</v>
      </c>
      <c r="B31" s="9">
        <v>1</v>
      </c>
      <c r="C31" s="9">
        <v>2</v>
      </c>
      <c r="D31" s="9" t="s">
        <v>452</v>
      </c>
      <c r="E31" s="9" t="s">
        <v>448</v>
      </c>
      <c r="F31" s="9">
        <v>88</v>
      </c>
      <c r="G31" s="273">
        <v>1.65</v>
      </c>
      <c r="H31" s="9">
        <v>2</v>
      </c>
      <c r="I31" s="9">
        <v>0.5</v>
      </c>
      <c r="J31" s="8">
        <f t="shared" si="0"/>
        <v>1.65</v>
      </c>
      <c r="K31" s="8">
        <f t="shared" si="1"/>
        <v>1.8149999999999999</v>
      </c>
      <c r="L31" s="167">
        <v>0</v>
      </c>
      <c r="M31" s="10">
        <f t="shared" si="2"/>
        <v>6</v>
      </c>
      <c r="N31" s="24">
        <v>0</v>
      </c>
      <c r="O31" s="26"/>
      <c r="P31" s="155">
        <v>0</v>
      </c>
      <c r="Q31" s="10">
        <f t="shared" si="3"/>
        <v>0</v>
      </c>
      <c r="R31" s="10">
        <f t="shared" si="4"/>
        <v>0</v>
      </c>
      <c r="S31" s="10">
        <f t="shared" si="5"/>
        <v>0</v>
      </c>
      <c r="T31" s="10">
        <f t="shared" si="6"/>
        <v>0</v>
      </c>
      <c r="U31" s="27">
        <f t="shared" si="7"/>
        <v>0</v>
      </c>
      <c r="V31" s="3"/>
      <c r="W31" s="3"/>
      <c r="X31">
        <v>4</v>
      </c>
      <c r="Y31" t="s">
        <v>341</v>
      </c>
    </row>
    <row r="32" spans="1:27" ht="15" customHeight="1" x14ac:dyDescent="0.25">
      <c r="A32" s="8">
        <v>31</v>
      </c>
      <c r="B32" s="9">
        <v>1</v>
      </c>
      <c r="C32" s="9">
        <v>2</v>
      </c>
      <c r="D32" s="9" t="s">
        <v>452</v>
      </c>
      <c r="E32" s="9">
        <v>2</v>
      </c>
      <c r="F32" s="9">
        <v>187</v>
      </c>
      <c r="G32" s="273">
        <v>0.86</v>
      </c>
      <c r="H32" s="9">
        <v>3</v>
      </c>
      <c r="I32" s="9">
        <v>0</v>
      </c>
      <c r="J32" s="8">
        <f t="shared" si="0"/>
        <v>0.94600000000000006</v>
      </c>
      <c r="K32" s="8">
        <f t="shared" si="1"/>
        <v>0.94600000000000006</v>
      </c>
      <c r="L32" s="10">
        <f>IF(H32=$X$10,SQRT(K32*10000),SQRT('Parcellaire (2)'!K32*10000)/$AB$11)</f>
        <v>68.774995456197587</v>
      </c>
      <c r="M32" s="10">
        <f t="shared" si="2"/>
        <v>6</v>
      </c>
      <c r="N32" s="24">
        <v>6</v>
      </c>
      <c r="O32" s="26"/>
      <c r="P32" s="155">
        <v>2</v>
      </c>
      <c r="Q32" s="10">
        <f t="shared" si="3"/>
        <v>0</v>
      </c>
      <c r="R32" s="10">
        <f t="shared" si="4"/>
        <v>0</v>
      </c>
      <c r="S32" s="10">
        <f t="shared" si="5"/>
        <v>343.87497728098793</v>
      </c>
      <c r="T32" s="10">
        <f t="shared" si="6"/>
        <v>137.54999091239517</v>
      </c>
      <c r="U32" s="27">
        <f t="shared" si="7"/>
        <v>412.64997273718552</v>
      </c>
      <c r="V32" s="3"/>
      <c r="W32" s="3"/>
      <c r="X32" t="s">
        <v>343</v>
      </c>
      <c r="Y32" t="s">
        <v>342</v>
      </c>
    </row>
    <row r="33" spans="1:25" ht="15" customHeight="1" x14ac:dyDescent="0.25">
      <c r="A33" s="8">
        <v>32</v>
      </c>
      <c r="B33" s="9">
        <v>1</v>
      </c>
      <c r="C33" s="9">
        <v>2</v>
      </c>
      <c r="D33" s="9" t="s">
        <v>452</v>
      </c>
      <c r="E33" s="9">
        <v>2</v>
      </c>
      <c r="F33" s="9">
        <v>78</v>
      </c>
      <c r="G33" s="273">
        <v>0.7</v>
      </c>
      <c r="H33" s="9">
        <v>2</v>
      </c>
      <c r="I33" s="9">
        <v>0</v>
      </c>
      <c r="J33" s="8">
        <f t="shared" si="0"/>
        <v>0.7</v>
      </c>
      <c r="K33" s="8">
        <f t="shared" si="1"/>
        <v>0.7</v>
      </c>
      <c r="L33" s="10">
        <f>IF(H33=$X$10,SQRT(K33*10000),SQRT('Parcellaire (2)'!K33*10000)/$AB$11)</f>
        <v>59.16079783099616</v>
      </c>
      <c r="M33" s="10">
        <f t="shared" si="2"/>
        <v>6</v>
      </c>
      <c r="N33" s="24">
        <v>6</v>
      </c>
      <c r="O33" s="26"/>
      <c r="P33" s="155">
        <v>4</v>
      </c>
      <c r="Q33" s="10">
        <f t="shared" si="3"/>
        <v>0</v>
      </c>
      <c r="R33" s="10">
        <f t="shared" si="4"/>
        <v>0</v>
      </c>
      <c r="S33" s="10">
        <f t="shared" si="5"/>
        <v>236.64319132398464</v>
      </c>
      <c r="T33" s="10">
        <f t="shared" si="6"/>
        <v>236.64319132398464</v>
      </c>
      <c r="U33" s="27">
        <f t="shared" si="7"/>
        <v>354.96478698597696</v>
      </c>
      <c r="V33" s="3"/>
      <c r="W33" s="3"/>
      <c r="X33" t="s">
        <v>345</v>
      </c>
      <c r="Y33" t="s">
        <v>344</v>
      </c>
    </row>
    <row r="34" spans="1:25" ht="15" customHeight="1" x14ac:dyDescent="0.25">
      <c r="A34" s="8">
        <v>33</v>
      </c>
      <c r="B34" s="9">
        <v>1</v>
      </c>
      <c r="C34" s="9">
        <v>2</v>
      </c>
      <c r="D34" s="9" t="s">
        <v>452</v>
      </c>
      <c r="E34" s="9">
        <v>2</v>
      </c>
      <c r="F34" s="9">
        <v>78</v>
      </c>
      <c r="G34" s="273">
        <v>0.8</v>
      </c>
      <c r="H34" s="9">
        <v>3</v>
      </c>
      <c r="I34" s="9">
        <v>0</v>
      </c>
      <c r="J34" s="8">
        <f t="shared" si="0"/>
        <v>0.88000000000000012</v>
      </c>
      <c r="K34" s="8">
        <f t="shared" si="1"/>
        <v>0.88000000000000012</v>
      </c>
      <c r="L34" s="10">
        <f>IF(H34=$X$10,SQRT(K34*10000),SQRT('Parcellaire (2)'!K34*10000)/$AB$11)</f>
        <v>66.332495807108003</v>
      </c>
      <c r="M34" s="10">
        <f t="shared" si="2"/>
        <v>6</v>
      </c>
      <c r="N34" s="24">
        <v>6</v>
      </c>
      <c r="O34" s="26"/>
      <c r="P34" s="155">
        <v>3</v>
      </c>
      <c r="Q34" s="10">
        <f t="shared" si="3"/>
        <v>0</v>
      </c>
      <c r="R34" s="10">
        <f t="shared" si="4"/>
        <v>0</v>
      </c>
      <c r="S34" s="10">
        <f t="shared" si="5"/>
        <v>298.49623113198606</v>
      </c>
      <c r="T34" s="10">
        <f t="shared" si="6"/>
        <v>198.99748742132402</v>
      </c>
      <c r="U34" s="27">
        <f t="shared" si="7"/>
        <v>397.99497484264805</v>
      </c>
      <c r="V34" s="3"/>
      <c r="W34" s="3"/>
      <c r="X34">
        <v>6</v>
      </c>
      <c r="Y34" t="s">
        <v>346</v>
      </c>
    </row>
    <row r="35" spans="1:25" ht="15" customHeight="1" x14ac:dyDescent="0.25">
      <c r="A35" s="8">
        <v>34</v>
      </c>
      <c r="B35" s="9">
        <v>0</v>
      </c>
      <c r="C35" s="9">
        <v>2</v>
      </c>
      <c r="D35" s="9" t="s">
        <v>452</v>
      </c>
      <c r="E35" s="9" t="s">
        <v>446</v>
      </c>
      <c r="F35" s="9">
        <v>7</v>
      </c>
      <c r="G35" s="9">
        <v>5.56</v>
      </c>
      <c r="H35" s="9">
        <v>2</v>
      </c>
      <c r="I35" s="9">
        <v>0.5</v>
      </c>
      <c r="J35" s="8">
        <f t="shared" si="0"/>
        <v>5.56</v>
      </c>
      <c r="K35" s="8">
        <f t="shared" si="1"/>
        <v>6.1159999999999997</v>
      </c>
      <c r="L35" s="167">
        <v>213</v>
      </c>
      <c r="M35" s="10">
        <f t="shared" si="2"/>
        <v>6</v>
      </c>
      <c r="N35" s="24">
        <v>6</v>
      </c>
      <c r="O35" s="26"/>
      <c r="P35" s="155">
        <v>3</v>
      </c>
      <c r="Q35" s="10">
        <f t="shared" si="3"/>
        <v>0</v>
      </c>
      <c r="R35" s="10">
        <f t="shared" si="4"/>
        <v>0</v>
      </c>
      <c r="S35" s="10">
        <f t="shared" si="5"/>
        <v>958.5</v>
      </c>
      <c r="T35" s="10">
        <f t="shared" si="6"/>
        <v>639</v>
      </c>
      <c r="U35" s="27">
        <f t="shared" si="7"/>
        <v>1278</v>
      </c>
      <c r="V35" s="3"/>
      <c r="W35" s="3"/>
      <c r="X35">
        <v>7</v>
      </c>
      <c r="Y35" t="s">
        <v>347</v>
      </c>
    </row>
    <row r="36" spans="1:25" ht="15" customHeight="1" x14ac:dyDescent="0.25">
      <c r="A36" s="8">
        <v>35</v>
      </c>
      <c r="B36" s="9">
        <v>1</v>
      </c>
      <c r="C36" s="9">
        <v>2</v>
      </c>
      <c r="D36" s="9" t="s">
        <v>452</v>
      </c>
      <c r="E36" s="9">
        <v>3</v>
      </c>
      <c r="F36" s="9">
        <v>187</v>
      </c>
      <c r="G36" s="273">
        <v>1.94</v>
      </c>
      <c r="H36" s="9">
        <v>2</v>
      </c>
      <c r="I36" s="9">
        <v>0.5</v>
      </c>
      <c r="J36" s="8">
        <f t="shared" si="0"/>
        <v>1.94</v>
      </c>
      <c r="K36" s="8">
        <f t="shared" si="1"/>
        <v>2.1339999999999999</v>
      </c>
      <c r="L36" s="167">
        <v>0</v>
      </c>
      <c r="M36" s="10">
        <f t="shared" si="2"/>
        <v>6</v>
      </c>
      <c r="N36" s="24">
        <v>0</v>
      </c>
      <c r="O36" s="26"/>
      <c r="P36" s="155">
        <v>0</v>
      </c>
      <c r="Q36" s="10">
        <f t="shared" si="3"/>
        <v>0</v>
      </c>
      <c r="R36" s="10">
        <f t="shared" si="4"/>
        <v>0</v>
      </c>
      <c r="S36" s="10">
        <f t="shared" si="5"/>
        <v>0</v>
      </c>
      <c r="T36" s="10">
        <f t="shared" si="6"/>
        <v>0</v>
      </c>
      <c r="U36" s="27">
        <f t="shared" si="7"/>
        <v>0</v>
      </c>
      <c r="V36" s="3"/>
      <c r="W36" s="3"/>
      <c r="X36" t="s">
        <v>349</v>
      </c>
      <c r="Y36" t="s">
        <v>348</v>
      </c>
    </row>
    <row r="37" spans="1:25" ht="15" customHeight="1" x14ac:dyDescent="0.25">
      <c r="A37" s="8">
        <v>36</v>
      </c>
      <c r="B37" s="9">
        <v>1</v>
      </c>
      <c r="C37" s="9">
        <v>2</v>
      </c>
      <c r="D37" s="9" t="s">
        <v>452</v>
      </c>
      <c r="E37" s="9">
        <v>2</v>
      </c>
      <c r="F37" s="9">
        <v>78</v>
      </c>
      <c r="G37" s="273">
        <v>2.12</v>
      </c>
      <c r="H37" s="9">
        <v>3</v>
      </c>
      <c r="I37" s="9">
        <v>0.5</v>
      </c>
      <c r="J37" s="8">
        <f t="shared" si="0"/>
        <v>2.3320000000000003</v>
      </c>
      <c r="K37" s="8">
        <f t="shared" si="1"/>
        <v>2.5652000000000004</v>
      </c>
      <c r="L37" s="10">
        <f>IF(H37=$X$10,SQRT(K37*10000),SQRT('Parcellaire (2)'!K37*10000)/$AB$11)</f>
        <v>113.25193155085701</v>
      </c>
      <c r="M37" s="10">
        <f t="shared" si="2"/>
        <v>6</v>
      </c>
      <c r="N37" s="24">
        <v>6</v>
      </c>
      <c r="O37" s="26"/>
      <c r="P37" s="155">
        <v>1</v>
      </c>
      <c r="Q37" s="10">
        <f t="shared" si="3"/>
        <v>0</v>
      </c>
      <c r="R37" s="10">
        <f t="shared" si="4"/>
        <v>0</v>
      </c>
      <c r="S37" s="10">
        <f t="shared" si="5"/>
        <v>622.88562352971348</v>
      </c>
      <c r="T37" s="10">
        <f t="shared" si="6"/>
        <v>113.25193155085701</v>
      </c>
      <c r="U37" s="27">
        <f t="shared" si="7"/>
        <v>679.51158930514202</v>
      </c>
      <c r="V37" s="3"/>
      <c r="W37" s="3"/>
      <c r="X37" t="s">
        <v>351</v>
      </c>
      <c r="Y37" t="s">
        <v>350</v>
      </c>
    </row>
    <row r="38" spans="1:25" x14ac:dyDescent="0.25">
      <c r="A38" s="8">
        <v>37</v>
      </c>
      <c r="B38" s="9">
        <v>2</v>
      </c>
      <c r="C38" s="9">
        <v>0</v>
      </c>
      <c r="D38" s="9" t="s">
        <v>452</v>
      </c>
      <c r="E38" s="9" t="s">
        <v>446</v>
      </c>
      <c r="F38" s="9">
        <v>7</v>
      </c>
      <c r="G38" s="272">
        <v>0.6</v>
      </c>
      <c r="H38" s="9">
        <v>2</v>
      </c>
      <c r="I38" s="9">
        <v>0.5</v>
      </c>
      <c r="J38" s="8">
        <f t="shared" si="0"/>
        <v>0.6</v>
      </c>
      <c r="K38" s="8">
        <f t="shared" si="1"/>
        <v>0.66</v>
      </c>
      <c r="L38" s="10">
        <f>IF(H38=$X$10,SQRT(K38*10000),SQRT('Parcellaire (2)'!K38*10000)/$AB$11)</f>
        <v>57.445626465380286</v>
      </c>
      <c r="M38" s="10">
        <f t="shared" si="2"/>
        <v>6</v>
      </c>
      <c r="N38" s="24">
        <v>6</v>
      </c>
      <c r="O38" s="26"/>
      <c r="P38" s="155">
        <v>3</v>
      </c>
      <c r="Q38" s="10">
        <f t="shared" si="3"/>
        <v>0</v>
      </c>
      <c r="R38" s="10">
        <f t="shared" si="4"/>
        <v>0</v>
      </c>
      <c r="S38" s="10">
        <f t="shared" si="5"/>
        <v>258.5053190942113</v>
      </c>
      <c r="T38" s="10">
        <f t="shared" si="6"/>
        <v>0</v>
      </c>
      <c r="U38" s="27">
        <f t="shared" si="7"/>
        <v>344.67375879228172</v>
      </c>
      <c r="X38" t="s">
        <v>352</v>
      </c>
      <c r="Y38" t="s">
        <v>353</v>
      </c>
    </row>
    <row r="39" spans="1:25" x14ac:dyDescent="0.25">
      <c r="A39" s="8">
        <v>38</v>
      </c>
      <c r="B39" s="9">
        <v>1</v>
      </c>
      <c r="C39" s="9">
        <v>2</v>
      </c>
      <c r="D39" s="9" t="s">
        <v>452</v>
      </c>
      <c r="E39" s="9">
        <v>3</v>
      </c>
      <c r="F39" s="9">
        <v>187</v>
      </c>
      <c r="G39" s="273">
        <v>0.77</v>
      </c>
      <c r="H39" s="9">
        <v>3</v>
      </c>
      <c r="I39" s="9">
        <v>1</v>
      </c>
      <c r="J39" s="8">
        <f t="shared" si="0"/>
        <v>0.84700000000000009</v>
      </c>
      <c r="K39" s="8">
        <f t="shared" si="1"/>
        <v>1.0164</v>
      </c>
      <c r="L39" s="10">
        <f>IF(H39=$X$10,SQRT(K39*10000),SQRT('Parcellaire (2)'!K39*10000)/$AB$11)</f>
        <v>71.288147682486454</v>
      </c>
      <c r="M39" s="10">
        <f t="shared" si="2"/>
        <v>6</v>
      </c>
      <c r="N39" s="24">
        <v>6</v>
      </c>
      <c r="O39" s="26"/>
      <c r="P39" s="155">
        <v>1</v>
      </c>
      <c r="Q39" s="10">
        <f t="shared" si="3"/>
        <v>0</v>
      </c>
      <c r="R39" s="10">
        <f t="shared" si="4"/>
        <v>0</v>
      </c>
      <c r="S39" s="10">
        <f t="shared" si="5"/>
        <v>392.08481225367552</v>
      </c>
      <c r="T39" s="10">
        <f t="shared" si="6"/>
        <v>71.288147682486454</v>
      </c>
      <c r="U39" s="27">
        <f t="shared" si="7"/>
        <v>427.72888609491872</v>
      </c>
    </row>
    <row r="40" spans="1:25" x14ac:dyDescent="0.25">
      <c r="A40" s="8">
        <v>39</v>
      </c>
      <c r="B40" s="9">
        <v>1</v>
      </c>
      <c r="C40" s="9">
        <v>2</v>
      </c>
      <c r="D40" s="9" t="s">
        <v>451</v>
      </c>
      <c r="E40" s="9">
        <v>3</v>
      </c>
      <c r="F40" s="9">
        <v>185</v>
      </c>
      <c r="G40" s="275">
        <v>3.6</v>
      </c>
      <c r="H40" s="9">
        <v>3</v>
      </c>
      <c r="I40" s="9">
        <v>0.5</v>
      </c>
      <c r="J40" s="8">
        <f t="shared" si="0"/>
        <v>3.9600000000000004</v>
      </c>
      <c r="K40" s="8">
        <f t="shared" si="1"/>
        <v>4.3560000000000008</v>
      </c>
      <c r="L40" s="10">
        <f>IF(H40=$X$10,SQRT(K40*10000),SQRT('Parcellaire (2)'!K40*10000)/$AB$11)</f>
        <v>147.58048651498612</v>
      </c>
      <c r="M40" s="10">
        <f t="shared" si="2"/>
        <v>6</v>
      </c>
      <c r="N40" s="24">
        <v>6</v>
      </c>
      <c r="O40" s="26"/>
      <c r="P40" s="155">
        <v>1</v>
      </c>
      <c r="Q40" s="10">
        <f t="shared" si="3"/>
        <v>0</v>
      </c>
      <c r="R40" s="10">
        <f t="shared" si="4"/>
        <v>0</v>
      </c>
      <c r="S40" s="10">
        <f t="shared" si="5"/>
        <v>811.69267583242367</v>
      </c>
      <c r="T40" s="10">
        <f t="shared" si="6"/>
        <v>147.58048651498612</v>
      </c>
      <c r="U40" s="27">
        <f t="shared" si="7"/>
        <v>885.48291908991678</v>
      </c>
    </row>
    <row r="41" spans="1:25" x14ac:dyDescent="0.25">
      <c r="A41" s="8">
        <v>40</v>
      </c>
      <c r="B41" s="9">
        <v>0</v>
      </c>
      <c r="C41" s="9">
        <v>2</v>
      </c>
      <c r="D41" s="9" t="s">
        <v>451</v>
      </c>
      <c r="E41" s="9">
        <v>3</v>
      </c>
      <c r="F41" s="9">
        <v>185</v>
      </c>
      <c r="G41" s="9">
        <v>0.35</v>
      </c>
      <c r="H41" s="9">
        <v>1</v>
      </c>
      <c r="I41" s="9">
        <v>0</v>
      </c>
      <c r="J41" s="8">
        <f t="shared" si="0"/>
        <v>0.35</v>
      </c>
      <c r="K41" s="8">
        <f t="shared" si="1"/>
        <v>0.35</v>
      </c>
      <c r="L41" s="10">
        <f>IF(H41=$X$10,SQRT(K41*10000),SQRT('Parcellaire (2)'!K41*10000)/$AB$11)</f>
        <v>59.16079783099616</v>
      </c>
      <c r="M41" s="10">
        <f t="shared" si="2"/>
        <v>4</v>
      </c>
      <c r="N41" s="24">
        <v>4</v>
      </c>
      <c r="O41" s="26"/>
      <c r="P41" s="155">
        <v>2</v>
      </c>
      <c r="Q41" s="10">
        <f t="shared" si="3"/>
        <v>0</v>
      </c>
      <c r="R41" s="10">
        <f t="shared" si="4"/>
        <v>0</v>
      </c>
      <c r="S41" s="10">
        <f t="shared" si="5"/>
        <v>177.48239349298848</v>
      </c>
      <c r="T41" s="10">
        <f t="shared" si="6"/>
        <v>118.32159566199232</v>
      </c>
      <c r="U41" s="27">
        <f t="shared" si="7"/>
        <v>236.64319132398464</v>
      </c>
    </row>
    <row r="42" spans="1:25" x14ac:dyDescent="0.25">
      <c r="A42" s="8">
        <v>41</v>
      </c>
      <c r="B42" s="9">
        <v>0</v>
      </c>
      <c r="C42" s="9">
        <v>0</v>
      </c>
      <c r="D42" s="9" t="s">
        <v>452</v>
      </c>
      <c r="E42" s="9" t="s">
        <v>445</v>
      </c>
      <c r="F42" s="9">
        <v>2</v>
      </c>
      <c r="G42" s="9">
        <v>0.87</v>
      </c>
      <c r="H42" s="9">
        <v>1</v>
      </c>
      <c r="I42" s="9">
        <v>0</v>
      </c>
      <c r="J42" s="8">
        <f t="shared" si="0"/>
        <v>0.87</v>
      </c>
      <c r="K42" s="8">
        <f t="shared" si="1"/>
        <v>0.87</v>
      </c>
      <c r="L42" s="167">
        <v>140.69999999999999</v>
      </c>
      <c r="M42" s="10">
        <f t="shared" si="2"/>
        <v>4</v>
      </c>
      <c r="N42" s="24">
        <v>6</v>
      </c>
      <c r="O42" s="26"/>
      <c r="P42" s="155">
        <v>1</v>
      </c>
      <c r="Q42" s="10">
        <f t="shared" si="3"/>
        <v>0</v>
      </c>
      <c r="R42" s="10">
        <f t="shared" si="4"/>
        <v>0</v>
      </c>
      <c r="S42" s="10">
        <f t="shared" si="5"/>
        <v>773.84999999999991</v>
      </c>
      <c r="T42" s="10">
        <f t="shared" si="6"/>
        <v>0</v>
      </c>
      <c r="U42" s="27">
        <f t="shared" si="7"/>
        <v>844.19999999999993</v>
      </c>
    </row>
    <row r="43" spans="1:25" x14ac:dyDescent="0.25">
      <c r="A43" s="8">
        <v>42</v>
      </c>
      <c r="B43" s="9">
        <v>1</v>
      </c>
      <c r="C43" s="9">
        <v>2</v>
      </c>
      <c r="D43" s="9" t="s">
        <v>452</v>
      </c>
      <c r="E43" s="9">
        <v>2</v>
      </c>
      <c r="F43" s="9">
        <v>13</v>
      </c>
      <c r="G43" s="273">
        <v>0.88</v>
      </c>
      <c r="H43" s="9">
        <v>3</v>
      </c>
      <c r="I43" s="9">
        <v>1</v>
      </c>
      <c r="J43" s="8">
        <f t="shared" si="0"/>
        <v>0.96800000000000008</v>
      </c>
      <c r="K43" s="8">
        <f t="shared" si="1"/>
        <v>1.1616</v>
      </c>
      <c r="L43" s="167">
        <v>0</v>
      </c>
      <c r="M43" s="10">
        <f t="shared" si="2"/>
        <v>6</v>
      </c>
      <c r="N43" s="24">
        <v>0</v>
      </c>
      <c r="O43" s="26"/>
      <c r="P43" s="155">
        <v>0</v>
      </c>
      <c r="Q43" s="10">
        <f t="shared" si="3"/>
        <v>0</v>
      </c>
      <c r="R43" s="10">
        <f t="shared" si="4"/>
        <v>0</v>
      </c>
      <c r="S43" s="10">
        <f t="shared" si="5"/>
        <v>0</v>
      </c>
      <c r="T43" s="10">
        <f t="shared" si="6"/>
        <v>0</v>
      </c>
      <c r="U43" s="27">
        <f t="shared" si="7"/>
        <v>0</v>
      </c>
    </row>
    <row r="44" spans="1:25" x14ac:dyDescent="0.25">
      <c r="A44" s="8">
        <v>43</v>
      </c>
      <c r="B44" s="9">
        <v>1</v>
      </c>
      <c r="C44" s="9">
        <v>2</v>
      </c>
      <c r="D44" s="9" t="s">
        <v>452</v>
      </c>
      <c r="E44" s="9">
        <v>2</v>
      </c>
      <c r="F44" s="9">
        <v>13</v>
      </c>
      <c r="G44" s="273">
        <v>1.25</v>
      </c>
      <c r="H44" s="9">
        <v>3</v>
      </c>
      <c r="I44" s="9">
        <v>1</v>
      </c>
      <c r="J44" s="8">
        <f t="shared" si="0"/>
        <v>1.375</v>
      </c>
      <c r="K44" s="8">
        <f t="shared" si="1"/>
        <v>1.65</v>
      </c>
      <c r="L44" s="167">
        <v>0</v>
      </c>
      <c r="M44" s="10">
        <f t="shared" si="2"/>
        <v>6</v>
      </c>
      <c r="N44" s="24">
        <v>0</v>
      </c>
      <c r="O44" s="26"/>
      <c r="P44" s="155">
        <v>0</v>
      </c>
      <c r="Q44" s="10">
        <f t="shared" si="3"/>
        <v>0</v>
      </c>
      <c r="R44" s="10">
        <f t="shared" si="4"/>
        <v>0</v>
      </c>
      <c r="S44" s="10">
        <f t="shared" si="5"/>
        <v>0</v>
      </c>
      <c r="T44" s="10">
        <f t="shared" si="6"/>
        <v>0</v>
      </c>
      <c r="U44" s="27">
        <f t="shared" si="7"/>
        <v>0</v>
      </c>
    </row>
    <row r="45" spans="1:25" x14ac:dyDescent="0.25">
      <c r="A45" s="8">
        <v>44</v>
      </c>
      <c r="B45" s="9">
        <v>0</v>
      </c>
      <c r="C45" s="9">
        <v>0</v>
      </c>
      <c r="D45" s="9" t="s">
        <v>452</v>
      </c>
      <c r="E45" s="9" t="s">
        <v>447</v>
      </c>
      <c r="F45" s="9">
        <v>190</v>
      </c>
      <c r="G45" s="9">
        <v>5.47</v>
      </c>
      <c r="H45" s="9">
        <v>3</v>
      </c>
      <c r="I45" s="9">
        <v>0.5</v>
      </c>
      <c r="J45" s="8">
        <f t="shared" si="0"/>
        <v>6.0170000000000003</v>
      </c>
      <c r="K45" s="8">
        <f t="shared" si="1"/>
        <v>6.6187000000000014</v>
      </c>
      <c r="L45" s="10">
        <f>IF(H45=$X$10,SQRT(K45*10000),SQRT('Parcellaire (2)'!K45*10000)/$AB$11)</f>
        <v>181.91618949395351</v>
      </c>
      <c r="M45" s="10">
        <f t="shared" si="2"/>
        <v>6</v>
      </c>
      <c r="N45" s="24">
        <v>6</v>
      </c>
      <c r="O45" s="26"/>
      <c r="P45" s="155">
        <v>1</v>
      </c>
      <c r="Q45" s="10">
        <f t="shared" si="3"/>
        <v>0</v>
      </c>
      <c r="R45" s="10">
        <f t="shared" si="4"/>
        <v>0</v>
      </c>
      <c r="S45" s="10">
        <f t="shared" si="5"/>
        <v>1000.5390422167443</v>
      </c>
      <c r="T45" s="10">
        <f t="shared" si="6"/>
        <v>0</v>
      </c>
      <c r="U45" s="27">
        <f t="shared" si="7"/>
        <v>1091.497136963721</v>
      </c>
    </row>
    <row r="46" spans="1:25" x14ac:dyDescent="0.25">
      <c r="A46" s="8">
        <v>45</v>
      </c>
      <c r="B46" s="9">
        <v>2</v>
      </c>
      <c r="C46" s="9">
        <v>2</v>
      </c>
      <c r="D46" s="9" t="s">
        <v>452</v>
      </c>
      <c r="E46" s="9" t="s">
        <v>446</v>
      </c>
      <c r="F46" s="9">
        <v>7</v>
      </c>
      <c r="G46" s="272">
        <v>2.41</v>
      </c>
      <c r="H46" s="9">
        <v>2</v>
      </c>
      <c r="I46" s="9">
        <v>0.5</v>
      </c>
      <c r="J46" s="8">
        <f t="shared" si="0"/>
        <v>2.41</v>
      </c>
      <c r="K46" s="8">
        <f t="shared" si="1"/>
        <v>2.6510000000000002</v>
      </c>
      <c r="L46" s="167">
        <v>129.19999999999999</v>
      </c>
      <c r="M46" s="10">
        <f t="shared" si="2"/>
        <v>6</v>
      </c>
      <c r="N46" s="24">
        <v>6</v>
      </c>
      <c r="O46" s="26"/>
      <c r="P46" s="155">
        <v>5</v>
      </c>
      <c r="Q46" s="10">
        <f t="shared" si="3"/>
        <v>0</v>
      </c>
      <c r="R46" s="10">
        <f t="shared" si="4"/>
        <v>0</v>
      </c>
      <c r="S46" s="10">
        <f t="shared" si="5"/>
        <v>452.19999999999993</v>
      </c>
      <c r="T46" s="10">
        <f t="shared" si="6"/>
        <v>646</v>
      </c>
      <c r="U46" s="27">
        <f t="shared" si="7"/>
        <v>775.19999999999993</v>
      </c>
    </row>
    <row r="47" spans="1:25" x14ac:dyDescent="0.25">
      <c r="A47" s="8">
        <v>46</v>
      </c>
      <c r="B47" s="9">
        <v>1</v>
      </c>
      <c r="C47" s="9">
        <v>2</v>
      </c>
      <c r="D47" s="9" t="s">
        <v>452</v>
      </c>
      <c r="E47" s="9" t="s">
        <v>443</v>
      </c>
      <c r="F47" s="9">
        <v>44</v>
      </c>
      <c r="G47" s="274">
        <v>0.25</v>
      </c>
      <c r="H47" s="9">
        <v>3</v>
      </c>
      <c r="I47" s="9">
        <v>0.5</v>
      </c>
      <c r="J47" s="8">
        <f t="shared" si="0"/>
        <v>0.27500000000000002</v>
      </c>
      <c r="K47" s="8">
        <f t="shared" si="1"/>
        <v>0.30250000000000005</v>
      </c>
      <c r="L47" s="167">
        <v>0</v>
      </c>
      <c r="M47" s="10">
        <f t="shared" si="2"/>
        <v>6</v>
      </c>
      <c r="N47" s="24">
        <v>0</v>
      </c>
      <c r="O47" s="26"/>
      <c r="P47" s="155">
        <v>0</v>
      </c>
      <c r="Q47" s="10">
        <f t="shared" si="3"/>
        <v>0</v>
      </c>
      <c r="R47" s="10">
        <f t="shared" si="4"/>
        <v>0</v>
      </c>
      <c r="S47" s="10">
        <f t="shared" si="5"/>
        <v>0</v>
      </c>
      <c r="T47" s="10">
        <f t="shared" si="6"/>
        <v>0</v>
      </c>
      <c r="U47" s="27">
        <f t="shared" si="7"/>
        <v>0</v>
      </c>
    </row>
    <row r="48" spans="1:25" x14ac:dyDescent="0.25">
      <c r="A48" s="8">
        <v>47</v>
      </c>
      <c r="B48" s="9">
        <v>1</v>
      </c>
      <c r="C48" s="9">
        <v>2</v>
      </c>
      <c r="D48" s="9" t="s">
        <v>452</v>
      </c>
      <c r="E48" s="9">
        <v>3</v>
      </c>
      <c r="F48" s="9">
        <v>187</v>
      </c>
      <c r="G48" s="273">
        <v>1.61</v>
      </c>
      <c r="H48" s="9">
        <v>2</v>
      </c>
      <c r="I48" s="9">
        <v>1</v>
      </c>
      <c r="J48" s="8">
        <f t="shared" si="0"/>
        <v>1.61</v>
      </c>
      <c r="K48" s="8">
        <f t="shared" si="1"/>
        <v>1.9319999999999999</v>
      </c>
      <c r="L48" s="10">
        <f>IF(H48=$X$10,SQRT(K48*10000),SQRT('Parcellaire (2)'!K48*10000)/$AB$11)</f>
        <v>98.285299002444916</v>
      </c>
      <c r="M48" s="10">
        <f t="shared" si="2"/>
        <v>6</v>
      </c>
      <c r="N48" s="24">
        <v>6</v>
      </c>
      <c r="O48" s="26"/>
      <c r="P48" s="155">
        <v>1</v>
      </c>
      <c r="Q48" s="10">
        <f t="shared" si="3"/>
        <v>0</v>
      </c>
      <c r="R48" s="10">
        <f t="shared" si="4"/>
        <v>0</v>
      </c>
      <c r="S48" s="10">
        <f t="shared" si="5"/>
        <v>540.5691445134471</v>
      </c>
      <c r="T48" s="10">
        <f t="shared" si="6"/>
        <v>98.285299002444916</v>
      </c>
      <c r="U48" s="27">
        <f t="shared" si="7"/>
        <v>589.71179401466952</v>
      </c>
    </row>
    <row r="49" spans="1:21" x14ac:dyDescent="0.25">
      <c r="A49" s="8">
        <v>48</v>
      </c>
      <c r="B49" s="9">
        <v>1</v>
      </c>
      <c r="C49" s="9">
        <v>2</v>
      </c>
      <c r="D49" s="9" t="s">
        <v>452</v>
      </c>
      <c r="E49" s="9">
        <v>3</v>
      </c>
      <c r="F49" s="9">
        <v>187</v>
      </c>
      <c r="G49" s="273">
        <v>1.29</v>
      </c>
      <c r="H49" s="9">
        <v>3</v>
      </c>
      <c r="I49" s="9">
        <v>0</v>
      </c>
      <c r="J49" s="8">
        <f t="shared" si="0"/>
        <v>1.4190000000000003</v>
      </c>
      <c r="K49" s="8">
        <f t="shared" si="1"/>
        <v>1.4190000000000003</v>
      </c>
      <c r="L49" s="10">
        <f>IF(H49=$X$10,SQRT(K49*10000),SQRT('Parcellaire (2)'!K49*10000)/$AB$11)</f>
        <v>84.231822964957843</v>
      </c>
      <c r="M49" s="10">
        <f t="shared" si="2"/>
        <v>6</v>
      </c>
      <c r="N49" s="24">
        <v>6</v>
      </c>
      <c r="O49" s="26"/>
      <c r="P49" s="155">
        <v>4</v>
      </c>
      <c r="Q49" s="10">
        <f t="shared" si="3"/>
        <v>0</v>
      </c>
      <c r="R49" s="10">
        <f t="shared" si="4"/>
        <v>0</v>
      </c>
      <c r="S49" s="10">
        <f t="shared" si="5"/>
        <v>336.92729185983137</v>
      </c>
      <c r="T49" s="10">
        <f t="shared" si="6"/>
        <v>336.92729185983137</v>
      </c>
      <c r="U49" s="27">
        <f t="shared" si="7"/>
        <v>505.39093778974706</v>
      </c>
    </row>
    <row r="50" spans="1:21" x14ac:dyDescent="0.25">
      <c r="A50" s="8">
        <v>49</v>
      </c>
      <c r="B50" s="9"/>
      <c r="C50" s="9"/>
      <c r="D50" s="9"/>
      <c r="E50" s="9"/>
      <c r="F50" s="9"/>
      <c r="G50" s="9"/>
      <c r="H50" s="9"/>
      <c r="I50" s="9"/>
      <c r="J50" s="8" t="str">
        <f t="shared" si="0"/>
        <v/>
      </c>
      <c r="K50" s="8" t="e">
        <f t="shared" si="1"/>
        <v>#VALUE!</v>
      </c>
      <c r="L50" s="10" t="e">
        <f>IF(H50=$X$10,SQRT(K50*10000),SQRT('Parcellaire (2)'!K50*10000)/$AB$11)</f>
        <v>#VALUE!</v>
      </c>
      <c r="M50" s="10">
        <f t="shared" si="2"/>
        <v>6</v>
      </c>
      <c r="N50" s="24"/>
      <c r="O50" s="26"/>
      <c r="P50" s="155">
        <v>0</v>
      </c>
      <c r="Q50" s="10">
        <f t="shared" si="3"/>
        <v>0</v>
      </c>
      <c r="R50" s="10">
        <f t="shared" si="4"/>
        <v>0</v>
      </c>
      <c r="S50" s="10" t="e">
        <f t="shared" si="5"/>
        <v>#VALUE!</v>
      </c>
      <c r="T50" s="10">
        <f t="shared" si="6"/>
        <v>0</v>
      </c>
      <c r="U50" s="27" t="e">
        <f t="shared" si="7"/>
        <v>#VALUE!</v>
      </c>
    </row>
    <row r="51" spans="1:21" x14ac:dyDescent="0.25">
      <c r="A51" s="8">
        <v>50</v>
      </c>
      <c r="B51" s="9"/>
      <c r="C51" s="9"/>
      <c r="D51" s="9"/>
      <c r="E51" s="9"/>
      <c r="F51" s="9"/>
      <c r="G51" s="9"/>
      <c r="H51" s="9"/>
      <c r="I51" s="9"/>
      <c r="J51" s="8" t="str">
        <f t="shared" si="0"/>
        <v/>
      </c>
      <c r="K51" s="8" t="e">
        <f t="shared" si="1"/>
        <v>#VALUE!</v>
      </c>
      <c r="L51" s="10" t="e">
        <f>IF(H51=$X$10,SQRT(K51*10000),SQRT('Parcellaire (2)'!K51*10000)/$AB$11)</f>
        <v>#VALUE!</v>
      </c>
      <c r="M51" s="10">
        <f t="shared" si="2"/>
        <v>6</v>
      </c>
      <c r="N51" s="24"/>
      <c r="O51" s="26"/>
      <c r="P51" s="155">
        <v>0</v>
      </c>
      <c r="Q51" s="10">
        <f t="shared" si="3"/>
        <v>0</v>
      </c>
      <c r="R51" s="10">
        <f t="shared" si="4"/>
        <v>0</v>
      </c>
      <c r="S51" s="10" t="e">
        <f t="shared" si="5"/>
        <v>#VALUE!</v>
      </c>
      <c r="T51" s="10">
        <f t="shared" si="6"/>
        <v>0</v>
      </c>
      <c r="U51" s="27" t="e">
        <f t="shared" si="7"/>
        <v>#VALUE!</v>
      </c>
    </row>
    <row r="52" spans="1:21" x14ac:dyDescent="0.25">
      <c r="A52" s="8">
        <v>51</v>
      </c>
      <c r="B52" s="9"/>
      <c r="C52" s="9"/>
      <c r="D52" s="9"/>
      <c r="E52" s="9"/>
      <c r="F52" s="9"/>
      <c r="G52" s="9"/>
      <c r="H52" s="9"/>
      <c r="I52" s="9"/>
      <c r="J52" s="8" t="str">
        <f t="shared" si="0"/>
        <v/>
      </c>
      <c r="K52" s="8" t="e">
        <f t="shared" si="1"/>
        <v>#VALUE!</v>
      </c>
      <c r="L52" s="10" t="e">
        <f>IF(H52=$X$10,SQRT(K52*10000),SQRT('Parcellaire (2)'!K52*10000)/$AB$11)</f>
        <v>#VALUE!</v>
      </c>
      <c r="M52" s="10">
        <f t="shared" si="2"/>
        <v>6</v>
      </c>
      <c r="N52" s="24"/>
      <c r="O52" s="26"/>
      <c r="P52" s="155">
        <v>0</v>
      </c>
      <c r="Q52" s="10">
        <f t="shared" si="3"/>
        <v>0</v>
      </c>
      <c r="R52" s="10">
        <f t="shared" si="4"/>
        <v>0</v>
      </c>
      <c r="S52" s="10" t="e">
        <f t="shared" si="5"/>
        <v>#VALUE!</v>
      </c>
      <c r="T52" s="10">
        <f t="shared" si="6"/>
        <v>0</v>
      </c>
      <c r="U52" s="27" t="e">
        <f t="shared" si="7"/>
        <v>#VALUE!</v>
      </c>
    </row>
    <row r="53" spans="1:21" x14ac:dyDescent="0.25">
      <c r="A53" s="8">
        <v>52</v>
      </c>
      <c r="B53" s="9"/>
      <c r="C53" s="9"/>
      <c r="D53" s="9"/>
      <c r="E53" s="9"/>
      <c r="F53" s="9"/>
      <c r="G53" s="9"/>
      <c r="H53" s="9"/>
      <c r="I53" s="9"/>
      <c r="J53" s="8" t="str">
        <f t="shared" si="0"/>
        <v/>
      </c>
      <c r="K53" s="8" t="e">
        <f t="shared" si="1"/>
        <v>#VALUE!</v>
      </c>
      <c r="L53" s="10" t="e">
        <f>IF(H53=$X$10,SQRT(K53*10000),SQRT('Parcellaire (2)'!K53*10000)/$AB$11)</f>
        <v>#VALUE!</v>
      </c>
      <c r="M53" s="10">
        <f t="shared" si="2"/>
        <v>6</v>
      </c>
      <c r="N53" s="24"/>
      <c r="O53" s="26"/>
      <c r="P53" s="155">
        <v>0</v>
      </c>
      <c r="Q53" s="10">
        <f t="shared" si="3"/>
        <v>0</v>
      </c>
      <c r="R53" s="10">
        <f t="shared" si="4"/>
        <v>0</v>
      </c>
      <c r="S53" s="10" t="e">
        <f t="shared" si="5"/>
        <v>#VALUE!</v>
      </c>
      <c r="T53" s="10">
        <f t="shared" si="6"/>
        <v>0</v>
      </c>
      <c r="U53" s="27" t="e">
        <f t="shared" si="7"/>
        <v>#VALUE!</v>
      </c>
    </row>
    <row r="54" spans="1:21" x14ac:dyDescent="0.25">
      <c r="A54" s="8">
        <v>53</v>
      </c>
      <c r="B54" s="9"/>
      <c r="C54" s="9"/>
      <c r="D54" s="9"/>
      <c r="E54" s="9"/>
      <c r="F54" s="9"/>
      <c r="G54" s="9"/>
      <c r="H54" s="9"/>
      <c r="I54" s="9"/>
      <c r="J54" s="8" t="str">
        <f t="shared" si="0"/>
        <v/>
      </c>
      <c r="K54" s="8" t="e">
        <f t="shared" si="1"/>
        <v>#VALUE!</v>
      </c>
      <c r="L54" s="10" t="e">
        <f>IF(H54=$X$10,SQRT(K54*10000),SQRT('Parcellaire (2)'!K54*10000)/$AB$11)</f>
        <v>#VALUE!</v>
      </c>
      <c r="M54" s="10">
        <f t="shared" si="2"/>
        <v>6</v>
      </c>
      <c r="N54" s="24"/>
      <c r="O54" s="26"/>
      <c r="P54" s="155">
        <v>0</v>
      </c>
      <c r="Q54" s="10">
        <f t="shared" si="3"/>
        <v>0</v>
      </c>
      <c r="R54" s="10">
        <f t="shared" si="4"/>
        <v>0</v>
      </c>
      <c r="S54" s="10" t="e">
        <f t="shared" si="5"/>
        <v>#VALUE!</v>
      </c>
      <c r="T54" s="10">
        <f t="shared" si="6"/>
        <v>0</v>
      </c>
      <c r="U54" s="27" t="e">
        <f t="shared" si="7"/>
        <v>#VALUE!</v>
      </c>
    </row>
    <row r="55" spans="1:21" x14ac:dyDescent="0.25">
      <c r="A55" s="8">
        <v>54</v>
      </c>
      <c r="B55" s="9"/>
      <c r="C55" s="9"/>
      <c r="D55" s="9"/>
      <c r="E55" s="9"/>
      <c r="F55" s="9"/>
      <c r="G55" s="9"/>
      <c r="H55" s="9"/>
      <c r="I55" s="9"/>
      <c r="J55" s="8" t="str">
        <f t="shared" si="0"/>
        <v/>
      </c>
      <c r="K55" s="8" t="e">
        <f t="shared" si="1"/>
        <v>#VALUE!</v>
      </c>
      <c r="L55" s="10" t="e">
        <f>IF(H55=$X$10,SQRT(K55*10000),SQRT('Parcellaire (2)'!K55*10000)/$AB$11)</f>
        <v>#VALUE!</v>
      </c>
      <c r="M55" s="10">
        <f t="shared" si="2"/>
        <v>6</v>
      </c>
      <c r="N55" s="24"/>
      <c r="O55" s="26"/>
      <c r="P55" s="155">
        <v>0</v>
      </c>
      <c r="Q55" s="10">
        <f t="shared" si="3"/>
        <v>0</v>
      </c>
      <c r="R55" s="10">
        <f t="shared" si="4"/>
        <v>0</v>
      </c>
      <c r="S55" s="10" t="e">
        <f t="shared" si="5"/>
        <v>#VALUE!</v>
      </c>
      <c r="T55" s="10">
        <f t="shared" si="6"/>
        <v>0</v>
      </c>
      <c r="U55" s="27" t="e">
        <f t="shared" si="7"/>
        <v>#VALUE!</v>
      </c>
    </row>
    <row r="56" spans="1:21" x14ac:dyDescent="0.25">
      <c r="A56" s="8">
        <v>55</v>
      </c>
      <c r="B56" s="9"/>
      <c r="C56" s="9"/>
      <c r="D56" s="9"/>
      <c r="E56" s="9"/>
      <c r="F56" s="9"/>
      <c r="G56" s="9"/>
      <c r="H56" s="9"/>
      <c r="I56" s="9"/>
      <c r="J56" s="8" t="str">
        <f t="shared" si="0"/>
        <v/>
      </c>
      <c r="K56" s="8" t="e">
        <f t="shared" si="1"/>
        <v>#VALUE!</v>
      </c>
      <c r="L56" s="10" t="e">
        <f>IF(H56=$X$10,SQRT(K56*10000),SQRT('Parcellaire (2)'!K56*10000)/$AB$11)</f>
        <v>#VALUE!</v>
      </c>
      <c r="M56" s="10">
        <f t="shared" si="2"/>
        <v>6</v>
      </c>
      <c r="N56" s="24"/>
      <c r="O56" s="26"/>
      <c r="P56" s="155">
        <v>0</v>
      </c>
      <c r="Q56" s="10">
        <f t="shared" si="3"/>
        <v>0</v>
      </c>
      <c r="R56" s="10">
        <f t="shared" si="4"/>
        <v>0</v>
      </c>
      <c r="S56" s="10" t="e">
        <f t="shared" si="5"/>
        <v>#VALUE!</v>
      </c>
      <c r="T56" s="10">
        <f t="shared" si="6"/>
        <v>0</v>
      </c>
      <c r="U56" s="27" t="e">
        <f t="shared" si="7"/>
        <v>#VALUE!</v>
      </c>
    </row>
    <row r="57" spans="1:21" x14ac:dyDescent="0.25">
      <c r="A57" s="8">
        <v>56</v>
      </c>
      <c r="B57" s="9"/>
      <c r="C57" s="9"/>
      <c r="D57" s="9"/>
      <c r="E57" s="9"/>
      <c r="F57" s="9"/>
      <c r="G57" s="9"/>
      <c r="H57" s="9"/>
      <c r="I57" s="9"/>
      <c r="J57" s="8" t="str">
        <f t="shared" si="0"/>
        <v/>
      </c>
      <c r="K57" s="8" t="e">
        <f t="shared" si="1"/>
        <v>#VALUE!</v>
      </c>
      <c r="L57" s="10" t="e">
        <f>IF(H57=$X$10,SQRT(K57*10000),SQRT('Parcellaire (2)'!K57*10000)/$AB$11)</f>
        <v>#VALUE!</v>
      </c>
      <c r="M57" s="10">
        <f t="shared" si="2"/>
        <v>6</v>
      </c>
      <c r="N57" s="24"/>
      <c r="O57" s="26"/>
      <c r="P57" s="155">
        <v>0</v>
      </c>
      <c r="Q57" s="10">
        <f t="shared" si="3"/>
        <v>0</v>
      </c>
      <c r="R57" s="10">
        <f t="shared" si="4"/>
        <v>0</v>
      </c>
      <c r="S57" s="10" t="e">
        <f t="shared" si="5"/>
        <v>#VALUE!</v>
      </c>
      <c r="T57" s="10">
        <f t="shared" si="6"/>
        <v>0</v>
      </c>
      <c r="U57" s="27" t="e">
        <f t="shared" si="7"/>
        <v>#VALUE!</v>
      </c>
    </row>
    <row r="58" spans="1:21" x14ac:dyDescent="0.25">
      <c r="A58" s="8">
        <v>57</v>
      </c>
      <c r="B58" s="9"/>
      <c r="C58" s="9"/>
      <c r="D58" s="9"/>
      <c r="E58" s="9"/>
      <c r="F58" s="9"/>
      <c r="G58" s="9"/>
      <c r="H58" s="9"/>
      <c r="I58" s="9"/>
      <c r="J58" s="8" t="str">
        <f t="shared" si="0"/>
        <v/>
      </c>
      <c r="K58" s="8" t="e">
        <f t="shared" si="1"/>
        <v>#VALUE!</v>
      </c>
      <c r="L58" s="10" t="e">
        <f>IF(H58=$X$10,SQRT(K58*10000),SQRT('Parcellaire (2)'!K58*10000)/$AB$11)</f>
        <v>#VALUE!</v>
      </c>
      <c r="M58" s="10">
        <f t="shared" si="2"/>
        <v>6</v>
      </c>
      <c r="N58" s="24"/>
      <c r="O58" s="26"/>
      <c r="P58" s="155">
        <v>0</v>
      </c>
      <c r="Q58" s="10">
        <f t="shared" si="3"/>
        <v>0</v>
      </c>
      <c r="R58" s="10">
        <f t="shared" si="4"/>
        <v>0</v>
      </c>
      <c r="S58" s="10" t="e">
        <f t="shared" si="5"/>
        <v>#VALUE!</v>
      </c>
      <c r="T58" s="10">
        <f t="shared" si="6"/>
        <v>0</v>
      </c>
      <c r="U58" s="27" t="e">
        <f t="shared" si="7"/>
        <v>#VALUE!</v>
      </c>
    </row>
    <row r="59" spans="1:21" x14ac:dyDescent="0.25">
      <c r="A59" s="8">
        <v>58</v>
      </c>
      <c r="B59" s="9"/>
      <c r="C59" s="9"/>
      <c r="D59" s="9"/>
      <c r="E59" s="9"/>
      <c r="F59" s="9"/>
      <c r="G59" s="9"/>
      <c r="H59" s="9"/>
      <c r="I59" s="9"/>
      <c r="J59" s="8" t="str">
        <f t="shared" si="0"/>
        <v/>
      </c>
      <c r="K59" s="8" t="e">
        <f t="shared" si="1"/>
        <v>#VALUE!</v>
      </c>
      <c r="L59" s="10" t="e">
        <f>IF(H59=$X$10,SQRT(K59*10000),SQRT('Parcellaire (2)'!K59*10000)/$AB$11)</f>
        <v>#VALUE!</v>
      </c>
      <c r="M59" s="10">
        <f t="shared" si="2"/>
        <v>6</v>
      </c>
      <c r="N59" s="24"/>
      <c r="O59" s="26"/>
      <c r="P59" s="155">
        <v>0</v>
      </c>
      <c r="Q59" s="10">
        <f t="shared" si="3"/>
        <v>0</v>
      </c>
      <c r="R59" s="10">
        <f t="shared" si="4"/>
        <v>0</v>
      </c>
      <c r="S59" s="10" t="e">
        <f t="shared" si="5"/>
        <v>#VALUE!</v>
      </c>
      <c r="T59" s="10">
        <f t="shared" si="6"/>
        <v>0</v>
      </c>
      <c r="U59" s="27" t="e">
        <f t="shared" si="7"/>
        <v>#VALUE!</v>
      </c>
    </row>
    <row r="60" spans="1:21" x14ac:dyDescent="0.25">
      <c r="A60" s="8">
        <v>59</v>
      </c>
      <c r="B60" s="9"/>
      <c r="C60" s="9"/>
      <c r="D60" s="9"/>
      <c r="E60" s="9"/>
      <c r="F60" s="9"/>
      <c r="G60" s="9"/>
      <c r="H60" s="9"/>
      <c r="I60" s="9"/>
      <c r="J60" s="8" t="str">
        <f t="shared" si="0"/>
        <v/>
      </c>
      <c r="K60" s="8" t="e">
        <f t="shared" si="1"/>
        <v>#VALUE!</v>
      </c>
      <c r="L60" s="10" t="e">
        <f>IF(H60=$X$10,SQRT(K60*10000),SQRT('Parcellaire (2)'!K60*10000)/$AB$11)</f>
        <v>#VALUE!</v>
      </c>
      <c r="M60" s="10">
        <f t="shared" si="2"/>
        <v>6</v>
      </c>
      <c r="N60" s="24"/>
      <c r="O60" s="26"/>
      <c r="P60" s="155">
        <v>0</v>
      </c>
      <c r="Q60" s="10">
        <f t="shared" si="3"/>
        <v>0</v>
      </c>
      <c r="R60" s="10">
        <f t="shared" si="4"/>
        <v>0</v>
      </c>
      <c r="S60" s="10" t="e">
        <f t="shared" si="5"/>
        <v>#VALUE!</v>
      </c>
      <c r="T60" s="10">
        <f t="shared" si="6"/>
        <v>0</v>
      </c>
      <c r="U60" s="27" t="e">
        <f t="shared" si="7"/>
        <v>#VALUE!</v>
      </c>
    </row>
    <row r="61" spans="1:21" x14ac:dyDescent="0.25">
      <c r="A61" s="8">
        <v>60</v>
      </c>
      <c r="B61" s="9"/>
      <c r="C61" s="9"/>
      <c r="D61" s="9"/>
      <c r="E61" s="9"/>
      <c r="F61" s="9"/>
      <c r="G61" s="9"/>
      <c r="H61" s="9"/>
      <c r="I61" s="9"/>
      <c r="J61" s="8" t="str">
        <f t="shared" si="0"/>
        <v/>
      </c>
      <c r="K61" s="8" t="e">
        <f t="shared" si="1"/>
        <v>#VALUE!</v>
      </c>
      <c r="L61" s="10" t="e">
        <f>IF(H61=$X$10,SQRT(K61*10000),SQRT('Parcellaire (2)'!K61*10000)/$AB$11)</f>
        <v>#VALUE!</v>
      </c>
      <c r="M61" s="10">
        <f t="shared" si="2"/>
        <v>6</v>
      </c>
      <c r="N61" s="24"/>
      <c r="O61" s="26"/>
      <c r="P61" s="155">
        <v>0</v>
      </c>
      <c r="Q61" s="10">
        <f t="shared" si="3"/>
        <v>0</v>
      </c>
      <c r="R61" s="10">
        <f t="shared" si="4"/>
        <v>0</v>
      </c>
      <c r="S61" s="10" t="e">
        <f t="shared" si="5"/>
        <v>#VALUE!</v>
      </c>
      <c r="T61" s="10">
        <f t="shared" si="6"/>
        <v>0</v>
      </c>
      <c r="U61" s="27" t="e">
        <f t="shared" si="7"/>
        <v>#VALUE!</v>
      </c>
    </row>
    <row r="62" spans="1:21" x14ac:dyDescent="0.25">
      <c r="A62" s="8">
        <v>61</v>
      </c>
      <c r="B62" s="9"/>
      <c r="C62" s="9"/>
      <c r="D62" s="9"/>
      <c r="E62" s="9"/>
      <c r="F62" s="9"/>
      <c r="G62" s="9"/>
      <c r="H62" s="9"/>
      <c r="I62" s="9"/>
      <c r="J62" s="8" t="str">
        <f t="shared" si="0"/>
        <v/>
      </c>
      <c r="K62" s="8" t="e">
        <f t="shared" si="1"/>
        <v>#VALUE!</v>
      </c>
      <c r="L62" s="10" t="e">
        <f>IF(H62=$X$10,SQRT(K62*10000),SQRT('Parcellaire (2)'!K62*10000)/$AB$11)</f>
        <v>#VALUE!</v>
      </c>
      <c r="M62" s="10">
        <f t="shared" si="2"/>
        <v>6</v>
      </c>
      <c r="N62" s="24"/>
      <c r="O62" s="26"/>
      <c r="P62" s="155">
        <v>0</v>
      </c>
      <c r="Q62" s="10">
        <f t="shared" si="3"/>
        <v>0</v>
      </c>
      <c r="R62" s="10">
        <f t="shared" si="4"/>
        <v>0</v>
      </c>
      <c r="S62" s="10" t="e">
        <f t="shared" si="5"/>
        <v>#VALUE!</v>
      </c>
      <c r="T62" s="10">
        <f t="shared" si="6"/>
        <v>0</v>
      </c>
      <c r="U62" s="27" t="e">
        <f t="shared" si="7"/>
        <v>#VALUE!</v>
      </c>
    </row>
    <row r="63" spans="1:21" x14ac:dyDescent="0.25">
      <c r="A63" s="8">
        <v>62</v>
      </c>
      <c r="B63" s="9"/>
      <c r="C63" s="9"/>
      <c r="D63" s="9"/>
      <c r="E63" s="9"/>
      <c r="F63" s="9"/>
      <c r="G63" s="9"/>
      <c r="H63" s="9"/>
      <c r="I63" s="9"/>
      <c r="J63" s="8" t="str">
        <f t="shared" si="0"/>
        <v/>
      </c>
      <c r="K63" s="8" t="e">
        <f t="shared" si="1"/>
        <v>#VALUE!</v>
      </c>
      <c r="L63" s="10" t="e">
        <f>IF(H63=$X$10,SQRT(K63*10000),SQRT('Parcellaire (2)'!K63*10000)/$AB$11)</f>
        <v>#VALUE!</v>
      </c>
      <c r="M63" s="10">
        <f t="shared" si="2"/>
        <v>6</v>
      </c>
      <c r="N63" s="24"/>
      <c r="O63" s="26"/>
      <c r="P63" s="155">
        <v>0</v>
      </c>
      <c r="Q63" s="10">
        <f t="shared" si="3"/>
        <v>0</v>
      </c>
      <c r="R63" s="10">
        <f t="shared" si="4"/>
        <v>0</v>
      </c>
      <c r="S63" s="10" t="e">
        <f t="shared" si="5"/>
        <v>#VALUE!</v>
      </c>
      <c r="T63" s="10">
        <f t="shared" si="6"/>
        <v>0</v>
      </c>
      <c r="U63" s="27" t="e">
        <f t="shared" si="7"/>
        <v>#VALUE!</v>
      </c>
    </row>
    <row r="64" spans="1:21" s="271" customFormat="1" x14ac:dyDescent="0.25">
      <c r="A64" s="135" t="s">
        <v>13</v>
      </c>
      <c r="B64" s="135"/>
      <c r="C64" s="135"/>
      <c r="D64" s="135"/>
      <c r="E64" s="135"/>
      <c r="F64" s="135"/>
      <c r="G64" s="135">
        <f>SUMIF('Parcellaire (2)'!$B$2:$B$63,1,'Parcellaire (2)'!G2:G63)</f>
        <v>44.25</v>
      </c>
      <c r="H64" s="135">
        <f>SUMIF('Parcellaire (2)'!$B$2:$B$63,1,'Parcellaire (2)'!H2:H63)</f>
        <v>82</v>
      </c>
      <c r="I64" s="135">
        <f>SUMIF('Parcellaire (2)'!$B$2:$B$63,1,'Parcellaire (2)'!I2:I63)</f>
        <v>20.5</v>
      </c>
      <c r="J64" s="135">
        <f>SUMIF('Parcellaire (2)'!$B$2:$B$63,1,'Parcellaire (2)'!J2:J63)</f>
        <v>47.247000000000007</v>
      </c>
      <c r="K64" s="135">
        <f>SUMIF('Parcellaire (2)'!$B$2:$B$63,1,'Parcellaire (2)'!K2:K63)</f>
        <v>53.930500000000002</v>
      </c>
      <c r="L64" s="135">
        <f>SUMIF('Parcellaire (2)'!$B$2:$B$63,1,'Parcellaire (2)'!L2:L63)</f>
        <v>1835.5034895719191</v>
      </c>
      <c r="M64" s="135">
        <f>SUMIF('Parcellaire (2)'!$B$2:$B$63,1,'Parcellaire (2)'!M2:M63)</f>
        <v>180</v>
      </c>
      <c r="N64" s="135">
        <f>SUMIF('Parcellaire (2)'!$B$2:$B$63,1,'Parcellaire (2)'!N2:N63)</f>
        <v>96</v>
      </c>
      <c r="O64" s="135">
        <f>SUMIF('Parcellaire (2)'!$B$2:$B$63,1,'Parcellaire (2)'!O2:O63)</f>
        <v>0</v>
      </c>
      <c r="P64" s="135">
        <f>SUMIF('Parcellaire (2)'!$B$2:$B$63,1,'Parcellaire (2)'!P2:P63)</f>
        <v>40</v>
      </c>
      <c r="Q64" s="135">
        <f>SUMIF('Parcellaire (2)'!$B$2:$B$63,1,'Parcellaire (2)'!Q2:Q63)</f>
        <v>0</v>
      </c>
      <c r="R64" s="135">
        <f>SUMIF('Parcellaire (2)'!$B$2:$B$63,1,'Parcellaire (2)'!R2:R63)</f>
        <v>0</v>
      </c>
      <c r="S64" s="135">
        <f>SUMIF('Parcellaire (2)'!$B$2:$B$63,1,'Parcellaire (2)'!S2:S63)</f>
        <v>8602.8127551545313</v>
      </c>
      <c r="T64" s="135">
        <f>SUMIF('Parcellaire (2)'!$B$2:$B$63,1,'Parcellaire (2)'!T2:T63)</f>
        <v>4820.4163645539638</v>
      </c>
      <c r="U64" s="135">
        <f>SUMIF('Parcellaire (2)'!$B$2:$B$63,1,'Parcellaire (2)'!U2:U63)</f>
        <v>11013.020937431515</v>
      </c>
    </row>
  </sheetData>
  <dataValidations count="1">
    <dataValidation type="list" allowBlank="1" showInputMessage="1" showErrorMessage="1" sqref="B2:B63">
      <formula1>$X$23:$X$27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4"/>
  <sheetViews>
    <sheetView topLeftCell="A52" workbookViewId="0">
      <selection activeCell="B66" sqref="B66:Y68"/>
    </sheetView>
  </sheetViews>
  <sheetFormatPr baseColWidth="10" defaultRowHeight="15" x14ac:dyDescent="0.25"/>
  <cols>
    <col min="1" max="1" width="24.42578125" customWidth="1"/>
    <col min="2" max="25" width="4.7109375" customWidth="1"/>
    <col min="28" max="28" width="28.7109375" customWidth="1"/>
  </cols>
  <sheetData>
    <row r="1" spans="1:28" x14ac:dyDescent="0.25">
      <c r="B1">
        <v>41</v>
      </c>
    </row>
    <row r="2" spans="1:28" x14ac:dyDescent="0.25">
      <c r="A2" t="s">
        <v>428</v>
      </c>
      <c r="B2" s="305" t="s">
        <v>2</v>
      </c>
      <c r="C2" s="305"/>
      <c r="D2" s="305" t="s">
        <v>0</v>
      </c>
      <c r="E2" s="305"/>
      <c r="F2" s="305" t="s">
        <v>1</v>
      </c>
      <c r="G2" s="305"/>
      <c r="H2" s="305" t="s">
        <v>3</v>
      </c>
      <c r="I2" s="305"/>
      <c r="J2" s="305" t="s">
        <v>4</v>
      </c>
      <c r="K2" s="305"/>
      <c r="L2" s="305" t="s">
        <v>5</v>
      </c>
      <c r="M2" s="305"/>
      <c r="N2" s="305" t="s">
        <v>6</v>
      </c>
      <c r="O2" s="305"/>
      <c r="P2" s="305" t="s">
        <v>7</v>
      </c>
      <c r="Q2" s="305"/>
      <c r="R2" s="305" t="s">
        <v>8</v>
      </c>
      <c r="S2" s="305"/>
      <c r="T2" s="305" t="s">
        <v>9</v>
      </c>
      <c r="U2" s="305"/>
      <c r="V2" s="305" t="s">
        <v>10</v>
      </c>
      <c r="W2" s="305"/>
      <c r="X2" s="305" t="s">
        <v>11</v>
      </c>
      <c r="Y2" s="305"/>
      <c r="Z2" s="157"/>
      <c r="AA2" t="s">
        <v>177</v>
      </c>
    </row>
    <row r="3" spans="1:28" x14ac:dyDescent="0.25">
      <c r="B3" s="156">
        <v>1</v>
      </c>
      <c r="C3" s="156">
        <v>2</v>
      </c>
      <c r="D3" s="156">
        <v>3</v>
      </c>
      <c r="E3" s="156">
        <v>4</v>
      </c>
      <c r="F3" s="156">
        <v>5</v>
      </c>
      <c r="G3" s="156">
        <v>6</v>
      </c>
      <c r="H3" s="156">
        <v>7</v>
      </c>
      <c r="I3" s="156">
        <v>8</v>
      </c>
      <c r="J3" s="156">
        <v>9</v>
      </c>
      <c r="K3" s="156">
        <v>10</v>
      </c>
      <c r="L3" s="156">
        <v>11</v>
      </c>
      <c r="M3" s="156">
        <v>12</v>
      </c>
      <c r="N3" s="156">
        <v>13</v>
      </c>
      <c r="O3" s="156">
        <v>14</v>
      </c>
      <c r="P3" s="156">
        <v>15</v>
      </c>
      <c r="Q3" s="156">
        <v>16</v>
      </c>
      <c r="R3" s="156">
        <v>17</v>
      </c>
      <c r="S3" s="156">
        <v>18</v>
      </c>
      <c r="T3" s="156">
        <v>19</v>
      </c>
      <c r="U3" s="156">
        <v>20</v>
      </c>
      <c r="V3" s="156">
        <v>21</v>
      </c>
      <c r="W3" s="156">
        <v>22</v>
      </c>
      <c r="X3" s="156">
        <v>23</v>
      </c>
      <c r="Y3" s="156">
        <v>24</v>
      </c>
      <c r="Z3" s="5"/>
    </row>
    <row r="4" spans="1:28" x14ac:dyDescent="0.25">
      <c r="A4" t="s">
        <v>176</v>
      </c>
      <c r="B4" s="156">
        <v>15.5</v>
      </c>
      <c r="C4" s="156">
        <v>15.5</v>
      </c>
      <c r="D4" s="156">
        <v>14</v>
      </c>
      <c r="E4" s="156">
        <v>14</v>
      </c>
      <c r="F4" s="156">
        <v>15.5</v>
      </c>
      <c r="G4" s="156">
        <v>15.5</v>
      </c>
      <c r="H4" s="156">
        <v>15</v>
      </c>
      <c r="I4" s="156">
        <v>15</v>
      </c>
      <c r="J4" s="156">
        <v>15.5</v>
      </c>
      <c r="K4" s="156">
        <v>15.5</v>
      </c>
      <c r="L4" s="156">
        <v>15</v>
      </c>
      <c r="M4" s="156">
        <v>15</v>
      </c>
      <c r="N4" s="156">
        <v>15.5</v>
      </c>
      <c r="O4" s="156">
        <v>15.5</v>
      </c>
      <c r="P4" s="156">
        <v>15.5</v>
      </c>
      <c r="Q4" s="156">
        <v>15.5</v>
      </c>
      <c r="R4" s="156">
        <v>15</v>
      </c>
      <c r="S4" s="156">
        <v>15</v>
      </c>
      <c r="T4" s="156">
        <v>15.5</v>
      </c>
      <c r="U4" s="156">
        <v>15.5</v>
      </c>
      <c r="V4" s="156">
        <v>15</v>
      </c>
      <c r="W4" s="156">
        <v>15</v>
      </c>
      <c r="X4" s="156">
        <v>15.5</v>
      </c>
      <c r="Y4" s="156">
        <v>15.5</v>
      </c>
      <c r="Z4" s="5"/>
      <c r="AA4">
        <f>SUM(B4:Y4)</f>
        <v>365</v>
      </c>
      <c r="AB4" t="s">
        <v>35</v>
      </c>
    </row>
    <row r="5" spans="1:28" x14ac:dyDescent="0.25">
      <c r="A5" s="2" t="s">
        <v>327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5"/>
    </row>
    <row r="6" spans="1:28" x14ac:dyDescent="0.25">
      <c r="A6" s="51" t="s">
        <v>328</v>
      </c>
      <c r="B6" s="60">
        <v>1</v>
      </c>
      <c r="C6" s="60">
        <v>1</v>
      </c>
      <c r="D6" s="60">
        <v>1</v>
      </c>
      <c r="E6" s="60">
        <v>1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>
        <v>1</v>
      </c>
      <c r="W6" s="60">
        <v>1</v>
      </c>
      <c r="X6" s="60">
        <v>1</v>
      </c>
      <c r="Y6" s="60">
        <v>1</v>
      </c>
      <c r="Z6" s="52"/>
    </row>
    <row r="7" spans="1:28" x14ac:dyDescent="0.25">
      <c r="A7" s="51" t="s">
        <v>329</v>
      </c>
      <c r="B7" s="60">
        <v>1</v>
      </c>
      <c r="C7" s="60">
        <v>1</v>
      </c>
      <c r="D7" s="60">
        <v>1</v>
      </c>
      <c r="E7" s="60">
        <v>1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52"/>
    </row>
    <row r="8" spans="1:28" x14ac:dyDescent="0.25">
      <c r="A8" s="137" t="s">
        <v>331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1</v>
      </c>
      <c r="S8" s="60">
        <v>1</v>
      </c>
      <c r="T8" s="60">
        <v>1</v>
      </c>
      <c r="U8" s="60">
        <v>1</v>
      </c>
      <c r="V8" s="60">
        <v>1</v>
      </c>
      <c r="W8" s="60">
        <v>1</v>
      </c>
      <c r="X8" s="60">
        <v>1</v>
      </c>
      <c r="Y8" s="60">
        <v>1</v>
      </c>
      <c r="Z8" s="52"/>
    </row>
    <row r="9" spans="1:28" x14ac:dyDescent="0.25">
      <c r="A9" s="51" t="s">
        <v>330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52"/>
    </row>
    <row r="10" spans="1:28" x14ac:dyDescent="0.25">
      <c r="A10" s="51" t="s">
        <v>435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>
        <v>1</v>
      </c>
      <c r="R10" s="60">
        <v>1</v>
      </c>
      <c r="S10" s="60">
        <v>1</v>
      </c>
      <c r="T10" s="60">
        <v>1</v>
      </c>
      <c r="U10" s="60">
        <v>1</v>
      </c>
      <c r="V10" s="60">
        <v>1</v>
      </c>
      <c r="W10" s="60"/>
      <c r="X10" s="60"/>
      <c r="Y10" s="60"/>
      <c r="Z10" s="52"/>
    </row>
    <row r="11" spans="1:28" x14ac:dyDescent="0.25">
      <c r="A11" s="51" t="s">
        <v>436</v>
      </c>
      <c r="B11" s="60"/>
      <c r="C11" s="60"/>
      <c r="D11" s="60">
        <v>1</v>
      </c>
      <c r="E11" s="60">
        <v>1</v>
      </c>
      <c r="F11" s="60">
        <v>1</v>
      </c>
      <c r="G11" s="60">
        <v>1</v>
      </c>
      <c r="H11" s="60">
        <v>1</v>
      </c>
      <c r="I11" s="60">
        <v>1</v>
      </c>
      <c r="J11" s="60">
        <v>1</v>
      </c>
      <c r="K11" s="60">
        <v>1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52"/>
    </row>
    <row r="12" spans="1:28" x14ac:dyDescent="0.25">
      <c r="A12" s="51" t="s">
        <v>167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52"/>
    </row>
    <row r="13" spans="1:28" x14ac:dyDescent="0.25">
      <c r="A13" s="51" t="s">
        <v>168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5"/>
    </row>
    <row r="14" spans="1:28" x14ac:dyDescent="0.25">
      <c r="A14" s="2" t="s">
        <v>12</v>
      </c>
      <c r="B14" s="65" t="s">
        <v>174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5"/>
    </row>
    <row r="15" spans="1:28" x14ac:dyDescent="0.25">
      <c r="A15" s="44" t="s">
        <v>173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5"/>
    </row>
    <row r="16" spans="1:28" x14ac:dyDescent="0.25">
      <c r="A16" s="50" t="s">
        <v>437</v>
      </c>
      <c r="B16" s="60">
        <v>41</v>
      </c>
      <c r="C16" s="60">
        <v>41</v>
      </c>
      <c r="D16" s="60">
        <v>41</v>
      </c>
      <c r="E16" s="60">
        <v>41</v>
      </c>
      <c r="F16" s="60">
        <v>41</v>
      </c>
      <c r="G16" s="60">
        <v>41</v>
      </c>
      <c r="H16" s="60">
        <v>41</v>
      </c>
      <c r="I16" s="60">
        <v>41</v>
      </c>
      <c r="J16" s="60">
        <v>41</v>
      </c>
      <c r="K16" s="60">
        <v>41</v>
      </c>
      <c r="L16" s="60">
        <v>41</v>
      </c>
      <c r="M16" s="60">
        <v>41</v>
      </c>
      <c r="N16" s="60">
        <v>41</v>
      </c>
      <c r="O16" s="60">
        <v>41</v>
      </c>
      <c r="P16" s="60">
        <v>41</v>
      </c>
      <c r="Q16" s="60">
        <v>25</v>
      </c>
      <c r="R16" s="60">
        <v>41</v>
      </c>
      <c r="S16" s="60">
        <v>41</v>
      </c>
      <c r="T16" s="60">
        <v>41</v>
      </c>
      <c r="U16" s="60">
        <v>41</v>
      </c>
      <c r="V16" s="60">
        <v>41</v>
      </c>
      <c r="W16" s="60">
        <v>41</v>
      </c>
      <c r="X16" s="60">
        <v>41</v>
      </c>
      <c r="Y16" s="60">
        <v>41</v>
      </c>
      <c r="Z16" s="52"/>
    </row>
    <row r="17" spans="1:28" x14ac:dyDescent="0.25">
      <c r="A17" s="50" t="s">
        <v>438</v>
      </c>
      <c r="B17" s="60">
        <v>15</v>
      </c>
      <c r="C17" s="60">
        <v>15</v>
      </c>
      <c r="D17" s="60">
        <v>15</v>
      </c>
      <c r="E17" s="60">
        <v>15</v>
      </c>
      <c r="F17" s="60">
        <v>15</v>
      </c>
      <c r="G17" s="60">
        <v>15</v>
      </c>
      <c r="H17" s="60">
        <v>15</v>
      </c>
      <c r="I17" s="60">
        <v>15</v>
      </c>
      <c r="J17" s="60">
        <v>15</v>
      </c>
      <c r="K17" s="60">
        <v>15</v>
      </c>
      <c r="L17" s="60">
        <v>15</v>
      </c>
      <c r="M17" s="60">
        <v>15</v>
      </c>
      <c r="N17" s="60">
        <v>15</v>
      </c>
      <c r="O17" s="60">
        <v>15</v>
      </c>
      <c r="P17" s="60">
        <v>15</v>
      </c>
      <c r="Q17" s="60">
        <v>15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52"/>
    </row>
    <row r="18" spans="1:28" x14ac:dyDescent="0.25">
      <c r="A18" s="50" t="s">
        <v>439</v>
      </c>
      <c r="B18" s="60">
        <v>15</v>
      </c>
      <c r="C18" s="60">
        <v>15</v>
      </c>
      <c r="D18" s="60">
        <v>15</v>
      </c>
      <c r="E18" s="60">
        <v>15</v>
      </c>
      <c r="F18" s="60">
        <v>15</v>
      </c>
      <c r="G18" s="60">
        <v>15</v>
      </c>
      <c r="H18" s="60">
        <v>15</v>
      </c>
      <c r="I18" s="60">
        <v>15</v>
      </c>
      <c r="J18" s="60">
        <v>15</v>
      </c>
      <c r="K18" s="60">
        <v>30</v>
      </c>
      <c r="L18" s="60">
        <v>30</v>
      </c>
      <c r="M18" s="60">
        <v>30</v>
      </c>
      <c r="N18" s="60">
        <v>30</v>
      </c>
      <c r="O18" s="60">
        <v>30</v>
      </c>
      <c r="P18" s="60">
        <v>30</v>
      </c>
      <c r="Q18" s="60">
        <v>30</v>
      </c>
      <c r="R18" s="60">
        <v>30</v>
      </c>
      <c r="S18" s="60">
        <v>30</v>
      </c>
      <c r="T18" s="60">
        <v>30</v>
      </c>
      <c r="U18" s="60">
        <v>30</v>
      </c>
      <c r="V18" s="60">
        <v>30</v>
      </c>
      <c r="W18" s="60">
        <v>30</v>
      </c>
      <c r="X18" s="60">
        <v>30</v>
      </c>
      <c r="Y18" s="60">
        <v>30</v>
      </c>
      <c r="Z18" s="52"/>
    </row>
    <row r="19" spans="1:28" x14ac:dyDescent="0.25">
      <c r="A19" s="50" t="s">
        <v>158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52"/>
    </row>
    <row r="20" spans="1:28" x14ac:dyDescent="0.25">
      <c r="A20" s="50" t="s">
        <v>455</v>
      </c>
      <c r="B20" s="60">
        <v>28</v>
      </c>
      <c r="C20" s="60">
        <v>28</v>
      </c>
      <c r="D20" s="60">
        <v>28</v>
      </c>
      <c r="E20" s="60">
        <v>28</v>
      </c>
      <c r="F20" s="60">
        <v>28</v>
      </c>
      <c r="G20" s="60">
        <v>28</v>
      </c>
      <c r="H20" s="60">
        <v>28</v>
      </c>
      <c r="I20" s="60">
        <v>28</v>
      </c>
      <c r="J20" s="60">
        <v>28</v>
      </c>
      <c r="K20" s="60">
        <v>28</v>
      </c>
      <c r="L20" s="60">
        <v>28</v>
      </c>
      <c r="M20" s="60">
        <v>28</v>
      </c>
      <c r="N20" s="60">
        <v>28</v>
      </c>
      <c r="O20" s="60">
        <v>28</v>
      </c>
      <c r="P20" s="60">
        <v>28</v>
      </c>
      <c r="Q20" s="60">
        <v>26</v>
      </c>
      <c r="R20" s="60">
        <v>24</v>
      </c>
      <c r="S20" s="60">
        <v>21</v>
      </c>
      <c r="T20" s="60">
        <v>22</v>
      </c>
      <c r="U20" s="60">
        <v>23</v>
      </c>
      <c r="V20" s="60">
        <v>25</v>
      </c>
      <c r="W20" s="60">
        <v>28</v>
      </c>
      <c r="X20" s="60">
        <v>28</v>
      </c>
      <c r="Y20" s="60">
        <v>28</v>
      </c>
      <c r="Z20" s="52"/>
    </row>
    <row r="21" spans="1:28" x14ac:dyDescent="0.25">
      <c r="A21" s="50" t="s">
        <v>456</v>
      </c>
      <c r="B21" s="60">
        <v>15</v>
      </c>
      <c r="C21" s="60">
        <v>15</v>
      </c>
      <c r="D21" s="60">
        <v>15</v>
      </c>
      <c r="E21" s="60">
        <v>15</v>
      </c>
      <c r="F21" s="60">
        <v>15</v>
      </c>
      <c r="G21" s="60">
        <v>15</v>
      </c>
      <c r="H21" s="60">
        <v>15</v>
      </c>
      <c r="I21" s="60">
        <v>15</v>
      </c>
      <c r="J21" s="60">
        <v>15</v>
      </c>
      <c r="K21" s="60">
        <v>15</v>
      </c>
      <c r="L21" s="60">
        <v>15</v>
      </c>
      <c r="M21" s="60">
        <v>15</v>
      </c>
      <c r="N21" s="60">
        <v>15</v>
      </c>
      <c r="O21" s="60">
        <v>15</v>
      </c>
      <c r="P21" s="60">
        <v>15</v>
      </c>
      <c r="Q21" s="60">
        <v>15</v>
      </c>
      <c r="R21" s="60">
        <v>15</v>
      </c>
      <c r="S21" s="60">
        <v>15</v>
      </c>
      <c r="T21" s="60">
        <v>15</v>
      </c>
      <c r="U21" s="60">
        <v>15</v>
      </c>
      <c r="V21" s="60">
        <v>15</v>
      </c>
      <c r="W21" s="60">
        <v>15</v>
      </c>
      <c r="X21" s="60">
        <v>15</v>
      </c>
      <c r="Y21" s="60">
        <v>15</v>
      </c>
      <c r="Z21" s="52" t="s">
        <v>461</v>
      </c>
    </row>
    <row r="22" spans="1:28" x14ac:dyDescent="0.25">
      <c r="A22" s="50" t="s">
        <v>457</v>
      </c>
      <c r="B22" s="60">
        <v>15</v>
      </c>
      <c r="C22" s="60">
        <v>15</v>
      </c>
      <c r="D22" s="60">
        <v>15</v>
      </c>
      <c r="E22" s="60">
        <v>15</v>
      </c>
      <c r="F22" s="60">
        <v>15</v>
      </c>
      <c r="G22" s="60">
        <v>15</v>
      </c>
      <c r="H22" s="60">
        <v>15</v>
      </c>
      <c r="I22" s="60">
        <v>15</v>
      </c>
      <c r="J22" s="60">
        <v>15</v>
      </c>
      <c r="K22" s="60">
        <v>15</v>
      </c>
      <c r="L22" s="60">
        <v>15</v>
      </c>
      <c r="M22" s="60">
        <v>15</v>
      </c>
      <c r="N22" s="60">
        <v>15</v>
      </c>
      <c r="O22" s="60">
        <v>15</v>
      </c>
      <c r="P22" s="60">
        <v>15</v>
      </c>
      <c r="Q22" s="60">
        <v>15</v>
      </c>
      <c r="R22" s="60">
        <v>15</v>
      </c>
      <c r="S22" s="60">
        <v>15</v>
      </c>
      <c r="T22" s="60">
        <v>15</v>
      </c>
      <c r="U22" s="60">
        <v>15</v>
      </c>
      <c r="V22" s="60">
        <v>15</v>
      </c>
      <c r="W22" s="60">
        <v>15</v>
      </c>
      <c r="X22" s="60">
        <v>15</v>
      </c>
      <c r="Y22" s="60">
        <v>15</v>
      </c>
      <c r="Z22" s="52"/>
    </row>
    <row r="23" spans="1:28" x14ac:dyDescent="0.25">
      <c r="A23" s="50" t="s">
        <v>458</v>
      </c>
      <c r="B23" s="60">
        <v>0</v>
      </c>
      <c r="C23" s="60">
        <v>0</v>
      </c>
      <c r="D23" s="60">
        <v>2</v>
      </c>
      <c r="E23" s="60">
        <v>3</v>
      </c>
      <c r="F23" s="60">
        <v>5</v>
      </c>
      <c r="G23" s="60">
        <v>8</v>
      </c>
      <c r="H23" s="60">
        <v>9</v>
      </c>
      <c r="I23" s="60">
        <v>11</v>
      </c>
      <c r="J23" s="60">
        <v>13</v>
      </c>
      <c r="K23" s="60">
        <v>15</v>
      </c>
      <c r="L23" s="60">
        <v>15</v>
      </c>
      <c r="M23" s="60">
        <v>15</v>
      </c>
      <c r="N23" s="60">
        <v>15</v>
      </c>
      <c r="O23" s="60">
        <v>15</v>
      </c>
      <c r="P23" s="60">
        <v>15</v>
      </c>
      <c r="Q23" s="60">
        <v>15</v>
      </c>
      <c r="R23" s="60">
        <v>15</v>
      </c>
      <c r="S23" s="60">
        <v>15</v>
      </c>
      <c r="T23" s="60">
        <v>11</v>
      </c>
      <c r="U23" s="60">
        <v>7</v>
      </c>
      <c r="V23" s="60">
        <v>3</v>
      </c>
      <c r="W23" s="60">
        <v>0</v>
      </c>
      <c r="X23" s="60">
        <v>0</v>
      </c>
      <c r="Y23" s="60">
        <v>0</v>
      </c>
      <c r="Z23" s="52"/>
      <c r="AA23" s="5"/>
      <c r="AB23" s="5"/>
    </row>
    <row r="24" spans="1:28" x14ac:dyDescent="0.25">
      <c r="A24" s="50" t="s">
        <v>163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2"/>
      <c r="AA24" s="5"/>
      <c r="AB24" s="5"/>
    </row>
    <row r="25" spans="1:28" x14ac:dyDescent="0.25">
      <c r="A25" s="50" t="s">
        <v>164</v>
      </c>
      <c r="B25" s="60">
        <f>SUM(B16:B24)</f>
        <v>129</v>
      </c>
      <c r="C25" s="60">
        <f t="shared" ref="C25:Y25" si="0">SUM(C16:C24)</f>
        <v>129</v>
      </c>
      <c r="D25" s="60">
        <f t="shared" si="0"/>
        <v>131</v>
      </c>
      <c r="E25" s="60">
        <f t="shared" si="0"/>
        <v>132</v>
      </c>
      <c r="F25" s="60">
        <f t="shared" si="0"/>
        <v>134</v>
      </c>
      <c r="G25" s="60">
        <f t="shared" si="0"/>
        <v>137</v>
      </c>
      <c r="H25" s="60">
        <f t="shared" si="0"/>
        <v>138</v>
      </c>
      <c r="I25" s="60">
        <f t="shared" si="0"/>
        <v>140</v>
      </c>
      <c r="J25" s="60">
        <f t="shared" si="0"/>
        <v>142</v>
      </c>
      <c r="K25" s="60">
        <f t="shared" si="0"/>
        <v>159</v>
      </c>
      <c r="L25" s="60">
        <f t="shared" si="0"/>
        <v>159</v>
      </c>
      <c r="M25" s="60">
        <f t="shared" si="0"/>
        <v>159</v>
      </c>
      <c r="N25" s="60">
        <f t="shared" si="0"/>
        <v>159</v>
      </c>
      <c r="O25" s="60">
        <f t="shared" si="0"/>
        <v>159</v>
      </c>
      <c r="P25" s="60">
        <f t="shared" si="0"/>
        <v>159</v>
      </c>
      <c r="Q25" s="60">
        <f t="shared" si="0"/>
        <v>141</v>
      </c>
      <c r="R25" s="60">
        <f t="shared" si="0"/>
        <v>140</v>
      </c>
      <c r="S25" s="60">
        <f t="shared" si="0"/>
        <v>137</v>
      </c>
      <c r="T25" s="60">
        <f t="shared" si="0"/>
        <v>134</v>
      </c>
      <c r="U25" s="60">
        <f t="shared" si="0"/>
        <v>131</v>
      </c>
      <c r="V25" s="60">
        <f t="shared" si="0"/>
        <v>129</v>
      </c>
      <c r="W25" s="60">
        <f t="shared" si="0"/>
        <v>129</v>
      </c>
      <c r="X25" s="60">
        <f t="shared" si="0"/>
        <v>129</v>
      </c>
      <c r="Y25" s="60">
        <f t="shared" si="0"/>
        <v>129</v>
      </c>
      <c r="Z25" s="52"/>
      <c r="AA25" s="5"/>
      <c r="AB25" s="53"/>
    </row>
    <row r="28" spans="1:28" x14ac:dyDescent="0.25">
      <c r="A28" s="50" t="s">
        <v>437</v>
      </c>
      <c r="B28" s="60">
        <v>28</v>
      </c>
      <c r="C28" s="60">
        <v>28</v>
      </c>
      <c r="D28" s="60">
        <v>28</v>
      </c>
      <c r="E28" s="60">
        <v>28</v>
      </c>
      <c r="F28" s="60">
        <v>28</v>
      </c>
      <c r="G28" s="60">
        <v>28</v>
      </c>
      <c r="H28" s="60">
        <v>28</v>
      </c>
      <c r="I28" s="60">
        <v>28</v>
      </c>
      <c r="J28" s="60">
        <v>28</v>
      </c>
      <c r="K28" s="60">
        <v>28</v>
      </c>
      <c r="L28" s="60">
        <v>28</v>
      </c>
      <c r="M28" s="60">
        <v>28</v>
      </c>
      <c r="N28" s="60">
        <v>28</v>
      </c>
      <c r="O28" s="60">
        <v>28</v>
      </c>
      <c r="P28" s="60">
        <v>28</v>
      </c>
      <c r="Q28" s="60">
        <v>26</v>
      </c>
      <c r="R28" s="60">
        <v>24</v>
      </c>
      <c r="S28" s="60">
        <v>21</v>
      </c>
      <c r="T28" s="60">
        <v>22</v>
      </c>
      <c r="U28" s="60">
        <v>23</v>
      </c>
      <c r="V28" s="60">
        <v>25</v>
      </c>
      <c r="W28" s="60">
        <v>28</v>
      </c>
      <c r="X28" s="60">
        <v>28</v>
      </c>
      <c r="Y28" s="60">
        <v>28</v>
      </c>
    </row>
    <row r="29" spans="1:28" x14ac:dyDescent="0.25">
      <c r="A29" s="50" t="s">
        <v>438</v>
      </c>
      <c r="B29" s="60">
        <v>15</v>
      </c>
      <c r="C29" s="60">
        <v>15</v>
      </c>
      <c r="D29" s="60">
        <v>15</v>
      </c>
      <c r="E29" s="60">
        <v>15</v>
      </c>
      <c r="F29" s="60">
        <v>15</v>
      </c>
      <c r="G29" s="60">
        <v>15</v>
      </c>
      <c r="H29" s="60">
        <v>15</v>
      </c>
      <c r="I29" s="60">
        <v>15</v>
      </c>
      <c r="J29" s="60">
        <v>15</v>
      </c>
      <c r="K29" s="60">
        <v>15</v>
      </c>
      <c r="L29" s="60">
        <v>15</v>
      </c>
      <c r="M29" s="60">
        <v>15</v>
      </c>
      <c r="N29" s="60">
        <v>15</v>
      </c>
      <c r="O29" s="60">
        <v>15</v>
      </c>
      <c r="P29" s="60">
        <v>15</v>
      </c>
      <c r="Q29" s="60">
        <v>15</v>
      </c>
      <c r="R29" s="60">
        <v>15</v>
      </c>
      <c r="S29" s="60">
        <v>15</v>
      </c>
      <c r="T29" s="60">
        <v>15</v>
      </c>
      <c r="U29" s="60">
        <v>15</v>
      </c>
      <c r="V29" s="60">
        <v>15</v>
      </c>
      <c r="W29" s="60">
        <v>15</v>
      </c>
      <c r="X29" s="60">
        <v>15</v>
      </c>
      <c r="Y29" s="60">
        <v>15</v>
      </c>
    </row>
    <row r="30" spans="1:28" x14ac:dyDescent="0.25">
      <c r="A30" s="50" t="s">
        <v>462</v>
      </c>
      <c r="B30" s="60">
        <f>B22+B23</f>
        <v>15</v>
      </c>
      <c r="C30" s="60">
        <f t="shared" ref="C30:Y30" si="1">C22+C23</f>
        <v>15</v>
      </c>
      <c r="D30" s="60">
        <f t="shared" si="1"/>
        <v>17</v>
      </c>
      <c r="E30" s="60">
        <f t="shared" si="1"/>
        <v>18</v>
      </c>
      <c r="F30" s="60">
        <f t="shared" si="1"/>
        <v>20</v>
      </c>
      <c r="G30" s="60">
        <f t="shared" si="1"/>
        <v>23</v>
      </c>
      <c r="H30" s="60">
        <f t="shared" si="1"/>
        <v>24</v>
      </c>
      <c r="I30" s="60">
        <f t="shared" si="1"/>
        <v>26</v>
      </c>
      <c r="J30" s="60">
        <f t="shared" si="1"/>
        <v>28</v>
      </c>
      <c r="K30" s="60">
        <f t="shared" si="1"/>
        <v>30</v>
      </c>
      <c r="L30" s="60">
        <f t="shared" si="1"/>
        <v>30</v>
      </c>
      <c r="M30" s="60">
        <f t="shared" si="1"/>
        <v>30</v>
      </c>
      <c r="N30" s="60">
        <f t="shared" si="1"/>
        <v>30</v>
      </c>
      <c r="O30" s="60">
        <f t="shared" si="1"/>
        <v>30</v>
      </c>
      <c r="P30" s="60">
        <f t="shared" si="1"/>
        <v>30</v>
      </c>
      <c r="Q30" s="60">
        <f t="shared" si="1"/>
        <v>30</v>
      </c>
      <c r="R30" s="60">
        <f t="shared" si="1"/>
        <v>30</v>
      </c>
      <c r="S30" s="60">
        <f t="shared" si="1"/>
        <v>30</v>
      </c>
      <c r="T30" s="60">
        <f t="shared" si="1"/>
        <v>26</v>
      </c>
      <c r="U30" s="60">
        <f t="shared" si="1"/>
        <v>22</v>
      </c>
      <c r="V30" s="60">
        <f t="shared" si="1"/>
        <v>18</v>
      </c>
      <c r="W30" s="60">
        <f t="shared" si="1"/>
        <v>15</v>
      </c>
      <c r="X30" s="60">
        <f t="shared" si="1"/>
        <v>15</v>
      </c>
      <c r="Y30" s="60">
        <f t="shared" si="1"/>
        <v>15</v>
      </c>
    </row>
    <row r="31" spans="1:28" x14ac:dyDescent="0.25">
      <c r="A31" s="52" t="s">
        <v>459</v>
      </c>
      <c r="B31">
        <f>SUM(B28:B30)</f>
        <v>58</v>
      </c>
      <c r="C31">
        <f t="shared" ref="C31:Y31" si="2">SUM(C28:C30)</f>
        <v>58</v>
      </c>
      <c r="D31">
        <f t="shared" si="2"/>
        <v>60</v>
      </c>
      <c r="E31">
        <f t="shared" si="2"/>
        <v>61</v>
      </c>
      <c r="F31">
        <f t="shared" si="2"/>
        <v>63</v>
      </c>
      <c r="G31">
        <f t="shared" si="2"/>
        <v>66</v>
      </c>
      <c r="H31">
        <f t="shared" si="2"/>
        <v>67</v>
      </c>
      <c r="I31">
        <f t="shared" si="2"/>
        <v>69</v>
      </c>
      <c r="J31">
        <f t="shared" si="2"/>
        <v>71</v>
      </c>
      <c r="K31">
        <f t="shared" si="2"/>
        <v>73</v>
      </c>
      <c r="L31">
        <f t="shared" si="2"/>
        <v>73</v>
      </c>
      <c r="M31">
        <f t="shared" si="2"/>
        <v>73</v>
      </c>
      <c r="N31">
        <f t="shared" si="2"/>
        <v>73</v>
      </c>
      <c r="O31">
        <f t="shared" si="2"/>
        <v>73</v>
      </c>
      <c r="P31">
        <f t="shared" si="2"/>
        <v>73</v>
      </c>
      <c r="Q31">
        <f t="shared" si="2"/>
        <v>71</v>
      </c>
      <c r="R31">
        <f t="shared" si="2"/>
        <v>69</v>
      </c>
      <c r="S31">
        <f t="shared" si="2"/>
        <v>66</v>
      </c>
      <c r="T31">
        <f t="shared" si="2"/>
        <v>63</v>
      </c>
      <c r="U31">
        <f t="shared" si="2"/>
        <v>60</v>
      </c>
      <c r="V31">
        <f t="shared" si="2"/>
        <v>58</v>
      </c>
      <c r="W31">
        <f t="shared" si="2"/>
        <v>58</v>
      </c>
      <c r="X31">
        <f t="shared" si="2"/>
        <v>58</v>
      </c>
      <c r="Y31">
        <f t="shared" si="2"/>
        <v>58</v>
      </c>
    </row>
    <row r="32" spans="1:28" x14ac:dyDescent="0.25">
      <c r="A32" s="52"/>
    </row>
    <row r="33" spans="1:25" x14ac:dyDescent="0.25">
      <c r="A33" s="52" t="s">
        <v>460</v>
      </c>
    </row>
    <row r="34" spans="1:25" x14ac:dyDescent="0.25">
      <c r="A34" s="50" t="s">
        <v>437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0.85</v>
      </c>
      <c r="I34">
        <v>0.85</v>
      </c>
      <c r="J34">
        <v>0.85</v>
      </c>
      <c r="K34">
        <v>0.85</v>
      </c>
      <c r="L34">
        <v>0.85</v>
      </c>
      <c r="M34">
        <v>0.85</v>
      </c>
      <c r="N34">
        <v>0.85</v>
      </c>
      <c r="O34">
        <v>0.85</v>
      </c>
      <c r="P34">
        <v>0.85</v>
      </c>
      <c r="Q34">
        <v>0.85</v>
      </c>
      <c r="R34">
        <v>0.85</v>
      </c>
      <c r="S34">
        <v>0.85</v>
      </c>
      <c r="T34">
        <v>0.85</v>
      </c>
      <c r="U34">
        <v>1</v>
      </c>
      <c r="V34">
        <v>1</v>
      </c>
      <c r="W34">
        <v>1</v>
      </c>
      <c r="X34">
        <v>1</v>
      </c>
      <c r="Y34">
        <v>1</v>
      </c>
    </row>
    <row r="35" spans="1:25" x14ac:dyDescent="0.25">
      <c r="A35" s="50" t="s">
        <v>438</v>
      </c>
      <c r="B35">
        <v>0.8</v>
      </c>
      <c r="C35">
        <v>0.8</v>
      </c>
      <c r="D35">
        <v>0.8</v>
      </c>
      <c r="E35">
        <v>0.8</v>
      </c>
      <c r="F35">
        <v>0.8</v>
      </c>
      <c r="G35">
        <v>0.8</v>
      </c>
      <c r="H35">
        <v>0.8</v>
      </c>
      <c r="I35">
        <v>0.8</v>
      </c>
      <c r="J35">
        <v>0.8</v>
      </c>
      <c r="K35">
        <v>0.8</v>
      </c>
      <c r="L35">
        <v>0.8</v>
      </c>
      <c r="M35">
        <v>0.8</v>
      </c>
      <c r="N35">
        <v>0.8</v>
      </c>
      <c r="O35">
        <v>0.8</v>
      </c>
      <c r="P35">
        <v>0.8</v>
      </c>
      <c r="Q35">
        <v>0.8</v>
      </c>
      <c r="R35">
        <v>0.8</v>
      </c>
      <c r="S35">
        <v>0.8</v>
      </c>
      <c r="T35">
        <v>0.8</v>
      </c>
      <c r="U35">
        <v>0.8</v>
      </c>
      <c r="V35">
        <v>0.8</v>
      </c>
      <c r="W35">
        <v>0.8</v>
      </c>
      <c r="X35">
        <v>0.8</v>
      </c>
      <c r="Y35">
        <v>0.8</v>
      </c>
    </row>
    <row r="36" spans="1:25" x14ac:dyDescent="0.25">
      <c r="A36" s="50" t="s">
        <v>462</v>
      </c>
      <c r="B36">
        <f>(B22*0.6+B23*0.3)/B30</f>
        <v>0.6</v>
      </c>
      <c r="C36">
        <f t="shared" ref="C36:Y36" si="3">(C22*0.6+C23*0.3)/C30</f>
        <v>0.6</v>
      </c>
      <c r="D36">
        <f t="shared" si="3"/>
        <v>0.56470588235294117</v>
      </c>
      <c r="E36">
        <f t="shared" si="3"/>
        <v>0.55000000000000004</v>
      </c>
      <c r="F36">
        <f t="shared" si="3"/>
        <v>0.52500000000000002</v>
      </c>
      <c r="G36">
        <f t="shared" si="3"/>
        <v>0.4956521739130435</v>
      </c>
      <c r="H36">
        <f t="shared" si="3"/>
        <v>0.48749999999999999</v>
      </c>
      <c r="I36">
        <f t="shared" si="3"/>
        <v>0.47307692307692312</v>
      </c>
      <c r="J36">
        <f t="shared" si="3"/>
        <v>0.46071428571428574</v>
      </c>
      <c r="K36">
        <f t="shared" si="3"/>
        <v>0.45</v>
      </c>
      <c r="L36">
        <f t="shared" si="3"/>
        <v>0.45</v>
      </c>
      <c r="M36">
        <f t="shared" si="3"/>
        <v>0.45</v>
      </c>
      <c r="N36">
        <f t="shared" si="3"/>
        <v>0.45</v>
      </c>
      <c r="O36">
        <f t="shared" si="3"/>
        <v>0.45</v>
      </c>
      <c r="P36">
        <f t="shared" si="3"/>
        <v>0.45</v>
      </c>
      <c r="Q36">
        <f t="shared" si="3"/>
        <v>0.45</v>
      </c>
      <c r="R36">
        <f t="shared" si="3"/>
        <v>0.45</v>
      </c>
      <c r="S36">
        <f t="shared" si="3"/>
        <v>0.45</v>
      </c>
      <c r="T36">
        <f t="shared" si="3"/>
        <v>0.47307692307692312</v>
      </c>
      <c r="U36">
        <f t="shared" si="3"/>
        <v>0.50454545454545452</v>
      </c>
      <c r="V36">
        <f t="shared" si="3"/>
        <v>0.55000000000000004</v>
      </c>
      <c r="W36">
        <f t="shared" si="3"/>
        <v>0.6</v>
      </c>
      <c r="X36">
        <f t="shared" si="3"/>
        <v>0.6</v>
      </c>
      <c r="Y36">
        <f t="shared" si="3"/>
        <v>0.6</v>
      </c>
    </row>
    <row r="39" spans="1:25" x14ac:dyDescent="0.25">
      <c r="B39">
        <v>65</v>
      </c>
    </row>
    <row r="40" spans="1:25" x14ac:dyDescent="0.25">
      <c r="A40" t="s">
        <v>428</v>
      </c>
      <c r="B40" s="305" t="s">
        <v>2</v>
      </c>
      <c r="C40" s="305"/>
      <c r="D40" s="305" t="s">
        <v>0</v>
      </c>
      <c r="E40" s="305"/>
      <c r="F40" s="305" t="s">
        <v>1</v>
      </c>
      <c r="G40" s="305"/>
      <c r="H40" s="305" t="s">
        <v>3</v>
      </c>
      <c r="I40" s="305"/>
      <c r="J40" s="305" t="s">
        <v>4</v>
      </c>
      <c r="K40" s="305"/>
      <c r="L40" s="305" t="s">
        <v>5</v>
      </c>
      <c r="M40" s="305"/>
      <c r="N40" s="305" t="s">
        <v>6</v>
      </c>
      <c r="O40" s="305"/>
      <c r="P40" s="305" t="s">
        <v>7</v>
      </c>
      <c r="Q40" s="305"/>
      <c r="R40" s="305" t="s">
        <v>8</v>
      </c>
      <c r="S40" s="305"/>
      <c r="T40" s="305" t="s">
        <v>9</v>
      </c>
      <c r="U40" s="305"/>
      <c r="V40" s="305" t="s">
        <v>10</v>
      </c>
      <c r="W40" s="305"/>
      <c r="X40" s="305" t="s">
        <v>11</v>
      </c>
      <c r="Y40" s="305"/>
    </row>
    <row r="41" spans="1:25" x14ac:dyDescent="0.25">
      <c r="B41" s="158">
        <v>1</v>
      </c>
      <c r="C41" s="158">
        <v>2</v>
      </c>
      <c r="D41" s="158">
        <v>3</v>
      </c>
      <c r="E41" s="158">
        <v>4</v>
      </c>
      <c r="F41" s="158">
        <v>5</v>
      </c>
      <c r="G41" s="158">
        <v>6</v>
      </c>
      <c r="H41" s="158">
        <v>7</v>
      </c>
      <c r="I41" s="158">
        <v>8</v>
      </c>
      <c r="J41" s="158">
        <v>9</v>
      </c>
      <c r="K41" s="158">
        <v>10</v>
      </c>
      <c r="L41" s="158">
        <v>11</v>
      </c>
      <c r="M41" s="158">
        <v>12</v>
      </c>
      <c r="N41" s="158">
        <v>13</v>
      </c>
      <c r="O41" s="158">
        <v>14</v>
      </c>
      <c r="P41" s="158">
        <v>15</v>
      </c>
      <c r="Q41" s="158">
        <v>16</v>
      </c>
      <c r="R41" s="158">
        <v>17</v>
      </c>
      <c r="S41" s="158">
        <v>18</v>
      </c>
      <c r="T41" s="158">
        <v>19</v>
      </c>
      <c r="U41" s="158">
        <v>20</v>
      </c>
      <c r="V41" s="158">
        <v>21</v>
      </c>
      <c r="W41" s="158">
        <v>22</v>
      </c>
      <c r="X41" s="158">
        <v>23</v>
      </c>
      <c r="Y41" s="158">
        <v>24</v>
      </c>
    </row>
    <row r="42" spans="1:25" x14ac:dyDescent="0.25">
      <c r="A42" t="s">
        <v>176</v>
      </c>
      <c r="B42" s="158">
        <v>15.5</v>
      </c>
      <c r="C42" s="158">
        <v>15.5</v>
      </c>
      <c r="D42" s="158">
        <v>14</v>
      </c>
      <c r="E42" s="158">
        <v>14</v>
      </c>
      <c r="F42" s="158">
        <v>15.5</v>
      </c>
      <c r="G42" s="158">
        <v>15.5</v>
      </c>
      <c r="H42" s="158">
        <v>15</v>
      </c>
      <c r="I42" s="158">
        <v>15</v>
      </c>
      <c r="J42" s="158">
        <v>15.5</v>
      </c>
      <c r="K42" s="158">
        <v>15.5</v>
      </c>
      <c r="L42" s="158">
        <v>15</v>
      </c>
      <c r="M42" s="158">
        <v>15</v>
      </c>
      <c r="N42" s="158">
        <v>15.5</v>
      </c>
      <c r="O42" s="158">
        <v>15.5</v>
      </c>
      <c r="P42" s="158">
        <v>15.5</v>
      </c>
      <c r="Q42" s="158">
        <v>15.5</v>
      </c>
      <c r="R42" s="158">
        <v>15</v>
      </c>
      <c r="S42" s="158">
        <v>15</v>
      </c>
      <c r="T42" s="158">
        <v>15.5</v>
      </c>
      <c r="U42" s="158">
        <v>15.5</v>
      </c>
      <c r="V42" s="158">
        <v>15</v>
      </c>
      <c r="W42" s="158">
        <v>15</v>
      </c>
      <c r="X42" s="158">
        <v>15.5</v>
      </c>
      <c r="Y42" s="158">
        <v>15.5</v>
      </c>
    </row>
    <row r="43" spans="1:25" x14ac:dyDescent="0.25">
      <c r="A43" s="2" t="s">
        <v>327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</row>
    <row r="44" spans="1:25" x14ac:dyDescent="0.25">
      <c r="A44" s="51" t="s">
        <v>328</v>
      </c>
      <c r="B44" s="60">
        <v>1</v>
      </c>
      <c r="C44" s="60">
        <v>1</v>
      </c>
      <c r="D44" s="60">
        <v>1</v>
      </c>
      <c r="E44" s="60">
        <v>1</v>
      </c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>
        <v>1</v>
      </c>
      <c r="W44" s="60">
        <v>1</v>
      </c>
      <c r="X44" s="60">
        <v>1</v>
      </c>
      <c r="Y44" s="60">
        <v>1</v>
      </c>
    </row>
    <row r="45" spans="1:25" x14ac:dyDescent="0.25">
      <c r="A45" s="51" t="s">
        <v>329</v>
      </c>
      <c r="B45" s="60">
        <v>1</v>
      </c>
      <c r="C45" s="60">
        <v>1</v>
      </c>
      <c r="D45" s="60">
        <v>1</v>
      </c>
      <c r="E45" s="60">
        <v>1</v>
      </c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1:25" x14ac:dyDescent="0.25">
      <c r="A46" s="137" t="s">
        <v>331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>
        <v>1</v>
      </c>
      <c r="S46" s="60">
        <v>1</v>
      </c>
      <c r="T46" s="60">
        <v>1</v>
      </c>
      <c r="U46" s="60">
        <v>1</v>
      </c>
      <c r="V46" s="60">
        <v>1</v>
      </c>
      <c r="W46" s="60">
        <v>1</v>
      </c>
      <c r="X46" s="60">
        <v>1</v>
      </c>
      <c r="Y46" s="60">
        <v>1</v>
      </c>
    </row>
    <row r="47" spans="1:25" x14ac:dyDescent="0.25">
      <c r="A47" s="51" t="s">
        <v>330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1:25" x14ac:dyDescent="0.25">
      <c r="A48" s="51" t="s">
        <v>435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>
        <v>1</v>
      </c>
      <c r="R48" s="60">
        <v>1</v>
      </c>
      <c r="S48" s="60">
        <v>1</v>
      </c>
      <c r="T48" s="60">
        <v>1</v>
      </c>
      <c r="U48" s="60">
        <v>1</v>
      </c>
      <c r="V48" s="60">
        <v>1</v>
      </c>
      <c r="W48" s="60"/>
      <c r="X48" s="60"/>
      <c r="Y48" s="60"/>
    </row>
    <row r="49" spans="1:29" x14ac:dyDescent="0.25">
      <c r="A49" s="51" t="s">
        <v>436</v>
      </c>
      <c r="B49" s="60"/>
      <c r="C49" s="60"/>
      <c r="D49" s="60">
        <v>1</v>
      </c>
      <c r="E49" s="60">
        <v>1</v>
      </c>
      <c r="F49" s="60">
        <v>1</v>
      </c>
      <c r="G49" s="60">
        <v>1</v>
      </c>
      <c r="H49" s="60">
        <v>1</v>
      </c>
      <c r="I49" s="60">
        <v>1</v>
      </c>
      <c r="J49" s="60">
        <v>1</v>
      </c>
      <c r="K49" s="60">
        <v>1</v>
      </c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1:29" x14ac:dyDescent="0.25">
      <c r="A50" s="51" t="s">
        <v>167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9" x14ac:dyDescent="0.25">
      <c r="A51" s="51" t="s">
        <v>168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1:29" x14ac:dyDescent="0.25">
      <c r="A52" s="2" t="s">
        <v>12</v>
      </c>
      <c r="B52" s="65" t="s">
        <v>174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</row>
    <row r="53" spans="1:29" x14ac:dyDescent="0.25">
      <c r="A53" s="44" t="s">
        <v>173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</row>
    <row r="54" spans="1:29" x14ac:dyDescent="0.25">
      <c r="A54" s="50" t="s">
        <v>437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AB54" t="s">
        <v>93</v>
      </c>
      <c r="AC54">
        <v>50</v>
      </c>
    </row>
    <row r="55" spans="1:29" x14ac:dyDescent="0.25">
      <c r="A55" s="50" t="s">
        <v>438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AB55" t="s">
        <v>109</v>
      </c>
      <c r="AC55">
        <v>44</v>
      </c>
    </row>
    <row r="56" spans="1:29" x14ac:dyDescent="0.25">
      <c r="A56" s="50" t="s">
        <v>439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AB56" t="s">
        <v>108</v>
      </c>
      <c r="AC56">
        <v>44</v>
      </c>
    </row>
    <row r="57" spans="1:29" x14ac:dyDescent="0.25">
      <c r="A57" s="50" t="s">
        <v>158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AB57" t="s">
        <v>131</v>
      </c>
      <c r="AC57">
        <v>41</v>
      </c>
    </row>
    <row r="58" spans="1:29" x14ac:dyDescent="0.25">
      <c r="A58" s="50" t="s">
        <v>455</v>
      </c>
      <c r="B58" s="60">
        <v>40</v>
      </c>
      <c r="C58" s="60">
        <v>40</v>
      </c>
      <c r="D58" s="60">
        <v>40</v>
      </c>
      <c r="E58" s="60">
        <v>40</v>
      </c>
      <c r="F58" s="60">
        <v>40</v>
      </c>
      <c r="G58" s="60">
        <v>40</v>
      </c>
      <c r="H58" s="60">
        <v>40</v>
      </c>
      <c r="I58" s="60">
        <v>40</v>
      </c>
      <c r="J58" s="60">
        <v>40</v>
      </c>
      <c r="K58" s="60">
        <v>40</v>
      </c>
      <c r="L58" s="60">
        <v>40</v>
      </c>
      <c r="M58" s="60">
        <v>40</v>
      </c>
      <c r="N58" s="60">
        <v>40</v>
      </c>
      <c r="O58" s="60">
        <v>40</v>
      </c>
      <c r="P58" s="60">
        <v>40</v>
      </c>
      <c r="Q58" s="60">
        <v>38</v>
      </c>
      <c r="R58" s="60">
        <v>36</v>
      </c>
      <c r="S58" s="60">
        <v>34</v>
      </c>
      <c r="T58" s="60">
        <v>35</v>
      </c>
      <c r="U58" s="60">
        <v>36</v>
      </c>
      <c r="V58" s="60">
        <v>37</v>
      </c>
      <c r="W58" s="60">
        <v>40</v>
      </c>
      <c r="X58" s="60">
        <v>40</v>
      </c>
      <c r="Y58" s="60">
        <v>40</v>
      </c>
      <c r="AB58" t="s">
        <v>103</v>
      </c>
      <c r="AC58">
        <v>12</v>
      </c>
    </row>
    <row r="59" spans="1:29" x14ac:dyDescent="0.25">
      <c r="A59" s="50" t="s">
        <v>456</v>
      </c>
      <c r="B59" s="60">
        <v>12</v>
      </c>
      <c r="C59" s="60">
        <v>12</v>
      </c>
      <c r="D59" s="60">
        <v>12</v>
      </c>
      <c r="E59" s="60">
        <v>12</v>
      </c>
      <c r="F59" s="60">
        <v>12</v>
      </c>
      <c r="G59" s="60">
        <v>12</v>
      </c>
      <c r="H59" s="60">
        <v>12</v>
      </c>
      <c r="I59" s="60">
        <v>12</v>
      </c>
      <c r="J59" s="60">
        <v>12</v>
      </c>
      <c r="K59" s="60">
        <v>12</v>
      </c>
      <c r="L59" s="60">
        <v>12</v>
      </c>
      <c r="M59" s="60">
        <v>12</v>
      </c>
      <c r="N59" s="60">
        <v>12</v>
      </c>
      <c r="O59" s="60">
        <v>12</v>
      </c>
      <c r="P59" s="60">
        <v>12</v>
      </c>
      <c r="Q59" s="60">
        <v>12</v>
      </c>
      <c r="R59" s="60">
        <v>12</v>
      </c>
      <c r="S59" s="60">
        <v>12</v>
      </c>
      <c r="T59" s="60">
        <v>12</v>
      </c>
      <c r="U59" s="60">
        <v>12</v>
      </c>
      <c r="V59" s="60">
        <v>12</v>
      </c>
      <c r="W59" s="60">
        <v>12</v>
      </c>
      <c r="X59" s="60">
        <v>12</v>
      </c>
      <c r="Y59" s="60">
        <v>12</v>
      </c>
      <c r="AB59" t="s">
        <v>144</v>
      </c>
      <c r="AC59">
        <v>0</v>
      </c>
    </row>
    <row r="60" spans="1:29" x14ac:dyDescent="0.25">
      <c r="A60" s="50" t="s">
        <v>457</v>
      </c>
      <c r="B60" s="60">
        <v>12</v>
      </c>
      <c r="C60" s="60">
        <v>12</v>
      </c>
      <c r="D60" s="60">
        <v>12</v>
      </c>
      <c r="E60" s="60">
        <v>12</v>
      </c>
      <c r="F60" s="60">
        <v>12</v>
      </c>
      <c r="G60" s="60">
        <v>12</v>
      </c>
      <c r="H60" s="60">
        <v>12</v>
      </c>
      <c r="I60" s="60">
        <v>12</v>
      </c>
      <c r="J60" s="60">
        <v>12</v>
      </c>
      <c r="K60" s="60">
        <v>12</v>
      </c>
      <c r="L60" s="60">
        <v>12</v>
      </c>
      <c r="M60" s="60">
        <v>12</v>
      </c>
      <c r="N60" s="60">
        <v>12</v>
      </c>
      <c r="O60" s="60">
        <v>12</v>
      </c>
      <c r="P60" s="60">
        <v>12</v>
      </c>
      <c r="Q60" s="60">
        <v>12</v>
      </c>
      <c r="R60" s="60">
        <v>12</v>
      </c>
      <c r="S60" s="60">
        <v>12</v>
      </c>
      <c r="T60" s="60">
        <v>12</v>
      </c>
      <c r="U60" s="60">
        <v>12</v>
      </c>
      <c r="V60" s="60">
        <v>12</v>
      </c>
      <c r="W60" s="60">
        <v>12</v>
      </c>
      <c r="X60" s="60">
        <v>12</v>
      </c>
      <c r="Y60" s="60">
        <v>12</v>
      </c>
      <c r="AB60" t="s">
        <v>134</v>
      </c>
      <c r="AC60">
        <v>12</v>
      </c>
    </row>
    <row r="61" spans="1:29" x14ac:dyDescent="0.25">
      <c r="A61" s="50" t="s">
        <v>458</v>
      </c>
      <c r="B61" s="60">
        <v>0</v>
      </c>
      <c r="C61" s="60">
        <v>0</v>
      </c>
      <c r="D61" s="60">
        <v>2</v>
      </c>
      <c r="E61" s="60">
        <v>3</v>
      </c>
      <c r="F61" s="60">
        <v>5</v>
      </c>
      <c r="G61" s="60">
        <v>8</v>
      </c>
      <c r="H61" s="60">
        <v>9</v>
      </c>
      <c r="I61" s="60">
        <v>11</v>
      </c>
      <c r="J61" s="60">
        <v>12</v>
      </c>
      <c r="K61" s="60">
        <v>12</v>
      </c>
      <c r="L61" s="60">
        <v>12</v>
      </c>
      <c r="M61" s="60">
        <v>12</v>
      </c>
      <c r="N61" s="60">
        <v>12</v>
      </c>
      <c r="O61" s="60">
        <v>12</v>
      </c>
      <c r="P61" s="60">
        <v>12</v>
      </c>
      <c r="Q61" s="60">
        <v>12</v>
      </c>
      <c r="R61" s="60">
        <v>12</v>
      </c>
      <c r="S61" s="60">
        <v>12</v>
      </c>
      <c r="T61" s="60">
        <v>9</v>
      </c>
      <c r="U61" s="60">
        <v>6</v>
      </c>
      <c r="V61" s="60">
        <v>3</v>
      </c>
      <c r="W61" s="60">
        <v>0</v>
      </c>
      <c r="X61" s="60">
        <v>0</v>
      </c>
      <c r="Y61" s="60">
        <v>0</v>
      </c>
      <c r="AB61" t="s">
        <v>135</v>
      </c>
      <c r="AC61">
        <v>0.6</v>
      </c>
    </row>
    <row r="62" spans="1:29" x14ac:dyDescent="0.25">
      <c r="A62" s="50" t="s">
        <v>163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AB62" t="s">
        <v>136</v>
      </c>
      <c r="AC62">
        <v>8.5</v>
      </c>
    </row>
    <row r="63" spans="1:29" x14ac:dyDescent="0.25">
      <c r="A63" s="50" t="s">
        <v>164</v>
      </c>
      <c r="B63" s="60">
        <f>SUM(B54:B62)</f>
        <v>64</v>
      </c>
      <c r="C63" s="60">
        <f t="shared" ref="C63:Y63" si="4">SUM(C54:C62)</f>
        <v>64</v>
      </c>
      <c r="D63" s="60">
        <f t="shared" si="4"/>
        <v>66</v>
      </c>
      <c r="E63" s="60">
        <f t="shared" si="4"/>
        <v>67</v>
      </c>
      <c r="F63" s="60">
        <f t="shared" si="4"/>
        <v>69</v>
      </c>
      <c r="G63" s="60">
        <f t="shared" si="4"/>
        <v>72</v>
      </c>
      <c r="H63" s="60">
        <f t="shared" si="4"/>
        <v>73</v>
      </c>
      <c r="I63" s="60">
        <f t="shared" si="4"/>
        <v>75</v>
      </c>
      <c r="J63" s="60">
        <f t="shared" si="4"/>
        <v>76</v>
      </c>
      <c r="K63" s="60">
        <f t="shared" si="4"/>
        <v>76</v>
      </c>
      <c r="L63" s="60">
        <f t="shared" si="4"/>
        <v>76</v>
      </c>
      <c r="M63" s="60">
        <f t="shared" si="4"/>
        <v>76</v>
      </c>
      <c r="N63" s="60">
        <f t="shared" si="4"/>
        <v>76</v>
      </c>
      <c r="O63" s="60">
        <f t="shared" si="4"/>
        <v>76</v>
      </c>
      <c r="P63" s="60">
        <f t="shared" si="4"/>
        <v>76</v>
      </c>
      <c r="Q63" s="60">
        <f t="shared" si="4"/>
        <v>74</v>
      </c>
      <c r="R63" s="60">
        <f t="shared" si="4"/>
        <v>72</v>
      </c>
      <c r="S63" s="60">
        <f t="shared" si="4"/>
        <v>70</v>
      </c>
      <c r="T63" s="60">
        <f t="shared" si="4"/>
        <v>68</v>
      </c>
      <c r="U63" s="60">
        <f t="shared" si="4"/>
        <v>66</v>
      </c>
      <c r="V63" s="60">
        <f t="shared" si="4"/>
        <v>64</v>
      </c>
      <c r="W63" s="60">
        <f t="shared" si="4"/>
        <v>64</v>
      </c>
      <c r="X63" s="60">
        <f t="shared" si="4"/>
        <v>64</v>
      </c>
      <c r="Y63" s="60">
        <f t="shared" si="4"/>
        <v>64</v>
      </c>
      <c r="AB63" t="s">
        <v>137</v>
      </c>
      <c r="AC63">
        <v>0</v>
      </c>
    </row>
    <row r="64" spans="1:29" x14ac:dyDescent="0.25">
      <c r="AB64" t="s">
        <v>138</v>
      </c>
      <c r="AC64">
        <v>0</v>
      </c>
    </row>
    <row r="65" spans="1:29" x14ac:dyDescent="0.25">
      <c r="AB65" t="s">
        <v>139</v>
      </c>
      <c r="AC65">
        <v>0</v>
      </c>
    </row>
    <row r="66" spans="1:29" x14ac:dyDescent="0.25">
      <c r="A66" s="50" t="s">
        <v>437</v>
      </c>
      <c r="B66" s="60">
        <f>B58+1</f>
        <v>41</v>
      </c>
      <c r="C66" s="60">
        <f t="shared" ref="C66:Y66" si="5">C58+1</f>
        <v>41</v>
      </c>
      <c r="D66" s="60">
        <f t="shared" si="5"/>
        <v>41</v>
      </c>
      <c r="E66" s="60">
        <f t="shared" si="5"/>
        <v>41</v>
      </c>
      <c r="F66" s="60">
        <f t="shared" si="5"/>
        <v>41</v>
      </c>
      <c r="G66" s="60">
        <f t="shared" si="5"/>
        <v>41</v>
      </c>
      <c r="H66" s="60">
        <f t="shared" si="5"/>
        <v>41</v>
      </c>
      <c r="I66" s="60">
        <f t="shared" si="5"/>
        <v>41</v>
      </c>
      <c r="J66" s="60">
        <f t="shared" si="5"/>
        <v>41</v>
      </c>
      <c r="K66" s="60">
        <f t="shared" si="5"/>
        <v>41</v>
      </c>
      <c r="L66" s="60">
        <f t="shared" si="5"/>
        <v>41</v>
      </c>
      <c r="M66" s="60">
        <f t="shared" si="5"/>
        <v>41</v>
      </c>
      <c r="N66" s="60">
        <f t="shared" si="5"/>
        <v>41</v>
      </c>
      <c r="O66" s="60">
        <f t="shared" si="5"/>
        <v>41</v>
      </c>
      <c r="P66" s="60">
        <f t="shared" si="5"/>
        <v>41</v>
      </c>
      <c r="Q66" s="60">
        <f t="shared" si="5"/>
        <v>39</v>
      </c>
      <c r="R66" s="60">
        <f t="shared" si="5"/>
        <v>37</v>
      </c>
      <c r="S66" s="60">
        <f t="shared" si="5"/>
        <v>35</v>
      </c>
      <c r="T66" s="60">
        <f t="shared" si="5"/>
        <v>36</v>
      </c>
      <c r="U66" s="60">
        <f t="shared" si="5"/>
        <v>37</v>
      </c>
      <c r="V66" s="60">
        <f t="shared" si="5"/>
        <v>38</v>
      </c>
      <c r="W66" s="60">
        <f t="shared" si="5"/>
        <v>41</v>
      </c>
      <c r="X66" s="60">
        <f t="shared" si="5"/>
        <v>41</v>
      </c>
      <c r="Y66" s="60">
        <f t="shared" si="5"/>
        <v>41</v>
      </c>
      <c r="AB66" t="s">
        <v>140</v>
      </c>
      <c r="AC66">
        <v>20.5</v>
      </c>
    </row>
    <row r="67" spans="1:29" x14ac:dyDescent="0.25">
      <c r="A67" s="50" t="s">
        <v>438</v>
      </c>
      <c r="B67" s="60">
        <v>12</v>
      </c>
      <c r="C67" s="60">
        <v>12</v>
      </c>
      <c r="D67" s="60">
        <v>12</v>
      </c>
      <c r="E67" s="60">
        <v>12</v>
      </c>
      <c r="F67" s="60">
        <v>12</v>
      </c>
      <c r="G67" s="60">
        <v>12</v>
      </c>
      <c r="H67" s="60">
        <v>12</v>
      </c>
      <c r="I67" s="60">
        <v>12</v>
      </c>
      <c r="J67" s="60">
        <v>12</v>
      </c>
      <c r="K67" s="60">
        <v>12</v>
      </c>
      <c r="L67" s="60">
        <v>12</v>
      </c>
      <c r="M67" s="60">
        <v>12</v>
      </c>
      <c r="N67" s="60">
        <v>12</v>
      </c>
      <c r="O67" s="60">
        <v>12</v>
      </c>
      <c r="P67" s="60">
        <v>12</v>
      </c>
      <c r="Q67" s="60">
        <v>12</v>
      </c>
      <c r="R67" s="60">
        <v>12</v>
      </c>
      <c r="S67" s="60">
        <v>12</v>
      </c>
      <c r="T67" s="60">
        <v>12</v>
      </c>
      <c r="U67" s="60">
        <v>12</v>
      </c>
      <c r="V67" s="60">
        <v>12</v>
      </c>
      <c r="W67" s="60">
        <v>12</v>
      </c>
      <c r="X67" s="60">
        <v>12</v>
      </c>
      <c r="Y67" s="60">
        <v>12</v>
      </c>
    </row>
    <row r="68" spans="1:29" x14ac:dyDescent="0.25">
      <c r="A68" s="50" t="s">
        <v>462</v>
      </c>
      <c r="B68" s="60">
        <f>B60+B61</f>
        <v>12</v>
      </c>
      <c r="C68" s="60">
        <f t="shared" ref="C68:Y68" si="6">C60+C61</f>
        <v>12</v>
      </c>
      <c r="D68" s="60">
        <f t="shared" si="6"/>
        <v>14</v>
      </c>
      <c r="E68" s="60">
        <f t="shared" si="6"/>
        <v>15</v>
      </c>
      <c r="F68" s="60">
        <f t="shared" si="6"/>
        <v>17</v>
      </c>
      <c r="G68" s="60">
        <f t="shared" si="6"/>
        <v>20</v>
      </c>
      <c r="H68" s="60">
        <f t="shared" si="6"/>
        <v>21</v>
      </c>
      <c r="I68" s="60">
        <f t="shared" si="6"/>
        <v>23</v>
      </c>
      <c r="J68" s="60">
        <f t="shared" si="6"/>
        <v>24</v>
      </c>
      <c r="K68" s="60">
        <f t="shared" si="6"/>
        <v>24</v>
      </c>
      <c r="L68" s="60">
        <f t="shared" si="6"/>
        <v>24</v>
      </c>
      <c r="M68" s="60">
        <f t="shared" si="6"/>
        <v>24</v>
      </c>
      <c r="N68" s="60">
        <f t="shared" si="6"/>
        <v>24</v>
      </c>
      <c r="O68" s="60">
        <f t="shared" si="6"/>
        <v>24</v>
      </c>
      <c r="P68" s="60">
        <f t="shared" si="6"/>
        <v>24</v>
      </c>
      <c r="Q68" s="60">
        <f t="shared" si="6"/>
        <v>24</v>
      </c>
      <c r="R68" s="60">
        <f t="shared" si="6"/>
        <v>24</v>
      </c>
      <c r="S68" s="60">
        <f t="shared" si="6"/>
        <v>24</v>
      </c>
      <c r="T68" s="60">
        <f t="shared" si="6"/>
        <v>21</v>
      </c>
      <c r="U68" s="60">
        <f t="shared" si="6"/>
        <v>18</v>
      </c>
      <c r="V68" s="60">
        <f t="shared" si="6"/>
        <v>15</v>
      </c>
      <c r="W68" s="60">
        <f t="shared" si="6"/>
        <v>12</v>
      </c>
      <c r="X68" s="60">
        <f t="shared" si="6"/>
        <v>12</v>
      </c>
      <c r="Y68" s="60">
        <f t="shared" si="6"/>
        <v>12</v>
      </c>
    </row>
    <row r="69" spans="1:29" x14ac:dyDescent="0.25">
      <c r="A69" s="52" t="s">
        <v>459</v>
      </c>
      <c r="B69">
        <f>SUM(B66:B68)</f>
        <v>65</v>
      </c>
      <c r="C69">
        <f t="shared" ref="C69:Y69" si="7">SUM(C66:C68)</f>
        <v>65</v>
      </c>
      <c r="D69">
        <f t="shared" si="7"/>
        <v>67</v>
      </c>
      <c r="E69">
        <f t="shared" si="7"/>
        <v>68</v>
      </c>
      <c r="F69">
        <f t="shared" si="7"/>
        <v>70</v>
      </c>
      <c r="G69">
        <f t="shared" si="7"/>
        <v>73</v>
      </c>
      <c r="H69">
        <f t="shared" si="7"/>
        <v>74</v>
      </c>
      <c r="I69">
        <f t="shared" si="7"/>
        <v>76</v>
      </c>
      <c r="J69">
        <f t="shared" si="7"/>
        <v>77</v>
      </c>
      <c r="K69">
        <f t="shared" si="7"/>
        <v>77</v>
      </c>
      <c r="L69">
        <f t="shared" si="7"/>
        <v>77</v>
      </c>
      <c r="M69">
        <f t="shared" si="7"/>
        <v>77</v>
      </c>
      <c r="N69">
        <f t="shared" si="7"/>
        <v>77</v>
      </c>
      <c r="O69">
        <f t="shared" si="7"/>
        <v>77</v>
      </c>
      <c r="P69">
        <f t="shared" si="7"/>
        <v>77</v>
      </c>
      <c r="Q69">
        <f t="shared" si="7"/>
        <v>75</v>
      </c>
      <c r="R69">
        <f t="shared" si="7"/>
        <v>73</v>
      </c>
      <c r="S69">
        <f t="shared" si="7"/>
        <v>71</v>
      </c>
      <c r="T69">
        <f t="shared" si="7"/>
        <v>69</v>
      </c>
      <c r="U69">
        <f t="shared" si="7"/>
        <v>67</v>
      </c>
      <c r="V69">
        <f t="shared" si="7"/>
        <v>65</v>
      </c>
      <c r="W69">
        <f t="shared" si="7"/>
        <v>65</v>
      </c>
      <c r="X69">
        <f t="shared" si="7"/>
        <v>65</v>
      </c>
      <c r="Y69">
        <f t="shared" si="7"/>
        <v>65</v>
      </c>
    </row>
    <row r="71" spans="1:29" x14ac:dyDescent="0.25">
      <c r="A71" s="52" t="s">
        <v>460</v>
      </c>
    </row>
    <row r="72" spans="1:29" x14ac:dyDescent="0.25">
      <c r="A72" s="50" t="s">
        <v>437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0.85</v>
      </c>
      <c r="I72">
        <v>0.85</v>
      </c>
      <c r="J72">
        <v>0.85</v>
      </c>
      <c r="K72">
        <v>0.85</v>
      </c>
      <c r="L72">
        <v>0.85</v>
      </c>
      <c r="M72">
        <v>0.85</v>
      </c>
      <c r="N72">
        <v>0.85</v>
      </c>
      <c r="O72">
        <v>0.85</v>
      </c>
      <c r="P72">
        <v>0.85</v>
      </c>
      <c r="Q72">
        <v>0.85</v>
      </c>
      <c r="R72">
        <v>0.85</v>
      </c>
      <c r="S72">
        <v>0.85</v>
      </c>
      <c r="T72">
        <v>0.85</v>
      </c>
      <c r="U72">
        <v>1</v>
      </c>
      <c r="V72">
        <v>1</v>
      </c>
      <c r="W72">
        <v>1</v>
      </c>
      <c r="X72">
        <v>1</v>
      </c>
      <c r="Y72">
        <v>1</v>
      </c>
    </row>
    <row r="73" spans="1:29" x14ac:dyDescent="0.25">
      <c r="A73" s="50" t="s">
        <v>438</v>
      </c>
      <c r="B73">
        <v>0.8</v>
      </c>
      <c r="C73">
        <v>0.8</v>
      </c>
      <c r="D73">
        <v>0.8</v>
      </c>
      <c r="E73">
        <v>0.8</v>
      </c>
      <c r="F73">
        <v>0.8</v>
      </c>
      <c r="G73">
        <v>0.8</v>
      </c>
      <c r="H73">
        <v>0.8</v>
      </c>
      <c r="I73">
        <v>0.8</v>
      </c>
      <c r="J73">
        <v>0.8</v>
      </c>
      <c r="K73">
        <v>0.8</v>
      </c>
      <c r="L73">
        <v>0.8</v>
      </c>
      <c r="M73">
        <v>0.8</v>
      </c>
      <c r="N73">
        <v>0.8</v>
      </c>
      <c r="O73">
        <v>0.8</v>
      </c>
      <c r="P73">
        <v>0.8</v>
      </c>
      <c r="Q73">
        <v>0.8</v>
      </c>
      <c r="R73">
        <v>0.8</v>
      </c>
      <c r="S73">
        <v>0.8</v>
      </c>
      <c r="T73">
        <v>0.8</v>
      </c>
      <c r="U73">
        <v>0.8</v>
      </c>
      <c r="V73">
        <v>0.8</v>
      </c>
      <c r="W73">
        <v>0.8</v>
      </c>
      <c r="X73">
        <v>0.8</v>
      </c>
      <c r="Y73">
        <v>0.8</v>
      </c>
    </row>
    <row r="74" spans="1:29" x14ac:dyDescent="0.25">
      <c r="A74" s="50" t="s">
        <v>462</v>
      </c>
      <c r="B74">
        <f>(B60*0.6+B61*0.3)/B68</f>
        <v>0.6</v>
      </c>
      <c r="C74">
        <f t="shared" ref="C74:Y74" si="8">(C60*0.6+C61*0.3)/C68</f>
        <v>0.6</v>
      </c>
      <c r="D74">
        <f t="shared" si="8"/>
        <v>0.55714285714285705</v>
      </c>
      <c r="E74">
        <f t="shared" si="8"/>
        <v>0.53999999999999992</v>
      </c>
      <c r="F74">
        <f t="shared" si="8"/>
        <v>0.5117647058823529</v>
      </c>
      <c r="G74">
        <f t="shared" si="8"/>
        <v>0.48</v>
      </c>
      <c r="H74">
        <f t="shared" si="8"/>
        <v>0.47142857142857136</v>
      </c>
      <c r="I74">
        <f t="shared" si="8"/>
        <v>0.45652173913043476</v>
      </c>
      <c r="J74">
        <f t="shared" si="8"/>
        <v>0.44999999999999996</v>
      </c>
      <c r="K74">
        <f t="shared" si="8"/>
        <v>0.44999999999999996</v>
      </c>
      <c r="L74">
        <f t="shared" si="8"/>
        <v>0.44999999999999996</v>
      </c>
      <c r="M74">
        <f t="shared" si="8"/>
        <v>0.44999999999999996</v>
      </c>
      <c r="N74">
        <f t="shared" si="8"/>
        <v>0.44999999999999996</v>
      </c>
      <c r="O74">
        <f t="shared" si="8"/>
        <v>0.44999999999999996</v>
      </c>
      <c r="P74">
        <f t="shared" si="8"/>
        <v>0.44999999999999996</v>
      </c>
      <c r="Q74">
        <f t="shared" si="8"/>
        <v>0.44999999999999996</v>
      </c>
      <c r="R74">
        <f t="shared" si="8"/>
        <v>0.44999999999999996</v>
      </c>
      <c r="S74">
        <f t="shared" si="8"/>
        <v>0.44999999999999996</v>
      </c>
      <c r="T74">
        <f t="shared" si="8"/>
        <v>0.47142857142857136</v>
      </c>
      <c r="U74">
        <f t="shared" si="8"/>
        <v>0.5</v>
      </c>
      <c r="V74">
        <f t="shared" si="8"/>
        <v>0.53999999999999992</v>
      </c>
      <c r="W74">
        <f t="shared" si="8"/>
        <v>0.6</v>
      </c>
      <c r="X74">
        <f t="shared" si="8"/>
        <v>0.6</v>
      </c>
      <c r="Y74">
        <f t="shared" si="8"/>
        <v>0.6</v>
      </c>
    </row>
  </sheetData>
  <mergeCells count="24"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40:C40"/>
    <mergeCell ref="D40:E40"/>
    <mergeCell ref="F40:G40"/>
    <mergeCell ref="H40:I40"/>
    <mergeCell ref="J40:K40"/>
    <mergeCell ref="V40:W40"/>
    <mergeCell ref="X40:Y40"/>
    <mergeCell ref="L40:M40"/>
    <mergeCell ref="N40:O40"/>
    <mergeCell ref="P40:Q40"/>
    <mergeCell ref="R40:S40"/>
    <mergeCell ref="T40:U40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AO228"/>
  <sheetViews>
    <sheetView tabSelected="1" topLeftCell="I85" zoomScale="90" zoomScaleNormal="90" workbookViewId="0">
      <selection activeCell="K99" sqref="K99:K100"/>
    </sheetView>
  </sheetViews>
  <sheetFormatPr baseColWidth="10" defaultRowHeight="15" x14ac:dyDescent="0.25"/>
  <cols>
    <col min="1" max="8" width="0" hidden="1" customWidth="1"/>
    <col min="10" max="10" width="48.28515625" style="14" bestFit="1" customWidth="1"/>
    <col min="11" max="11" width="11.42578125" style="165"/>
    <col min="12" max="12" width="44.7109375" bestFit="1" customWidth="1"/>
  </cols>
  <sheetData>
    <row r="1" spans="10:22" x14ac:dyDescent="0.25">
      <c r="J1" s="14" t="s">
        <v>475</v>
      </c>
      <c r="K1" s="80" t="s">
        <v>1462</v>
      </c>
    </row>
    <row r="2" spans="10:22" x14ac:dyDescent="0.25">
      <c r="J2" s="14" t="s">
        <v>476</v>
      </c>
      <c r="K2" s="80" t="s">
        <v>477</v>
      </c>
      <c r="P2" s="14" t="s">
        <v>477</v>
      </c>
      <c r="R2">
        <v>0</v>
      </c>
      <c r="S2" t="s">
        <v>478</v>
      </c>
    </row>
    <row r="3" spans="10:22" x14ac:dyDescent="0.25">
      <c r="J3" s="14" t="s">
        <v>479</v>
      </c>
      <c r="K3" s="80"/>
      <c r="P3" s="14" t="s">
        <v>480</v>
      </c>
      <c r="R3">
        <v>1</v>
      </c>
      <c r="S3" t="s">
        <v>481</v>
      </c>
    </row>
    <row r="4" spans="10:22" x14ac:dyDescent="0.25">
      <c r="J4" s="14" t="s">
        <v>482</v>
      </c>
      <c r="K4" s="80">
        <v>1</v>
      </c>
      <c r="P4" s="14" t="s">
        <v>483</v>
      </c>
    </row>
    <row r="5" spans="10:22" x14ac:dyDescent="0.25">
      <c r="J5" s="14" t="s">
        <v>484</v>
      </c>
      <c r="K5" s="80">
        <v>0</v>
      </c>
      <c r="T5" t="s">
        <v>485</v>
      </c>
      <c r="V5" t="s">
        <v>486</v>
      </c>
    </row>
    <row r="6" spans="10:22" x14ac:dyDescent="0.25">
      <c r="J6" s="14" t="s">
        <v>487</v>
      </c>
      <c r="K6" s="80">
        <v>0</v>
      </c>
      <c r="P6" s="14">
        <v>1</v>
      </c>
      <c r="Q6" t="s">
        <v>488</v>
      </c>
      <c r="T6" s="14" t="s">
        <v>454</v>
      </c>
      <c r="V6" s="14" t="s">
        <v>489</v>
      </c>
    </row>
    <row r="7" spans="10:22" x14ac:dyDescent="0.25">
      <c r="P7" s="14">
        <v>2</v>
      </c>
      <c r="Q7" t="s">
        <v>490</v>
      </c>
      <c r="T7" s="14" t="s">
        <v>491</v>
      </c>
      <c r="V7" s="14" t="s">
        <v>492</v>
      </c>
    </row>
    <row r="8" spans="10:22" x14ac:dyDescent="0.25">
      <c r="J8" s="14" t="s">
        <v>493</v>
      </c>
      <c r="K8" s="80">
        <v>1</v>
      </c>
      <c r="P8" s="14">
        <v>3</v>
      </c>
      <c r="Q8" t="s">
        <v>494</v>
      </c>
      <c r="T8" s="14" t="s">
        <v>495</v>
      </c>
      <c r="V8" s="14" t="s">
        <v>496</v>
      </c>
    </row>
    <row r="9" spans="10:22" x14ac:dyDescent="0.25">
      <c r="J9" s="14" t="s">
        <v>497</v>
      </c>
      <c r="K9" s="80" t="s">
        <v>512</v>
      </c>
      <c r="P9" s="14">
        <v>4</v>
      </c>
      <c r="Q9" t="s">
        <v>498</v>
      </c>
      <c r="T9" s="14" t="s">
        <v>499</v>
      </c>
      <c r="V9" s="14" t="s">
        <v>500</v>
      </c>
    </row>
    <row r="10" spans="10:22" x14ac:dyDescent="0.25">
      <c r="J10" s="14" t="s">
        <v>501</v>
      </c>
      <c r="K10" s="168">
        <f>IF(K9="HM",1,IF(K9="M1",1,IF(K9="M2",1,0)))</f>
        <v>1</v>
      </c>
      <c r="P10" s="14">
        <v>5</v>
      </c>
      <c r="Q10" t="s">
        <v>502</v>
      </c>
      <c r="T10" s="14" t="s">
        <v>503</v>
      </c>
      <c r="V10" s="14" t="s">
        <v>504</v>
      </c>
    </row>
    <row r="11" spans="10:22" x14ac:dyDescent="0.25">
      <c r="J11" s="14" t="s">
        <v>505</v>
      </c>
      <c r="K11" s="168">
        <f>IF(K9=0,0,1)</f>
        <v>1</v>
      </c>
      <c r="P11" s="14"/>
      <c r="T11" s="14" t="s">
        <v>506</v>
      </c>
      <c r="V11" s="14" t="s">
        <v>507</v>
      </c>
    </row>
    <row r="12" spans="10:22" x14ac:dyDescent="0.25">
      <c r="J12" s="14" t="s">
        <v>508</v>
      </c>
      <c r="K12" s="80" t="s">
        <v>454</v>
      </c>
      <c r="P12" s="14"/>
      <c r="V12" s="14" t="s">
        <v>509</v>
      </c>
    </row>
    <row r="13" spans="10:22" x14ac:dyDescent="0.25">
      <c r="J13" s="14" t="s">
        <v>486</v>
      </c>
      <c r="K13" s="80" t="s">
        <v>492</v>
      </c>
      <c r="P13" s="14" t="s">
        <v>510</v>
      </c>
      <c r="Q13" t="s">
        <v>511</v>
      </c>
    </row>
    <row r="14" spans="10:22" x14ac:dyDescent="0.25">
      <c r="P14" s="14" t="s">
        <v>512</v>
      </c>
      <c r="Q14" t="s">
        <v>513</v>
      </c>
    </row>
    <row r="15" spans="10:22" x14ac:dyDescent="0.25">
      <c r="J15" s="14" t="s">
        <v>514</v>
      </c>
      <c r="K15"/>
      <c r="P15" s="14" t="s">
        <v>515</v>
      </c>
      <c r="Q15" t="s">
        <v>516</v>
      </c>
    </row>
    <row r="16" spans="10:22" x14ac:dyDescent="0.25">
      <c r="J16" s="32" t="s">
        <v>517</v>
      </c>
      <c r="K16" s="80">
        <v>0</v>
      </c>
      <c r="P16" s="14" t="s">
        <v>518</v>
      </c>
      <c r="Q16" t="s">
        <v>519</v>
      </c>
    </row>
    <row r="17" spans="10:29" x14ac:dyDescent="0.25">
      <c r="J17" s="14" t="s">
        <v>520</v>
      </c>
      <c r="K17" s="80">
        <v>0</v>
      </c>
      <c r="P17" s="14" t="s">
        <v>521</v>
      </c>
      <c r="Q17" t="s">
        <v>522</v>
      </c>
    </row>
    <row r="18" spans="10:29" x14ac:dyDescent="0.25">
      <c r="J18" s="14" t="s">
        <v>523</v>
      </c>
      <c r="K18" s="80">
        <v>50</v>
      </c>
      <c r="P18" s="14">
        <v>0</v>
      </c>
      <c r="Q18" t="s">
        <v>524</v>
      </c>
    </row>
    <row r="19" spans="10:29" x14ac:dyDescent="0.25">
      <c r="J19" s="14" t="s">
        <v>525</v>
      </c>
      <c r="K19" s="80"/>
    </row>
    <row r="20" spans="10:29" x14ac:dyDescent="0.25">
      <c r="J20" s="14" t="s">
        <v>526</v>
      </c>
      <c r="K20" s="80"/>
    </row>
    <row r="21" spans="10:29" x14ac:dyDescent="0.25">
      <c r="J21" s="14" t="s">
        <v>527</v>
      </c>
      <c r="K21" s="80"/>
    </row>
    <row r="22" spans="10:29" x14ac:dyDescent="0.25">
      <c r="S22" s="2" t="s">
        <v>528</v>
      </c>
      <c r="T22" s="2"/>
      <c r="U22" s="2"/>
    </row>
    <row r="23" spans="10:29" x14ac:dyDescent="0.25">
      <c r="T23" s="165" t="s">
        <v>529</v>
      </c>
      <c r="U23" s="165" t="s">
        <v>52</v>
      </c>
      <c r="V23" s="165" t="s">
        <v>530</v>
      </c>
      <c r="W23" s="165" t="s">
        <v>531</v>
      </c>
      <c r="X23" s="165" t="s">
        <v>532</v>
      </c>
      <c r="Y23" s="165" t="s">
        <v>533</v>
      </c>
      <c r="Z23" s="165" t="s">
        <v>534</v>
      </c>
      <c r="AA23" s="165" t="s">
        <v>535</v>
      </c>
      <c r="AB23" s="165" t="s">
        <v>536</v>
      </c>
      <c r="AC23" s="165" t="s">
        <v>537</v>
      </c>
    </row>
    <row r="24" spans="10:29" x14ac:dyDescent="0.25">
      <c r="S24" s="168">
        <v>1</v>
      </c>
      <c r="T24" s="168">
        <f>'Alim -Surf'!D34</f>
        <v>6</v>
      </c>
      <c r="U24" s="168">
        <f>'Alim -Surf'!E34</f>
        <v>2.7</v>
      </c>
      <c r="V24" s="168" t="str">
        <f>IF(T24=0,0,VLOOKUP(T24,[1]Cult!$A$7:$H$76,8))</f>
        <v>ME</v>
      </c>
      <c r="W24" s="168">
        <f>IF(V24="ME",U24,0)</f>
        <v>2.7</v>
      </c>
      <c r="X24" s="168">
        <f>IF($V24="MG",$U24,0)</f>
        <v>0</v>
      </c>
      <c r="Y24" s="168">
        <f>IF($V24="CR",$U24,0)</f>
        <v>0</v>
      </c>
      <c r="Z24" s="168">
        <f>IF($V24="OP",$U24,0)</f>
        <v>0</v>
      </c>
      <c r="AA24" s="168">
        <f>IF($V24="SJ",$U24,0)</f>
        <v>0</v>
      </c>
      <c r="AB24" s="168">
        <f>IF($V24="FL",$U24,0)</f>
        <v>0</v>
      </c>
      <c r="AC24" s="168">
        <f>IF($V24="AU",$U24,0)</f>
        <v>0</v>
      </c>
    </row>
    <row r="25" spans="10:29" x14ac:dyDescent="0.25">
      <c r="K25"/>
      <c r="S25" s="168">
        <v>2</v>
      </c>
      <c r="T25" s="168">
        <f>'Alim -Surf'!D35</f>
        <v>0</v>
      </c>
      <c r="U25" s="168">
        <f>'Alim -Surf'!E35</f>
        <v>0</v>
      </c>
      <c r="V25" s="168">
        <f>IF(T25=0,0,VLOOKUP(T25,[1]Cult!$A$7:$H$76,8))</f>
        <v>0</v>
      </c>
      <c r="W25" s="168">
        <f t="shared" ref="W25:W33" si="0">IF(V25="ME",U25,0)</f>
        <v>0</v>
      </c>
      <c r="X25" s="168">
        <f t="shared" ref="X25:X33" si="1">IF(V25="MG",U25,0)</f>
        <v>0</v>
      </c>
      <c r="Y25" s="168">
        <f t="shared" ref="Y25:Y33" si="2">IF($V25="CR",$U25,0)</f>
        <v>0</v>
      </c>
      <c r="Z25" s="168">
        <f t="shared" ref="Z25:Z33" si="3">IF($V25="OP",$U25,0)</f>
        <v>0</v>
      </c>
      <c r="AA25" s="168">
        <f t="shared" ref="AA25:AA33" si="4">IF($V25="SJ",$U25,0)</f>
        <v>0</v>
      </c>
      <c r="AB25" s="168">
        <f t="shared" ref="AB25:AB33" si="5">IF($V25="FL",$U25,0)</f>
        <v>0</v>
      </c>
      <c r="AC25" s="168">
        <f t="shared" ref="AC25:AC33" si="6">IF($V25="AU",$U25,0)</f>
        <v>0</v>
      </c>
    </row>
    <row r="26" spans="10:29" x14ac:dyDescent="0.25">
      <c r="K26"/>
      <c r="S26" s="168">
        <v>3</v>
      </c>
      <c r="T26" s="168">
        <f>'Alim -Surf'!D36</f>
        <v>0</v>
      </c>
      <c r="U26" s="168">
        <f>'Alim -Surf'!E36</f>
        <v>0</v>
      </c>
      <c r="V26" s="168">
        <f>IF(T26=0,0,VLOOKUP(T26,[1]Cult!$A$7:$H$76,8))</f>
        <v>0</v>
      </c>
      <c r="W26" s="168">
        <f t="shared" si="0"/>
        <v>0</v>
      </c>
      <c r="X26" s="168">
        <f t="shared" si="1"/>
        <v>0</v>
      </c>
      <c r="Y26" s="168">
        <f t="shared" si="2"/>
        <v>0</v>
      </c>
      <c r="Z26" s="168">
        <f t="shared" si="3"/>
        <v>0</v>
      </c>
      <c r="AA26" s="168">
        <f t="shared" si="4"/>
        <v>0</v>
      </c>
      <c r="AB26" s="168">
        <f t="shared" si="5"/>
        <v>0</v>
      </c>
      <c r="AC26" s="168">
        <f t="shared" si="6"/>
        <v>0</v>
      </c>
    </row>
    <row r="27" spans="10:29" x14ac:dyDescent="0.25">
      <c r="K27"/>
      <c r="M27" t="s">
        <v>538</v>
      </c>
      <c r="S27" s="168">
        <v>4</v>
      </c>
      <c r="T27" s="168">
        <f>'Alim -Surf'!D37</f>
        <v>0</v>
      </c>
      <c r="U27" s="168">
        <f>'Alim -Surf'!E37</f>
        <v>0</v>
      </c>
      <c r="V27" s="168">
        <f>IF(T27=0,0,VLOOKUP(T27,[1]Cult!$A$7:$H$76,8))</f>
        <v>0</v>
      </c>
      <c r="W27" s="168">
        <f t="shared" si="0"/>
        <v>0</v>
      </c>
      <c r="X27" s="168">
        <f t="shared" si="1"/>
        <v>0</v>
      </c>
      <c r="Y27" s="168">
        <f t="shared" si="2"/>
        <v>0</v>
      </c>
      <c r="Z27" s="168">
        <f t="shared" si="3"/>
        <v>0</v>
      </c>
      <c r="AA27" s="168">
        <f t="shared" si="4"/>
        <v>0</v>
      </c>
      <c r="AB27" s="168">
        <f t="shared" si="5"/>
        <v>0</v>
      </c>
      <c r="AC27" s="168">
        <f t="shared" si="6"/>
        <v>0</v>
      </c>
    </row>
    <row r="28" spans="10:29" x14ac:dyDescent="0.25">
      <c r="J28" s="14" t="s">
        <v>539</v>
      </c>
      <c r="K28" s="304">
        <v>21.08</v>
      </c>
      <c r="L28" t="s">
        <v>52</v>
      </c>
      <c r="M28" s="30">
        <f>U228</f>
        <v>21.58</v>
      </c>
      <c r="S28" s="168">
        <v>5</v>
      </c>
      <c r="T28" s="168">
        <f>'Alim -Surf'!D38</f>
        <v>0</v>
      </c>
      <c r="U28" s="168">
        <f>'Alim -Surf'!E38</f>
        <v>0</v>
      </c>
      <c r="V28" s="168">
        <f>IF(T28=0,0,VLOOKUP(T28,[1]Cult!$A$7:$H$76,8))</f>
        <v>0</v>
      </c>
      <c r="W28" s="168">
        <f t="shared" si="0"/>
        <v>0</v>
      </c>
      <c r="X28" s="168">
        <f t="shared" si="1"/>
        <v>0</v>
      </c>
      <c r="Y28" s="168">
        <f t="shared" si="2"/>
        <v>0</v>
      </c>
      <c r="Z28" s="168">
        <f t="shared" si="3"/>
        <v>0</v>
      </c>
      <c r="AA28" s="168">
        <f t="shared" si="4"/>
        <v>0</v>
      </c>
      <c r="AB28" s="168">
        <f t="shared" si="5"/>
        <v>0</v>
      </c>
      <c r="AC28" s="168">
        <f t="shared" si="6"/>
        <v>0</v>
      </c>
    </row>
    <row r="29" spans="10:29" x14ac:dyDescent="0.25">
      <c r="J29" s="14" t="s">
        <v>540</v>
      </c>
      <c r="K29" s="304">
        <v>3.42</v>
      </c>
      <c r="L29" t="s">
        <v>52</v>
      </c>
      <c r="M29" s="30">
        <f>V228</f>
        <v>4.42</v>
      </c>
      <c r="S29" s="168">
        <v>6</v>
      </c>
      <c r="T29" s="168">
        <f>'Alim -Surf'!D39</f>
        <v>0</v>
      </c>
      <c r="U29" s="168">
        <f>'Alim -Surf'!E39</f>
        <v>0</v>
      </c>
      <c r="V29" s="168">
        <f>IF(T29=0,0,VLOOKUP(T29,[1]Cult!$A$7:$H$76,8))</f>
        <v>0</v>
      </c>
      <c r="W29" s="168">
        <f t="shared" si="0"/>
        <v>0</v>
      </c>
      <c r="X29" s="168">
        <f t="shared" si="1"/>
        <v>0</v>
      </c>
      <c r="Y29" s="168">
        <f t="shared" si="2"/>
        <v>0</v>
      </c>
      <c r="Z29" s="168">
        <f t="shared" si="3"/>
        <v>0</v>
      </c>
      <c r="AA29" s="168">
        <f t="shared" si="4"/>
        <v>0</v>
      </c>
      <c r="AB29" s="168">
        <f t="shared" si="5"/>
        <v>0</v>
      </c>
      <c r="AC29" s="168">
        <f t="shared" si="6"/>
        <v>0</v>
      </c>
    </row>
    <row r="30" spans="10:29" x14ac:dyDescent="0.25">
      <c r="J30" s="14" t="s">
        <v>541</v>
      </c>
      <c r="K30" s="304">
        <v>0</v>
      </c>
      <c r="L30" t="s">
        <v>52</v>
      </c>
      <c r="M30" s="30">
        <f>W228</f>
        <v>0</v>
      </c>
      <c r="S30" s="168">
        <v>7</v>
      </c>
      <c r="T30" s="168">
        <f>'Alim -Surf'!D40</f>
        <v>0</v>
      </c>
      <c r="U30" s="168">
        <f>'Alim -Surf'!E40</f>
        <v>0</v>
      </c>
      <c r="V30" s="168">
        <f>IF(T30=0,0,VLOOKUP(T30,[1]Cult!$A$7:$H$76,8))</f>
        <v>0</v>
      </c>
      <c r="W30" s="168">
        <f t="shared" si="0"/>
        <v>0</v>
      </c>
      <c r="X30" s="168">
        <f t="shared" si="1"/>
        <v>0</v>
      </c>
      <c r="Y30" s="168">
        <f t="shared" si="2"/>
        <v>0</v>
      </c>
      <c r="Z30" s="168">
        <f t="shared" si="3"/>
        <v>0</v>
      </c>
      <c r="AA30" s="168">
        <f t="shared" si="4"/>
        <v>0</v>
      </c>
      <c r="AB30" s="168">
        <f t="shared" si="5"/>
        <v>0</v>
      </c>
      <c r="AC30" s="168">
        <f t="shared" si="6"/>
        <v>0</v>
      </c>
    </row>
    <row r="31" spans="10:29" x14ac:dyDescent="0.25">
      <c r="J31" s="14" t="s">
        <v>542</v>
      </c>
      <c r="K31" s="304">
        <v>10</v>
      </c>
      <c r="L31" t="s">
        <v>543</v>
      </c>
      <c r="S31" s="168">
        <v>8</v>
      </c>
      <c r="T31" s="168">
        <f>'Alim -Surf'!D41</f>
        <v>0</v>
      </c>
      <c r="U31" s="168">
        <f>'Alim -Surf'!E41</f>
        <v>0</v>
      </c>
      <c r="V31" s="168">
        <f>IF(T31=0,0,VLOOKUP(T31,[1]Cult!$A$7:$H$76,8))</f>
        <v>0</v>
      </c>
      <c r="W31" s="168">
        <f t="shared" si="0"/>
        <v>0</v>
      </c>
      <c r="X31" s="168">
        <f t="shared" si="1"/>
        <v>0</v>
      </c>
      <c r="Y31" s="168">
        <f t="shared" si="2"/>
        <v>0</v>
      </c>
      <c r="Z31" s="168">
        <f t="shared" si="3"/>
        <v>0</v>
      </c>
      <c r="AA31" s="168">
        <f t="shared" si="4"/>
        <v>0</v>
      </c>
      <c r="AB31" s="168">
        <f t="shared" si="5"/>
        <v>0</v>
      </c>
      <c r="AC31" s="168">
        <f t="shared" si="6"/>
        <v>0</v>
      </c>
    </row>
    <row r="32" spans="10:29" x14ac:dyDescent="0.25">
      <c r="J32" s="14" t="s">
        <v>544</v>
      </c>
      <c r="K32" s="168">
        <f>$AB$34</f>
        <v>0</v>
      </c>
      <c r="M32" t="s">
        <v>545</v>
      </c>
      <c r="S32" s="168">
        <v>9</v>
      </c>
      <c r="T32" s="168">
        <f>'Alim -Surf'!D42</f>
        <v>0</v>
      </c>
      <c r="U32" s="168">
        <f>'Alim -Surf'!E42</f>
        <v>0</v>
      </c>
      <c r="V32" s="168">
        <f>IF(T32=0,0,VLOOKUP(T32,[1]Cult!$A$7:$H$76,8))</f>
        <v>0</v>
      </c>
      <c r="W32" s="168">
        <f t="shared" si="0"/>
        <v>0</v>
      </c>
      <c r="X32" s="168">
        <f t="shared" si="1"/>
        <v>0</v>
      </c>
      <c r="Y32" s="168">
        <f t="shared" si="2"/>
        <v>0</v>
      </c>
      <c r="Z32" s="168">
        <f t="shared" si="3"/>
        <v>0</v>
      </c>
      <c r="AA32" s="168">
        <f t="shared" si="4"/>
        <v>0</v>
      </c>
      <c r="AB32" s="168">
        <f t="shared" si="5"/>
        <v>0</v>
      </c>
      <c r="AC32" s="168">
        <f t="shared" si="6"/>
        <v>0</v>
      </c>
    </row>
    <row r="33" spans="10:29" x14ac:dyDescent="0.25">
      <c r="J33" s="14" t="s">
        <v>546</v>
      </c>
      <c r="K33" s="168">
        <f>SUM($K$34:$K$39)</f>
        <v>2.7</v>
      </c>
      <c r="S33" s="168">
        <v>10</v>
      </c>
      <c r="T33" s="168">
        <f>'Alim -Surf'!D43</f>
        <v>0</v>
      </c>
      <c r="U33" s="168">
        <f>'Alim -Surf'!E43</f>
        <v>0</v>
      </c>
      <c r="V33" s="168">
        <f>IF(T33=0,0,VLOOKUP(T33,[1]Cult!$A$7:$H$76,8))</f>
        <v>0</v>
      </c>
      <c r="W33" s="168">
        <f t="shared" si="0"/>
        <v>0</v>
      </c>
      <c r="X33" s="168">
        <f t="shared" si="1"/>
        <v>0</v>
      </c>
      <c r="Y33" s="168">
        <f t="shared" si="2"/>
        <v>0</v>
      </c>
      <c r="Z33" s="168">
        <f t="shared" si="3"/>
        <v>0</v>
      </c>
      <c r="AA33" s="168">
        <f t="shared" si="4"/>
        <v>0</v>
      </c>
      <c r="AB33" s="168">
        <f t="shared" si="5"/>
        <v>0</v>
      </c>
      <c r="AC33" s="168">
        <f t="shared" si="6"/>
        <v>0</v>
      </c>
    </row>
    <row r="34" spans="10:29" x14ac:dyDescent="0.25">
      <c r="J34" s="14" t="s">
        <v>306</v>
      </c>
      <c r="K34" s="168">
        <f>$W$34</f>
        <v>2.7</v>
      </c>
      <c r="S34" s="62" t="s">
        <v>13</v>
      </c>
      <c r="T34" s="46"/>
      <c r="U34" s="62">
        <f>SUM(U24:U33)</f>
        <v>2.7</v>
      </c>
      <c r="V34" s="62"/>
      <c r="W34" s="62">
        <f t="shared" ref="W34:AA34" si="7">SUM(W24:W33)</f>
        <v>2.7</v>
      </c>
      <c r="X34" s="62">
        <f t="shared" si="7"/>
        <v>0</v>
      </c>
      <c r="Y34" s="62">
        <f t="shared" si="7"/>
        <v>0</v>
      </c>
      <c r="Z34" s="62">
        <f t="shared" si="7"/>
        <v>0</v>
      </c>
      <c r="AA34" s="62">
        <f t="shared" si="7"/>
        <v>0</v>
      </c>
      <c r="AB34" s="62">
        <f>SUM(AB24:AB33)</f>
        <v>0</v>
      </c>
      <c r="AC34" s="62">
        <f>SUM(AC24:AC33)</f>
        <v>0</v>
      </c>
    </row>
    <row r="35" spans="10:29" x14ac:dyDescent="0.25">
      <c r="J35" s="14" t="s">
        <v>547</v>
      </c>
      <c r="K35" s="168">
        <f>$X$34</f>
        <v>0</v>
      </c>
    </row>
    <row r="36" spans="10:29" x14ac:dyDescent="0.25">
      <c r="J36" s="14" t="s">
        <v>548</v>
      </c>
      <c r="K36" s="168">
        <f>$Y$34</f>
        <v>0</v>
      </c>
    </row>
    <row r="37" spans="10:29" x14ac:dyDescent="0.25">
      <c r="J37" s="14" t="s">
        <v>549</v>
      </c>
      <c r="K37" s="168">
        <f>$Z$34</f>
        <v>0</v>
      </c>
    </row>
    <row r="38" spans="10:29" x14ac:dyDescent="0.25">
      <c r="J38" s="14" t="s">
        <v>550</v>
      </c>
      <c r="K38" s="168">
        <f>$AA$34</f>
        <v>0</v>
      </c>
    </row>
    <row r="39" spans="10:29" x14ac:dyDescent="0.25">
      <c r="J39" s="14" t="s">
        <v>551</v>
      </c>
      <c r="K39" s="168">
        <f>$AC$34</f>
        <v>0</v>
      </c>
    </row>
    <row r="40" spans="10:29" x14ac:dyDescent="0.25">
      <c r="J40" s="14" t="s">
        <v>552</v>
      </c>
      <c r="K40" s="168">
        <f>AC228</f>
        <v>5</v>
      </c>
    </row>
    <row r="41" spans="10:29" x14ac:dyDescent="0.25">
      <c r="J41" s="14" t="s">
        <v>553</v>
      </c>
      <c r="K41" s="168">
        <f>AD228</f>
        <v>27.63</v>
      </c>
    </row>
    <row r="42" spans="10:29" x14ac:dyDescent="0.25">
      <c r="J42" s="14" t="s">
        <v>554</v>
      </c>
      <c r="K42" s="168">
        <f>AA228</f>
        <v>0</v>
      </c>
    </row>
    <row r="43" spans="10:29" x14ac:dyDescent="0.25">
      <c r="J43" s="14" t="s">
        <v>555</v>
      </c>
      <c r="K43" s="168">
        <f>M28*K31/100</f>
        <v>2.1579999999999999</v>
      </c>
    </row>
    <row r="45" spans="10:29" x14ac:dyDescent="0.25">
      <c r="K45"/>
    </row>
    <row r="46" spans="10:29" x14ac:dyDescent="0.25">
      <c r="K46"/>
    </row>
    <row r="47" spans="10:29" x14ac:dyDescent="0.25">
      <c r="K47"/>
    </row>
    <row r="48" spans="10:29" x14ac:dyDescent="0.25">
      <c r="J48" s="14" t="s">
        <v>1381</v>
      </c>
      <c r="K48" s="168">
        <f>+K33+K40+K41</f>
        <v>35.33</v>
      </c>
    </row>
    <row r="49" spans="10:16" x14ac:dyDescent="0.25">
      <c r="K49"/>
      <c r="M49" t="s">
        <v>1368</v>
      </c>
    </row>
    <row r="50" spans="10:16" x14ac:dyDescent="0.25">
      <c r="J50"/>
      <c r="K50"/>
      <c r="M50">
        <v>0</v>
      </c>
      <c r="N50" t="s">
        <v>478</v>
      </c>
    </row>
    <row r="51" spans="10:16" x14ac:dyDescent="0.25">
      <c r="J51" t="s">
        <v>1369</v>
      </c>
      <c r="K51" s="1"/>
      <c r="M51">
        <v>1</v>
      </c>
      <c r="N51" t="s">
        <v>481</v>
      </c>
    </row>
    <row r="52" spans="10:16" x14ac:dyDescent="0.25">
      <c r="J52" s="40" t="s">
        <v>556</v>
      </c>
      <c r="K52"/>
    </row>
    <row r="53" spans="10:16" x14ac:dyDescent="0.25">
      <c r="J53" s="14" t="s">
        <v>557</v>
      </c>
      <c r="K53" s="168" t="str">
        <f>Troupeau!B3</f>
        <v>BV</v>
      </c>
      <c r="L53" t="s">
        <v>1382</v>
      </c>
    </row>
    <row r="54" spans="10:16" x14ac:dyDescent="0.25">
      <c r="J54" s="14" t="s">
        <v>558</v>
      </c>
      <c r="K54" s="80">
        <v>0</v>
      </c>
      <c r="L54" s="30" t="str">
        <f>IF(COUNTIF(CdTrp1!B76:Y85,5)&gt;0, "OUI", "NON")</f>
        <v>NON</v>
      </c>
    </row>
    <row r="55" spans="10:16" x14ac:dyDescent="0.25">
      <c r="J55" s="14" t="s">
        <v>559</v>
      </c>
      <c r="K55" s="80">
        <v>0</v>
      </c>
    </row>
    <row r="56" spans="10:16" x14ac:dyDescent="0.25">
      <c r="J56" s="14" t="s">
        <v>560</v>
      </c>
      <c r="K56" s="169"/>
      <c r="N56" t="s">
        <v>561</v>
      </c>
      <c r="P56" t="s">
        <v>562</v>
      </c>
    </row>
    <row r="57" spans="10:16" x14ac:dyDescent="0.25">
      <c r="J57" s="14" t="s">
        <v>563</v>
      </c>
      <c r="K57" s="80"/>
      <c r="N57" t="s">
        <v>564</v>
      </c>
      <c r="P57" t="s">
        <v>565</v>
      </c>
    </row>
    <row r="58" spans="10:16" x14ac:dyDescent="0.25">
      <c r="J58" s="14" t="s">
        <v>566</v>
      </c>
      <c r="K58" s="1"/>
      <c r="P58" t="s">
        <v>567</v>
      </c>
    </row>
    <row r="59" spans="10:16" x14ac:dyDescent="0.25">
      <c r="J59" s="14" t="s">
        <v>568</v>
      </c>
      <c r="K59" s="1"/>
      <c r="P59" t="s">
        <v>569</v>
      </c>
    </row>
    <row r="60" spans="10:16" x14ac:dyDescent="0.25">
      <c r="K60" s="168">
        <f>Troupeau!C3</f>
        <v>0</v>
      </c>
      <c r="L60" t="s">
        <v>1383</v>
      </c>
      <c r="P60" t="s">
        <v>570</v>
      </c>
    </row>
    <row r="61" spans="10:16" x14ac:dyDescent="0.25">
      <c r="J61" s="14" t="s">
        <v>571</v>
      </c>
      <c r="K61" s="169"/>
      <c r="L61" s="30" t="str">
        <f>IF(COUNTIF(CdTrp2!B76:Y85,5)&gt;0, "OUI", "NON")</f>
        <v>NON</v>
      </c>
      <c r="P61" t="s">
        <v>572</v>
      </c>
    </row>
    <row r="62" spans="10:16" x14ac:dyDescent="0.25">
      <c r="J62" s="14" t="s">
        <v>573</v>
      </c>
      <c r="K62" s="80"/>
    </row>
    <row r="63" spans="10:16" x14ac:dyDescent="0.25">
      <c r="K63" s="14"/>
    </row>
    <row r="64" spans="10:16" x14ac:dyDescent="0.25">
      <c r="J64" s="14" t="s">
        <v>574</v>
      </c>
      <c r="K64" s="80"/>
    </row>
    <row r="65" spans="10:22" x14ac:dyDescent="0.25">
      <c r="K65" s="168">
        <f>Troupeau!D3</f>
        <v>0</v>
      </c>
      <c r="L65" t="s">
        <v>1384</v>
      </c>
    </row>
    <row r="66" spans="10:22" x14ac:dyDescent="0.25">
      <c r="J66" s="14" t="s">
        <v>575</v>
      </c>
      <c r="K66" s="80"/>
      <c r="L66" s="30" t="str">
        <f>IF(COUNTIF(CdTrp3!B76:Y85,5)&gt;0, "OUI", "NON")</f>
        <v>NON</v>
      </c>
    </row>
    <row r="67" spans="10:22" x14ac:dyDescent="0.25">
      <c r="J67" s="14" t="s">
        <v>576</v>
      </c>
      <c r="K67" s="80"/>
    </row>
    <row r="68" spans="10:22" x14ac:dyDescent="0.25">
      <c r="K68" s="14"/>
    </row>
    <row r="69" spans="10:22" x14ac:dyDescent="0.25">
      <c r="J69" s="14" t="s">
        <v>577</v>
      </c>
      <c r="K69" s="80"/>
    </row>
    <row r="70" spans="10:22" x14ac:dyDescent="0.25">
      <c r="J70" s="14" t="s">
        <v>578</v>
      </c>
      <c r="K70" s="168">
        <f>IF(K53="OL",0,K54*K55)</f>
        <v>0</v>
      </c>
    </row>
    <row r="71" spans="10:22" x14ac:dyDescent="0.25">
      <c r="J71" s="14" t="s">
        <v>579</v>
      </c>
      <c r="K71" s="168">
        <f>IF(K60="OL",0,K61*K62)</f>
        <v>0</v>
      </c>
    </row>
    <row r="72" spans="10:22" x14ac:dyDescent="0.25">
      <c r="J72" s="14" t="s">
        <v>580</v>
      </c>
      <c r="K72" s="168">
        <f>IF(K65="OL",0,K66*K67)</f>
        <v>0</v>
      </c>
    </row>
    <row r="73" spans="10:22" x14ac:dyDescent="0.25">
      <c r="J73" s="14" t="s">
        <v>581</v>
      </c>
      <c r="K73" s="168">
        <f>SUM(K70:K72)</f>
        <v>0</v>
      </c>
    </row>
    <row r="74" spans="10:22" x14ac:dyDescent="0.25">
      <c r="J74" s="40" t="s">
        <v>582</v>
      </c>
      <c r="K74"/>
    </row>
    <row r="75" spans="10:22" x14ac:dyDescent="0.25">
      <c r="J75" s="14" t="s">
        <v>557</v>
      </c>
      <c r="K75" s="168" t="str">
        <f>Troupeau!B3</f>
        <v>BV</v>
      </c>
      <c r="L75" t="s">
        <v>1385</v>
      </c>
      <c r="R75">
        <v>0</v>
      </c>
      <c r="S75" t="s">
        <v>583</v>
      </c>
      <c r="V75" s="14" t="s">
        <v>584</v>
      </c>
    </row>
    <row r="76" spans="10:22" x14ac:dyDescent="0.25">
      <c r="J76" s="14" t="s">
        <v>585</v>
      </c>
      <c r="K76" s="80"/>
      <c r="L76" s="30" t="str">
        <f>IF(COUNTIF(CdTrp1!B76:Y85,4)&gt;0, "OUI", "NON")</f>
        <v>NON</v>
      </c>
      <c r="R76">
        <v>1</v>
      </c>
      <c r="U76">
        <v>1</v>
      </c>
      <c r="V76" t="s">
        <v>1361</v>
      </c>
    </row>
    <row r="77" spans="10:22" x14ac:dyDescent="0.25">
      <c r="J77" s="14" t="s">
        <v>586</v>
      </c>
      <c r="K77" s="80"/>
      <c r="R77">
        <v>2</v>
      </c>
      <c r="U77">
        <v>2</v>
      </c>
      <c r="V77" t="s">
        <v>587</v>
      </c>
    </row>
    <row r="78" spans="10:22" x14ac:dyDescent="0.25">
      <c r="J78" s="14" t="s">
        <v>588</v>
      </c>
      <c r="K78" s="168">
        <f>Troupeau!C3</f>
        <v>0</v>
      </c>
      <c r="L78" t="s">
        <v>1386</v>
      </c>
      <c r="R78">
        <v>3</v>
      </c>
    </row>
    <row r="79" spans="10:22" x14ac:dyDescent="0.25">
      <c r="J79" s="14" t="s">
        <v>589</v>
      </c>
      <c r="K79" s="80"/>
      <c r="L79" s="30" t="str">
        <f>IF(COUNTIF(CdTrp2!B76:Y85,4)&gt;0, "OUI", "NON")</f>
        <v>NON</v>
      </c>
      <c r="R79">
        <v>4</v>
      </c>
    </row>
    <row r="80" spans="10:22" x14ac:dyDescent="0.25">
      <c r="J80" s="14" t="s">
        <v>590</v>
      </c>
      <c r="K80" s="80"/>
      <c r="R80">
        <v>5</v>
      </c>
    </row>
    <row r="81" spans="9:21" x14ac:dyDescent="0.25">
      <c r="J81" s="14" t="s">
        <v>721</v>
      </c>
      <c r="K81" s="168">
        <f>Troupeau!D3</f>
        <v>0</v>
      </c>
      <c r="L81" t="s">
        <v>1387</v>
      </c>
      <c r="U81" s="43" t="s">
        <v>593</v>
      </c>
    </row>
    <row r="82" spans="9:21" x14ac:dyDescent="0.25">
      <c r="J82" s="14" t="s">
        <v>591</v>
      </c>
      <c r="K82" s="80"/>
      <c r="L82" s="30" t="str">
        <f>IF(COUNTIF(CdTrp3!B76:Y85,4)&gt;0, "OUI", "NON")</f>
        <v>NON</v>
      </c>
      <c r="Q82" s="43" t="s">
        <v>592</v>
      </c>
      <c r="T82">
        <v>0</v>
      </c>
      <c r="U82" t="s">
        <v>603</v>
      </c>
    </row>
    <row r="83" spans="9:21" x14ac:dyDescent="0.25">
      <c r="J83" s="14" t="s">
        <v>594</v>
      </c>
      <c r="K83" s="80"/>
      <c r="P83">
        <v>1</v>
      </c>
      <c r="Q83" t="s">
        <v>595</v>
      </c>
      <c r="T83">
        <v>1</v>
      </c>
      <c r="U83" t="s">
        <v>596</v>
      </c>
    </row>
    <row r="84" spans="9:21" x14ac:dyDescent="0.25">
      <c r="J84" s="40" t="s">
        <v>584</v>
      </c>
      <c r="K84" s="170"/>
      <c r="L84" t="s">
        <v>597</v>
      </c>
      <c r="P84">
        <v>2</v>
      </c>
      <c r="Q84" t="s">
        <v>598</v>
      </c>
      <c r="T84">
        <v>2</v>
      </c>
      <c r="U84" t="s">
        <v>599</v>
      </c>
    </row>
    <row r="85" spans="9:21" x14ac:dyDescent="0.25">
      <c r="K85"/>
      <c r="Q85" s="43" t="s">
        <v>600</v>
      </c>
    </row>
    <row r="86" spans="9:21" x14ac:dyDescent="0.25">
      <c r="J86" s="40" t="s">
        <v>601</v>
      </c>
      <c r="P86">
        <v>1</v>
      </c>
      <c r="Q86" t="s">
        <v>602</v>
      </c>
      <c r="T86">
        <v>1</v>
      </c>
      <c r="U86" t="s">
        <v>603</v>
      </c>
    </row>
    <row r="87" spans="9:21" x14ac:dyDescent="0.25">
      <c r="J87" s="14" t="s">
        <v>604</v>
      </c>
      <c r="K87" s="80">
        <v>4</v>
      </c>
      <c r="P87">
        <v>2</v>
      </c>
      <c r="Q87" t="s">
        <v>605</v>
      </c>
      <c r="T87">
        <v>2</v>
      </c>
      <c r="U87" t="s">
        <v>606</v>
      </c>
    </row>
    <row r="88" spans="9:21" x14ac:dyDescent="0.25">
      <c r="J88" s="14" t="s">
        <v>592</v>
      </c>
      <c r="K88" s="80"/>
      <c r="P88">
        <v>3</v>
      </c>
      <c r="Q88" t="s">
        <v>607</v>
      </c>
      <c r="T88">
        <v>3</v>
      </c>
      <c r="U88" t="s">
        <v>608</v>
      </c>
    </row>
    <row r="89" spans="9:21" x14ac:dyDescent="0.25">
      <c r="J89" s="14" t="s">
        <v>1362</v>
      </c>
      <c r="K89" s="80"/>
      <c r="T89">
        <v>4</v>
      </c>
      <c r="U89" t="s">
        <v>610</v>
      </c>
    </row>
    <row r="90" spans="9:21" x14ac:dyDescent="0.25">
      <c r="J90" s="14" t="s">
        <v>609</v>
      </c>
      <c r="K90" s="80"/>
    </row>
    <row r="91" spans="9:21" x14ac:dyDescent="0.25">
      <c r="J91" s="14" t="s">
        <v>593</v>
      </c>
      <c r="K91" s="80"/>
    </row>
    <row r="92" spans="9:21" x14ac:dyDescent="0.25">
      <c r="J92" s="32"/>
      <c r="K92" s="282"/>
    </row>
    <row r="93" spans="9:21" x14ac:dyDescent="0.25">
      <c r="J93" s="14" t="s">
        <v>612</v>
      </c>
      <c r="K93" s="80"/>
    </row>
    <row r="94" spans="9:21" x14ac:dyDescent="0.25">
      <c r="J94" s="14" t="s">
        <v>613</v>
      </c>
      <c r="K94" s="80"/>
      <c r="L94" t="s">
        <v>614</v>
      </c>
    </row>
    <row r="95" spans="9:21" x14ac:dyDescent="0.25">
      <c r="J95" s="14" t="s">
        <v>615</v>
      </c>
      <c r="L95" t="s">
        <v>616</v>
      </c>
      <c r="Q95" t="s">
        <v>617</v>
      </c>
    </row>
    <row r="96" spans="9:21" x14ac:dyDescent="0.25">
      <c r="I96" t="s">
        <v>618</v>
      </c>
      <c r="J96" s="14" t="s">
        <v>227</v>
      </c>
      <c r="K96" s="80" t="s">
        <v>619</v>
      </c>
      <c r="L96" s="30" t="str">
        <f>CdTrp1!A15</f>
        <v xml:space="preserve">Vaches </v>
      </c>
      <c r="Q96" t="s">
        <v>619</v>
      </c>
    </row>
    <row r="97" spans="9:17" x14ac:dyDescent="0.25">
      <c r="J97" s="14" t="s">
        <v>156</v>
      </c>
      <c r="K97" s="80" t="s">
        <v>620</v>
      </c>
      <c r="L97" s="30" t="str">
        <f>CdTrp1!A16</f>
        <v>Génisses 24 mois</v>
      </c>
      <c r="Q97" t="s">
        <v>620</v>
      </c>
    </row>
    <row r="98" spans="9:17" x14ac:dyDescent="0.25">
      <c r="J98" s="14" t="s">
        <v>157</v>
      </c>
      <c r="K98" s="80" t="s">
        <v>620</v>
      </c>
      <c r="L98" s="30" t="str">
        <f>CdTrp1!A17</f>
        <v>Génisses jeunes</v>
      </c>
    </row>
    <row r="99" spans="9:17" x14ac:dyDescent="0.25">
      <c r="J99" s="14" t="s">
        <v>158</v>
      </c>
      <c r="K99" s="80" t="s">
        <v>619</v>
      </c>
      <c r="L99" s="30" t="str">
        <f>CdTrp1!A18</f>
        <v>broutards</v>
      </c>
    </row>
    <row r="100" spans="9:17" x14ac:dyDescent="0.25">
      <c r="J100" s="14" t="s">
        <v>159</v>
      </c>
      <c r="K100" s="80" t="s">
        <v>619</v>
      </c>
      <c r="L100" s="30" t="str">
        <f>CdTrp1!A19</f>
        <v>génisses &lt; 1 an</v>
      </c>
    </row>
    <row r="101" spans="9:17" x14ac:dyDescent="0.25">
      <c r="J101" s="14" t="s">
        <v>160</v>
      </c>
      <c r="K101" s="80"/>
      <c r="L101" s="30" t="str">
        <f>CdTrp1!A20</f>
        <v>lot6</v>
      </c>
    </row>
    <row r="102" spans="9:17" x14ac:dyDescent="0.25">
      <c r="J102" s="14" t="s">
        <v>161</v>
      </c>
      <c r="K102" s="80"/>
      <c r="L102" s="30" t="str">
        <f>CdTrp1!A21</f>
        <v>lot7</v>
      </c>
    </row>
    <row r="103" spans="9:17" x14ac:dyDescent="0.25">
      <c r="J103" s="14" t="s">
        <v>162</v>
      </c>
      <c r="K103" s="80"/>
      <c r="L103" s="30" t="str">
        <f>CdTrp1!A22</f>
        <v>lot8</v>
      </c>
    </row>
    <row r="104" spans="9:17" x14ac:dyDescent="0.25">
      <c r="J104" s="14" t="s">
        <v>163</v>
      </c>
      <c r="K104" s="80"/>
      <c r="L104" s="30" t="str">
        <f>CdTrp1!A23</f>
        <v>lot9</v>
      </c>
    </row>
    <row r="105" spans="9:17" x14ac:dyDescent="0.25">
      <c r="J105" s="14" t="s">
        <v>164</v>
      </c>
      <c r="K105" s="80"/>
      <c r="L105" s="30" t="str">
        <f>CdTrp1!A24</f>
        <v>lot10</v>
      </c>
    </row>
    <row r="106" spans="9:17" x14ac:dyDescent="0.25">
      <c r="I106" t="s">
        <v>621</v>
      </c>
      <c r="J106" s="14" t="s">
        <v>227</v>
      </c>
      <c r="K106" s="80"/>
      <c r="L106" s="30" t="str">
        <f>CdTrp2!A15</f>
        <v>lot1</v>
      </c>
    </row>
    <row r="107" spans="9:17" x14ac:dyDescent="0.25">
      <c r="J107" s="14" t="s">
        <v>156</v>
      </c>
      <c r="K107" s="80"/>
      <c r="L107" s="30" t="str">
        <f>CdTrp2!A16</f>
        <v>lot2</v>
      </c>
    </row>
    <row r="108" spans="9:17" x14ac:dyDescent="0.25">
      <c r="J108" s="14" t="s">
        <v>157</v>
      </c>
      <c r="K108" s="80"/>
      <c r="L108" s="30" t="str">
        <f>CdTrp2!A17</f>
        <v>lot3</v>
      </c>
    </row>
    <row r="109" spans="9:17" x14ac:dyDescent="0.25">
      <c r="J109" s="14" t="s">
        <v>158</v>
      </c>
      <c r="K109" s="80"/>
      <c r="L109" s="30" t="str">
        <f>CdTrp2!A18</f>
        <v>lot4</v>
      </c>
    </row>
    <row r="110" spans="9:17" x14ac:dyDescent="0.25">
      <c r="J110" s="14" t="s">
        <v>159</v>
      </c>
      <c r="K110" s="80"/>
      <c r="L110" s="30" t="str">
        <f>CdTrp2!A19</f>
        <v>lot5</v>
      </c>
    </row>
    <row r="111" spans="9:17" x14ac:dyDescent="0.25">
      <c r="J111" s="14" t="s">
        <v>160</v>
      </c>
      <c r="K111" s="80"/>
      <c r="L111" s="30" t="str">
        <f>CdTrp2!A20</f>
        <v>lot6</v>
      </c>
    </row>
    <row r="112" spans="9:17" x14ac:dyDescent="0.25">
      <c r="J112" s="14" t="s">
        <v>161</v>
      </c>
      <c r="K112" s="80"/>
      <c r="L112" s="30" t="str">
        <f>CdTrp2!A21</f>
        <v>lot7</v>
      </c>
    </row>
    <row r="113" spans="9:12" x14ac:dyDescent="0.25">
      <c r="J113" s="14" t="s">
        <v>162</v>
      </c>
      <c r="K113" s="80"/>
      <c r="L113" s="30" t="str">
        <f>CdTrp2!A22</f>
        <v>lot8</v>
      </c>
    </row>
    <row r="114" spans="9:12" x14ac:dyDescent="0.25">
      <c r="J114" s="14" t="s">
        <v>163</v>
      </c>
      <c r="K114" s="80"/>
      <c r="L114" s="30" t="str">
        <f>CdTrp2!A23</f>
        <v>lot9</v>
      </c>
    </row>
    <row r="115" spans="9:12" x14ac:dyDescent="0.25">
      <c r="J115" s="14" t="s">
        <v>164</v>
      </c>
      <c r="K115" s="80"/>
      <c r="L115" s="30" t="str">
        <f>CdTrp2!A24</f>
        <v>lot10</v>
      </c>
    </row>
    <row r="116" spans="9:12" x14ac:dyDescent="0.25">
      <c r="I116" t="s">
        <v>622</v>
      </c>
      <c r="J116" s="14" t="s">
        <v>227</v>
      </c>
      <c r="K116" s="80"/>
      <c r="L116" s="30" t="str">
        <f>CdTrp3!A15</f>
        <v>lot1</v>
      </c>
    </row>
    <row r="117" spans="9:12" x14ac:dyDescent="0.25">
      <c r="J117" s="14" t="s">
        <v>156</v>
      </c>
      <c r="K117" s="80"/>
      <c r="L117" s="30" t="str">
        <f>CdTrp3!A16</f>
        <v>lot2</v>
      </c>
    </row>
    <row r="118" spans="9:12" x14ac:dyDescent="0.25">
      <c r="J118" s="14" t="s">
        <v>157</v>
      </c>
      <c r="K118" s="80"/>
      <c r="L118" s="30" t="str">
        <f>CdTrp3!A17</f>
        <v>lot3</v>
      </c>
    </row>
    <row r="119" spans="9:12" x14ac:dyDescent="0.25">
      <c r="J119" s="14" t="s">
        <v>158</v>
      </c>
      <c r="K119" s="80"/>
      <c r="L119" s="30" t="str">
        <f>CdTrp3!A18</f>
        <v>lot4</v>
      </c>
    </row>
    <row r="120" spans="9:12" x14ac:dyDescent="0.25">
      <c r="J120" s="14" t="s">
        <v>159</v>
      </c>
      <c r="K120" s="80"/>
      <c r="L120" s="30" t="str">
        <f>CdTrp3!A19</f>
        <v>lot5</v>
      </c>
    </row>
    <row r="121" spans="9:12" x14ac:dyDescent="0.25">
      <c r="J121" s="14" t="s">
        <v>160</v>
      </c>
      <c r="K121" s="80"/>
      <c r="L121" s="30" t="str">
        <f>CdTrp3!A20</f>
        <v>lot6</v>
      </c>
    </row>
    <row r="122" spans="9:12" x14ac:dyDescent="0.25">
      <c r="J122" s="14" t="s">
        <v>161</v>
      </c>
      <c r="K122" s="80"/>
      <c r="L122" s="30" t="str">
        <f>CdTrp3!A21</f>
        <v>lot7</v>
      </c>
    </row>
    <row r="123" spans="9:12" x14ac:dyDescent="0.25">
      <c r="J123" s="14" t="s">
        <v>162</v>
      </c>
      <c r="K123" s="80"/>
      <c r="L123" s="30" t="str">
        <f>CdTrp3!A22</f>
        <v>lot8</v>
      </c>
    </row>
    <row r="124" spans="9:12" x14ac:dyDescent="0.25">
      <c r="J124" s="14" t="s">
        <v>163</v>
      </c>
      <c r="K124" s="80"/>
      <c r="L124" s="30" t="str">
        <f>CdTrp3!A23</f>
        <v>lot9</v>
      </c>
    </row>
    <row r="125" spans="9:12" x14ac:dyDescent="0.25">
      <c r="J125" s="14" t="s">
        <v>164</v>
      </c>
      <c r="K125" s="80"/>
      <c r="L125" s="30" t="str">
        <f>CdTrp3!A24</f>
        <v>lot10</v>
      </c>
    </row>
    <row r="127" spans="9:12" x14ac:dyDescent="0.25">
      <c r="J127" s="14" t="s">
        <v>623</v>
      </c>
      <c r="K127" s="80"/>
      <c r="L127" t="s">
        <v>1370</v>
      </c>
    </row>
    <row r="128" spans="9:12" x14ac:dyDescent="0.25">
      <c r="K128"/>
    </row>
    <row r="129" spans="10:15" x14ac:dyDescent="0.25">
      <c r="J129" s="14" t="s">
        <v>624</v>
      </c>
      <c r="K129" s="80"/>
      <c r="L129" t="s">
        <v>1371</v>
      </c>
      <c r="N129">
        <v>0</v>
      </c>
      <c r="O129" t="s">
        <v>625</v>
      </c>
    </row>
    <row r="130" spans="10:15" x14ac:dyDescent="0.25">
      <c r="J130"/>
      <c r="K130"/>
      <c r="N130">
        <v>1</v>
      </c>
      <c r="O130" t="s">
        <v>626</v>
      </c>
    </row>
    <row r="161" spans="17:41" x14ac:dyDescent="0.25">
      <c r="R161" s="2" t="s">
        <v>627</v>
      </c>
      <c r="X161" s="166"/>
      <c r="Y161" s="166"/>
      <c r="AL161" s="5"/>
    </row>
    <row r="162" spans="17:41" x14ac:dyDescent="0.25">
      <c r="R162" s="33" t="str">
        <f>'Alim -Surf'!Q5</f>
        <v>n°</v>
      </c>
      <c r="S162" s="33"/>
      <c r="T162" s="33"/>
      <c r="V162" s="165"/>
      <c r="W162" s="165"/>
      <c r="X162" s="166"/>
      <c r="Y162" s="166"/>
      <c r="AL162" s="5"/>
    </row>
    <row r="163" spans="17:41" x14ac:dyDescent="0.25">
      <c r="R163" s="33" t="str">
        <f>'Alim -Surf'!Q6</f>
        <v>MEP</v>
      </c>
      <c r="S163" s="33" t="s">
        <v>37</v>
      </c>
      <c r="T163" s="33" t="s">
        <v>628</v>
      </c>
      <c r="U163" t="s">
        <v>629</v>
      </c>
      <c r="V163" s="165" t="s">
        <v>630</v>
      </c>
      <c r="W163" s="165" t="s">
        <v>631</v>
      </c>
      <c r="X163" s="166" t="s">
        <v>632</v>
      </c>
      <c r="Y163" s="166" t="s">
        <v>633</v>
      </c>
      <c r="Z163" s="166" t="s">
        <v>634</v>
      </c>
      <c r="AA163" s="166" t="s">
        <v>635</v>
      </c>
      <c r="AB163" s="166" t="s">
        <v>636</v>
      </c>
      <c r="AC163" s="166" t="s">
        <v>637</v>
      </c>
      <c r="AD163" s="166" t="s">
        <v>638</v>
      </c>
      <c r="AE163" s="166" t="s">
        <v>639</v>
      </c>
      <c r="AF163" s="166" t="s">
        <v>640</v>
      </c>
      <c r="AG163" s="166" t="s">
        <v>641</v>
      </c>
      <c r="AH163" s="166" t="s">
        <v>642</v>
      </c>
      <c r="AI163" s="166" t="s">
        <v>643</v>
      </c>
      <c r="AJ163" s="166" t="s">
        <v>644</v>
      </c>
      <c r="AL163" s="5"/>
    </row>
    <row r="164" spans="17:41" x14ac:dyDescent="0.25">
      <c r="Q164">
        <v>1</v>
      </c>
      <c r="R164" s="168">
        <f>'Alim -Surf'!Q7</f>
        <v>88</v>
      </c>
      <c r="S164" s="168">
        <f>'Alim -Surf'!R7</f>
        <v>5</v>
      </c>
      <c r="T164" s="168">
        <f>VLOOKUP($R164,[1]MEP!$A$4:$M$300,13)</f>
        <v>1</v>
      </c>
      <c r="U164" s="168">
        <f>IF($T164&gt;0,$S164,0)</f>
        <v>5</v>
      </c>
      <c r="V164" s="168">
        <f>IF($T164&gt;1,$S164,0)</f>
        <v>0</v>
      </c>
      <c r="W164" s="168">
        <f>IF($T164&gt;2,$S164,0)</f>
        <v>0</v>
      </c>
      <c r="X164" s="168">
        <f>VLOOKUP(R164,[1]MEP!$A$4:$Q$300,14)</f>
        <v>0</v>
      </c>
      <c r="Y164" s="168">
        <f>VLOOKUP(R164,[1]MEP!$A$4:$R$300,15)</f>
        <v>0</v>
      </c>
      <c r="Z164" s="168">
        <f>VLOOKUP(R164,[1]MEP!$A$4:$R$300,16)</f>
        <v>1</v>
      </c>
      <c r="AA164" s="168">
        <f t="shared" ref="AA164:AA207" si="8">S164*X164</f>
        <v>0</v>
      </c>
      <c r="AB164" s="168">
        <f t="shared" ref="AB164:AB207" si="9">S164*Y164</f>
        <v>0</v>
      </c>
      <c r="AC164" s="168">
        <f>Z164*S164</f>
        <v>5</v>
      </c>
      <c r="AD164" s="168">
        <f>S164-AC164-AA164</f>
        <v>0</v>
      </c>
      <c r="AE164" s="168">
        <f>IF(T164=0,AC164,0)</f>
        <v>0</v>
      </c>
      <c r="AF164" s="168">
        <f>IF(T164=1,AC164,0)</f>
        <v>5</v>
      </c>
      <c r="AG164" s="168">
        <f>IF(T164&gt;1,AC164,0)</f>
        <v>0</v>
      </c>
      <c r="AH164" s="168">
        <f>IF(T164=0,AD164,0)</f>
        <v>0</v>
      </c>
      <c r="AI164" s="168">
        <f>IF(T164=1,AD164,0)</f>
        <v>0</v>
      </c>
      <c r="AJ164" s="168">
        <f>IF(T164&gt;1,AD164,0)</f>
        <v>0</v>
      </c>
      <c r="AL164" s="5"/>
      <c r="AO164" s="165" t="s">
        <v>52</v>
      </c>
    </row>
    <row r="165" spans="17:41" x14ac:dyDescent="0.25">
      <c r="Q165">
        <v>2</v>
      </c>
      <c r="R165" s="168">
        <f>'Alim -Surf'!Q8</f>
        <v>78</v>
      </c>
      <c r="S165" s="168">
        <f>'Alim -Surf'!R8</f>
        <v>5.66</v>
      </c>
      <c r="T165" s="168">
        <f>VLOOKUP(R165,[1]MEP!$A$4:$M$300,13)</f>
        <v>1</v>
      </c>
      <c r="U165" s="168">
        <f t="shared" ref="U165:U207" si="10">IF($T165&gt;0,$S165,0)</f>
        <v>5.66</v>
      </c>
      <c r="V165" s="168">
        <f t="shared" ref="V165:V207" si="11">IF($T165&gt;1,$S165,0)</f>
        <v>0</v>
      </c>
      <c r="W165" s="168">
        <f t="shared" ref="W165:W207" si="12">IF($T165&gt;2,$S165,0)</f>
        <v>0</v>
      </c>
      <c r="X165" s="168">
        <f>VLOOKUP(R165,[1]MEP!$A$4:$Q$300,14)</f>
        <v>0</v>
      </c>
      <c r="Y165" s="168">
        <f>VLOOKUP(R165,[1]MEP!$A$4:$R$300,15)</f>
        <v>0</v>
      </c>
      <c r="Z165" s="168">
        <f>VLOOKUP(R165,[1]MEP!$A$4:$R$300,16)</f>
        <v>0</v>
      </c>
      <c r="AA165" s="168">
        <f t="shared" si="8"/>
        <v>0</v>
      </c>
      <c r="AB165" s="168">
        <f t="shared" si="9"/>
        <v>0</v>
      </c>
      <c r="AC165" s="168">
        <f t="shared" ref="AC165:AC207" si="13">Z165*S165</f>
        <v>0</v>
      </c>
      <c r="AD165" s="168">
        <f t="shared" ref="AD165:AD207" si="14">S165-AC165-AA165</f>
        <v>5.66</v>
      </c>
      <c r="AE165" s="168">
        <f t="shared" ref="AE165:AE207" si="15">IF(T165=0,AC165,0)</f>
        <v>0</v>
      </c>
      <c r="AF165" s="168">
        <f t="shared" ref="AF165:AF207" si="16">IF(T165=1,AC165,0)</f>
        <v>0</v>
      </c>
      <c r="AG165" s="168">
        <f t="shared" ref="AG165:AG207" si="17">IF(T165&gt;1,AC165,0)</f>
        <v>0</v>
      </c>
      <c r="AH165" s="168">
        <f t="shared" ref="AH165:AH207" si="18">IF(T165=0,AD165,0)</f>
        <v>0</v>
      </c>
      <c r="AI165" s="168">
        <f t="shared" ref="AI165:AI207" si="19">IF(T165=1,AD165,0)</f>
        <v>5.66</v>
      </c>
      <c r="AJ165" s="168">
        <f t="shared" ref="AJ165:AJ207" si="20">IF(T165&gt;1,AD165,0)</f>
        <v>0</v>
      </c>
      <c r="AL165" s="5"/>
      <c r="AN165" s="32" t="s">
        <v>645</v>
      </c>
      <c r="AO165" s="168">
        <f>SUM(AD164:AD183)</f>
        <v>27.63</v>
      </c>
    </row>
    <row r="166" spans="17:41" x14ac:dyDescent="0.25">
      <c r="Q166">
        <v>3</v>
      </c>
      <c r="R166" s="168">
        <f>'Alim -Surf'!Q9</f>
        <v>13</v>
      </c>
      <c r="S166" s="168">
        <f>'Alim -Surf'!R9</f>
        <v>4.42</v>
      </c>
      <c r="T166" s="168">
        <f>VLOOKUP(R166,[1]MEP!$A$4:$M$300,13)</f>
        <v>2</v>
      </c>
      <c r="U166" s="168">
        <f t="shared" si="10"/>
        <v>4.42</v>
      </c>
      <c r="V166" s="168">
        <f t="shared" si="11"/>
        <v>4.42</v>
      </c>
      <c r="W166" s="168">
        <f t="shared" si="12"/>
        <v>0</v>
      </c>
      <c r="X166" s="168">
        <f>VLOOKUP(R166,[1]MEP!$A$4:$Q$300,14)</f>
        <v>0</v>
      </c>
      <c r="Y166" s="168">
        <f>VLOOKUP(R166,[1]MEP!$A$4:$R$300,15)</f>
        <v>0</v>
      </c>
      <c r="Z166" s="168">
        <f>VLOOKUP(R166,[1]MEP!$A$4:$R$300,16)</f>
        <v>0</v>
      </c>
      <c r="AA166" s="168">
        <f t="shared" si="8"/>
        <v>0</v>
      </c>
      <c r="AB166" s="168">
        <f t="shared" si="9"/>
        <v>0</v>
      </c>
      <c r="AC166" s="168">
        <f t="shared" si="13"/>
        <v>0</v>
      </c>
      <c r="AD166" s="168">
        <f t="shared" si="14"/>
        <v>4.42</v>
      </c>
      <c r="AE166" s="168">
        <f t="shared" si="15"/>
        <v>0</v>
      </c>
      <c r="AF166" s="168">
        <f t="shared" si="16"/>
        <v>0</v>
      </c>
      <c r="AG166" s="168">
        <f t="shared" si="17"/>
        <v>0</v>
      </c>
      <c r="AH166" s="168">
        <f t="shared" si="18"/>
        <v>0</v>
      </c>
      <c r="AI166" s="168">
        <f t="shared" si="19"/>
        <v>0</v>
      </c>
      <c r="AJ166" s="168">
        <f t="shared" si="20"/>
        <v>4.42</v>
      </c>
      <c r="AL166" s="5"/>
      <c r="AN166" s="32" t="s">
        <v>646</v>
      </c>
      <c r="AO166" s="168">
        <f>SUM(AC164:AC183)</f>
        <v>5</v>
      </c>
    </row>
    <row r="167" spans="17:41" x14ac:dyDescent="0.25">
      <c r="Q167">
        <v>4</v>
      </c>
      <c r="R167" s="168">
        <f>'Alim -Surf'!Q10</f>
        <v>187</v>
      </c>
      <c r="S167" s="168">
        <f>'Alim -Surf'!R10</f>
        <v>6</v>
      </c>
      <c r="T167" s="168">
        <f>VLOOKUP(R167,[1]MEP!$A$4:$M$300,13)</f>
        <v>1</v>
      </c>
      <c r="U167" s="168">
        <f t="shared" si="10"/>
        <v>6</v>
      </c>
      <c r="V167" s="168">
        <f t="shared" si="11"/>
        <v>0</v>
      </c>
      <c r="W167" s="168">
        <f t="shared" si="12"/>
        <v>0</v>
      </c>
      <c r="X167" s="168">
        <f>VLOOKUP(R167,[1]MEP!$A$4:$Q$300,14)</f>
        <v>0</v>
      </c>
      <c r="Y167" s="168">
        <f>VLOOKUP(R167,[1]MEP!$A$4:$R$300,15)</f>
        <v>0</v>
      </c>
      <c r="Z167" s="168">
        <f>VLOOKUP(R167,[1]MEP!$A$4:$R$300,16)</f>
        <v>0</v>
      </c>
      <c r="AA167" s="168">
        <f t="shared" si="8"/>
        <v>0</v>
      </c>
      <c r="AB167" s="168">
        <f t="shared" si="9"/>
        <v>0</v>
      </c>
      <c r="AC167" s="168">
        <f t="shared" si="13"/>
        <v>0</v>
      </c>
      <c r="AD167" s="168">
        <f t="shared" si="14"/>
        <v>6</v>
      </c>
      <c r="AE167" s="168">
        <f t="shared" si="15"/>
        <v>0</v>
      </c>
      <c r="AF167" s="168">
        <f t="shared" si="16"/>
        <v>0</v>
      </c>
      <c r="AG167" s="168">
        <f t="shared" si="17"/>
        <v>0</v>
      </c>
      <c r="AH167" s="168">
        <f t="shared" si="18"/>
        <v>0</v>
      </c>
      <c r="AI167" s="168">
        <f t="shared" si="19"/>
        <v>6</v>
      </c>
      <c r="AJ167" s="168">
        <f t="shared" si="20"/>
        <v>0</v>
      </c>
      <c r="AL167" s="5"/>
      <c r="AN167" s="32" t="s">
        <v>647</v>
      </c>
      <c r="AO167" s="168">
        <f>SUM(AA164:AA183)</f>
        <v>0</v>
      </c>
    </row>
    <row r="168" spans="17:41" x14ac:dyDescent="0.25">
      <c r="Q168">
        <v>5</v>
      </c>
      <c r="R168" s="168">
        <f>'Alim -Surf'!Q11</f>
        <v>185</v>
      </c>
      <c r="S168" s="168">
        <f>'Alim -Surf'!R11</f>
        <v>9.11</v>
      </c>
      <c r="T168" s="168">
        <f>VLOOKUP(R168,[1]MEP!$A$4:$M$300,13)</f>
        <v>0</v>
      </c>
      <c r="U168" s="168">
        <f t="shared" si="10"/>
        <v>0</v>
      </c>
      <c r="V168" s="168">
        <f t="shared" si="11"/>
        <v>0</v>
      </c>
      <c r="W168" s="168">
        <f t="shared" si="12"/>
        <v>0</v>
      </c>
      <c r="X168" s="168">
        <f>VLOOKUP(R168,[1]MEP!$A$4:$Q$300,14)</f>
        <v>0</v>
      </c>
      <c r="Y168" s="168">
        <f>VLOOKUP(R168,[1]MEP!$A$4:$R$300,15)</f>
        <v>0</v>
      </c>
      <c r="Z168" s="168">
        <f>VLOOKUP(R168,[1]MEP!$A$4:$R$300,16)</f>
        <v>0</v>
      </c>
      <c r="AA168" s="168">
        <f t="shared" si="8"/>
        <v>0</v>
      </c>
      <c r="AB168" s="168">
        <f t="shared" si="9"/>
        <v>0</v>
      </c>
      <c r="AC168" s="168">
        <f t="shared" si="13"/>
        <v>0</v>
      </c>
      <c r="AD168" s="168">
        <f t="shared" si="14"/>
        <v>9.11</v>
      </c>
      <c r="AE168" s="168">
        <f t="shared" si="15"/>
        <v>0</v>
      </c>
      <c r="AF168" s="168">
        <f t="shared" si="16"/>
        <v>0</v>
      </c>
      <c r="AG168" s="168">
        <f t="shared" si="17"/>
        <v>0</v>
      </c>
      <c r="AH168" s="168">
        <f t="shared" si="18"/>
        <v>9.11</v>
      </c>
      <c r="AI168" s="168">
        <f t="shared" si="19"/>
        <v>0</v>
      </c>
      <c r="AJ168" s="168">
        <f t="shared" si="20"/>
        <v>0</v>
      </c>
      <c r="AL168" s="5"/>
      <c r="AN168" s="32" t="s">
        <v>648</v>
      </c>
      <c r="AO168" s="168">
        <f>SUM(AD186:AD205)</f>
        <v>0</v>
      </c>
    </row>
    <row r="169" spans="17:41" x14ac:dyDescent="0.25">
      <c r="Q169">
        <v>6</v>
      </c>
      <c r="R169" s="168">
        <f>'Alim -Surf'!Q12</f>
        <v>14</v>
      </c>
      <c r="S169" s="168">
        <f>'Alim -Surf'!R12</f>
        <v>1.94</v>
      </c>
      <c r="T169" s="168">
        <f>VLOOKUP(R169,[1]MEP!$A$4:$M$300,13)</f>
        <v>0</v>
      </c>
      <c r="U169" s="168">
        <f t="shared" si="10"/>
        <v>0</v>
      </c>
      <c r="V169" s="168">
        <f t="shared" si="11"/>
        <v>0</v>
      </c>
      <c r="W169" s="168">
        <f t="shared" si="12"/>
        <v>0</v>
      </c>
      <c r="X169" s="168">
        <f>VLOOKUP(R169,[1]MEP!$A$4:$Q$300,14)</f>
        <v>0</v>
      </c>
      <c r="Y169" s="168">
        <f>VLOOKUP(R169,[1]MEP!$A$4:$R$300,15)</f>
        <v>0</v>
      </c>
      <c r="Z169" s="168">
        <f>VLOOKUP(R169,[1]MEP!$A$4:$R$300,16)</f>
        <v>0</v>
      </c>
      <c r="AA169" s="168">
        <f t="shared" si="8"/>
        <v>0</v>
      </c>
      <c r="AB169" s="168">
        <f t="shared" si="9"/>
        <v>0</v>
      </c>
      <c r="AC169" s="168">
        <f t="shared" si="13"/>
        <v>0</v>
      </c>
      <c r="AD169" s="168">
        <f t="shared" si="14"/>
        <v>1.94</v>
      </c>
      <c r="AE169" s="168">
        <f t="shared" si="15"/>
        <v>0</v>
      </c>
      <c r="AF169" s="168">
        <f t="shared" si="16"/>
        <v>0</v>
      </c>
      <c r="AG169" s="168">
        <f t="shared" si="17"/>
        <v>0</v>
      </c>
      <c r="AH169" s="168">
        <f t="shared" si="18"/>
        <v>1.94</v>
      </c>
      <c r="AI169" s="168">
        <f t="shared" si="19"/>
        <v>0</v>
      </c>
      <c r="AJ169" s="168">
        <f t="shared" si="20"/>
        <v>0</v>
      </c>
      <c r="AL169" s="5"/>
      <c r="AN169" s="32" t="s">
        <v>649</v>
      </c>
      <c r="AO169" s="168">
        <f>SUM(AC186:AC205)</f>
        <v>0</v>
      </c>
    </row>
    <row r="170" spans="17:41" x14ac:dyDescent="0.25">
      <c r="Q170">
        <v>7</v>
      </c>
      <c r="R170" s="168">
        <f>'Alim -Surf'!Q13</f>
        <v>187</v>
      </c>
      <c r="S170" s="168">
        <f>'Alim -Surf'!R13</f>
        <v>0.5</v>
      </c>
      <c r="T170" s="168">
        <f>VLOOKUP(R170,[1]MEP!$A$4:$M$300,13)</f>
        <v>1</v>
      </c>
      <c r="U170" s="168">
        <f t="shared" si="10"/>
        <v>0.5</v>
      </c>
      <c r="V170" s="168">
        <f t="shared" si="11"/>
        <v>0</v>
      </c>
      <c r="W170" s="168">
        <f t="shared" si="12"/>
        <v>0</v>
      </c>
      <c r="X170" s="168">
        <f>VLOOKUP(R170,[1]MEP!$A$4:$Q$300,14)</f>
        <v>0</v>
      </c>
      <c r="Y170" s="168">
        <f>VLOOKUP(R170,[1]MEP!$A$4:$R$300,15)</f>
        <v>0</v>
      </c>
      <c r="Z170" s="168">
        <f>VLOOKUP(R170,[1]MEP!$A$4:$R$300,16)</f>
        <v>0</v>
      </c>
      <c r="AA170" s="168">
        <f t="shared" si="8"/>
        <v>0</v>
      </c>
      <c r="AB170" s="168">
        <f t="shared" si="9"/>
        <v>0</v>
      </c>
      <c r="AC170" s="168">
        <f t="shared" si="13"/>
        <v>0</v>
      </c>
      <c r="AD170" s="168">
        <f t="shared" si="14"/>
        <v>0.5</v>
      </c>
      <c r="AE170" s="168">
        <f t="shared" si="15"/>
        <v>0</v>
      </c>
      <c r="AF170" s="168">
        <f t="shared" si="16"/>
        <v>0</v>
      </c>
      <c r="AG170" s="168">
        <f t="shared" si="17"/>
        <v>0</v>
      </c>
      <c r="AH170" s="168">
        <f t="shared" si="18"/>
        <v>0</v>
      </c>
      <c r="AI170" s="168">
        <f t="shared" si="19"/>
        <v>0.5</v>
      </c>
      <c r="AJ170" s="168">
        <f t="shared" si="20"/>
        <v>0</v>
      </c>
      <c r="AL170" s="5"/>
      <c r="AN170" s="32" t="s">
        <v>650</v>
      </c>
      <c r="AO170" s="168">
        <f>SUM(AA186:AA205)</f>
        <v>0</v>
      </c>
    </row>
    <row r="171" spans="17:41" x14ac:dyDescent="0.25">
      <c r="Q171">
        <v>8</v>
      </c>
      <c r="R171" s="168">
        <f>'Alim -Surf'!Q14</f>
        <v>0</v>
      </c>
      <c r="S171" s="168">
        <f>'Alim -Surf'!R14</f>
        <v>0</v>
      </c>
      <c r="T171" s="168">
        <f>VLOOKUP(R171,[1]MEP!$A$4:$M$300,13)</f>
        <v>0</v>
      </c>
      <c r="U171" s="168">
        <f t="shared" si="10"/>
        <v>0</v>
      </c>
      <c r="V171" s="168">
        <f t="shared" si="11"/>
        <v>0</v>
      </c>
      <c r="W171" s="168">
        <f t="shared" si="12"/>
        <v>0</v>
      </c>
      <c r="X171" s="168">
        <f>VLOOKUP(R171,[1]MEP!$A$4:$Q$300,14)</f>
        <v>0</v>
      </c>
      <c r="Y171" s="168">
        <f>VLOOKUP(R171,[1]MEP!$A$4:$R$300,15)</f>
        <v>0</v>
      </c>
      <c r="Z171" s="168">
        <f>VLOOKUP(R171,[1]MEP!$A$4:$R$300,16)</f>
        <v>0</v>
      </c>
      <c r="AA171" s="168">
        <f t="shared" si="8"/>
        <v>0</v>
      </c>
      <c r="AB171" s="168">
        <f t="shared" si="9"/>
        <v>0</v>
      </c>
      <c r="AC171" s="168">
        <f t="shared" si="13"/>
        <v>0</v>
      </c>
      <c r="AD171" s="168">
        <f t="shared" si="14"/>
        <v>0</v>
      </c>
      <c r="AE171" s="168">
        <f t="shared" si="15"/>
        <v>0</v>
      </c>
      <c r="AF171" s="168">
        <f t="shared" si="16"/>
        <v>0</v>
      </c>
      <c r="AG171" s="168">
        <f t="shared" si="17"/>
        <v>0</v>
      </c>
      <c r="AH171" s="168">
        <f t="shared" si="18"/>
        <v>0</v>
      </c>
      <c r="AI171" s="168">
        <f t="shared" si="19"/>
        <v>0</v>
      </c>
      <c r="AJ171" s="168">
        <f t="shared" si="20"/>
        <v>0</v>
      </c>
      <c r="AL171" s="5"/>
      <c r="AN171" s="32" t="s">
        <v>651</v>
      </c>
      <c r="AO171" s="168">
        <f>'Alim -Surf'!O51</f>
        <v>0</v>
      </c>
    </row>
    <row r="172" spans="17:41" x14ac:dyDescent="0.25">
      <c r="Q172">
        <v>9</v>
      </c>
      <c r="R172" s="168">
        <f>'Alim -Surf'!Q15</f>
        <v>0</v>
      </c>
      <c r="S172" s="168">
        <f>'Alim -Surf'!R15</f>
        <v>0</v>
      </c>
      <c r="T172" s="168">
        <f>VLOOKUP(R172,[1]MEP!$A$4:$M$300,13)</f>
        <v>0</v>
      </c>
      <c r="U172" s="168">
        <f t="shared" si="10"/>
        <v>0</v>
      </c>
      <c r="V172" s="168">
        <f t="shared" si="11"/>
        <v>0</v>
      </c>
      <c r="W172" s="168">
        <f t="shared" si="12"/>
        <v>0</v>
      </c>
      <c r="X172" s="168">
        <f>VLOOKUP(R172,[1]MEP!$A$4:$Q$300,14)</f>
        <v>0</v>
      </c>
      <c r="Y172" s="168">
        <f>VLOOKUP(R172,[1]MEP!$A$4:$R$300,15)</f>
        <v>0</v>
      </c>
      <c r="Z172" s="168">
        <f>VLOOKUP(R172,[1]MEP!$A$4:$R$300,16)</f>
        <v>0</v>
      </c>
      <c r="AA172" s="168">
        <f t="shared" si="8"/>
        <v>0</v>
      </c>
      <c r="AB172" s="168">
        <f t="shared" si="9"/>
        <v>0</v>
      </c>
      <c r="AC172" s="168">
        <f t="shared" si="13"/>
        <v>0</v>
      </c>
      <c r="AD172" s="168">
        <f t="shared" si="14"/>
        <v>0</v>
      </c>
      <c r="AE172" s="168">
        <f t="shared" si="15"/>
        <v>0</v>
      </c>
      <c r="AF172" s="168">
        <f t="shared" si="16"/>
        <v>0</v>
      </c>
      <c r="AG172" s="168">
        <f t="shared" si="17"/>
        <v>0</v>
      </c>
      <c r="AH172" s="168">
        <f t="shared" si="18"/>
        <v>0</v>
      </c>
      <c r="AI172" s="168">
        <f t="shared" si="19"/>
        <v>0</v>
      </c>
      <c r="AJ172" s="168">
        <f t="shared" si="20"/>
        <v>0</v>
      </c>
      <c r="AL172" s="5"/>
    </row>
    <row r="173" spans="17:41" x14ac:dyDescent="0.25">
      <c r="Q173">
        <v>10</v>
      </c>
      <c r="R173" s="168">
        <f>'Alim -Surf'!Q16</f>
        <v>0</v>
      </c>
      <c r="S173" s="168">
        <f>'Alim -Surf'!R16</f>
        <v>0</v>
      </c>
      <c r="T173" s="168">
        <f>VLOOKUP(R173,[1]MEP!$A$4:$M$300,13)</f>
        <v>0</v>
      </c>
      <c r="U173" s="168">
        <f t="shared" si="10"/>
        <v>0</v>
      </c>
      <c r="V173" s="168">
        <f t="shared" si="11"/>
        <v>0</v>
      </c>
      <c r="W173" s="168">
        <f t="shared" si="12"/>
        <v>0</v>
      </c>
      <c r="X173" s="168">
        <f>VLOOKUP(R173,[1]MEP!$A$4:$Q$300,14)</f>
        <v>0</v>
      </c>
      <c r="Y173" s="168">
        <f>VLOOKUP(R173,[1]MEP!$A$4:$R$300,15)</f>
        <v>0</v>
      </c>
      <c r="Z173" s="168">
        <f>VLOOKUP(R173,[1]MEP!$A$4:$R$300,16)</f>
        <v>0</v>
      </c>
      <c r="AA173" s="168">
        <f t="shared" si="8"/>
        <v>0</v>
      </c>
      <c r="AB173" s="168">
        <f t="shared" si="9"/>
        <v>0</v>
      </c>
      <c r="AC173" s="168">
        <f t="shared" si="13"/>
        <v>0</v>
      </c>
      <c r="AD173" s="168">
        <f t="shared" si="14"/>
        <v>0</v>
      </c>
      <c r="AE173" s="168">
        <f t="shared" si="15"/>
        <v>0</v>
      </c>
      <c r="AF173" s="168">
        <f t="shared" si="16"/>
        <v>0</v>
      </c>
      <c r="AG173" s="168">
        <f t="shared" si="17"/>
        <v>0</v>
      </c>
      <c r="AH173" s="168">
        <f t="shared" si="18"/>
        <v>0</v>
      </c>
      <c r="AI173" s="168">
        <f t="shared" si="19"/>
        <v>0</v>
      </c>
      <c r="AJ173" s="168">
        <f t="shared" si="20"/>
        <v>0</v>
      </c>
      <c r="AL173" s="5"/>
    </row>
    <row r="174" spans="17:41" x14ac:dyDescent="0.25">
      <c r="Q174">
        <v>11</v>
      </c>
      <c r="R174" s="168">
        <f>'Alim -Surf'!Q17</f>
        <v>0</v>
      </c>
      <c r="S174" s="168">
        <f>'Alim -Surf'!R17</f>
        <v>0</v>
      </c>
      <c r="T174" s="168">
        <f>VLOOKUP(R174,[1]MEP!$A$4:$M$300,13)</f>
        <v>0</v>
      </c>
      <c r="U174" s="168">
        <f t="shared" si="10"/>
        <v>0</v>
      </c>
      <c r="V174" s="168">
        <f t="shared" si="11"/>
        <v>0</v>
      </c>
      <c r="W174" s="168">
        <f t="shared" si="12"/>
        <v>0</v>
      </c>
      <c r="X174" s="168">
        <f>VLOOKUP(R174,[1]MEP!$A$4:$Q$300,14)</f>
        <v>0</v>
      </c>
      <c r="Y174" s="168">
        <f>VLOOKUP(R174,[1]MEP!$A$4:$R$300,15)</f>
        <v>0</v>
      </c>
      <c r="Z174" s="168">
        <f>VLOOKUP(R174,[1]MEP!$A$4:$R$300,16)</f>
        <v>0</v>
      </c>
      <c r="AA174" s="168">
        <f t="shared" si="8"/>
        <v>0</v>
      </c>
      <c r="AB174" s="168">
        <f t="shared" si="9"/>
        <v>0</v>
      </c>
      <c r="AC174" s="168">
        <f t="shared" si="13"/>
        <v>0</v>
      </c>
      <c r="AD174" s="168">
        <f t="shared" si="14"/>
        <v>0</v>
      </c>
      <c r="AE174" s="168">
        <f t="shared" si="15"/>
        <v>0</v>
      </c>
      <c r="AF174" s="168">
        <f t="shared" si="16"/>
        <v>0</v>
      </c>
      <c r="AG174" s="168">
        <f t="shared" si="17"/>
        <v>0</v>
      </c>
      <c r="AH174" s="168">
        <f t="shared" si="18"/>
        <v>0</v>
      </c>
      <c r="AI174" s="168">
        <f t="shared" si="19"/>
        <v>0</v>
      </c>
      <c r="AJ174" s="168">
        <f t="shared" si="20"/>
        <v>0</v>
      </c>
      <c r="AL174" s="5"/>
    </row>
    <row r="175" spans="17:41" x14ac:dyDescent="0.25">
      <c r="Q175">
        <v>12</v>
      </c>
      <c r="R175" s="168">
        <f>'Alim -Surf'!Q18</f>
        <v>0</v>
      </c>
      <c r="S175" s="168">
        <f>'Alim -Surf'!R18</f>
        <v>0</v>
      </c>
      <c r="T175" s="168">
        <f>VLOOKUP(R175,[1]MEP!$A$4:$M$300,13)</f>
        <v>0</v>
      </c>
      <c r="U175" s="168">
        <f t="shared" si="10"/>
        <v>0</v>
      </c>
      <c r="V175" s="168">
        <f t="shared" si="11"/>
        <v>0</v>
      </c>
      <c r="W175" s="168">
        <f t="shared" si="12"/>
        <v>0</v>
      </c>
      <c r="X175" s="168">
        <f>VLOOKUP(R175,[1]MEP!$A$4:$Q$300,14)</f>
        <v>0</v>
      </c>
      <c r="Y175" s="168">
        <f>VLOOKUP(R175,[1]MEP!$A$4:$R$300,15)</f>
        <v>0</v>
      </c>
      <c r="Z175" s="168">
        <f>VLOOKUP(R175,[1]MEP!$A$4:$R$300,16)</f>
        <v>0</v>
      </c>
      <c r="AA175" s="168">
        <f t="shared" si="8"/>
        <v>0</v>
      </c>
      <c r="AB175" s="168">
        <f t="shared" si="9"/>
        <v>0</v>
      </c>
      <c r="AC175" s="168">
        <f t="shared" si="13"/>
        <v>0</v>
      </c>
      <c r="AD175" s="168">
        <f t="shared" si="14"/>
        <v>0</v>
      </c>
      <c r="AE175" s="168">
        <f t="shared" si="15"/>
        <v>0</v>
      </c>
      <c r="AF175" s="168">
        <f t="shared" si="16"/>
        <v>0</v>
      </c>
      <c r="AG175" s="168">
        <f t="shared" si="17"/>
        <v>0</v>
      </c>
      <c r="AH175" s="168">
        <f t="shared" si="18"/>
        <v>0</v>
      </c>
      <c r="AI175" s="168">
        <f t="shared" si="19"/>
        <v>0</v>
      </c>
      <c r="AJ175" s="168">
        <f t="shared" si="20"/>
        <v>0</v>
      </c>
      <c r="AL175" s="5"/>
    </row>
    <row r="176" spans="17:41" x14ac:dyDescent="0.25">
      <c r="Q176">
        <v>13</v>
      </c>
      <c r="R176" s="168">
        <f>'Alim -Surf'!Q19</f>
        <v>0</v>
      </c>
      <c r="S176" s="168">
        <f>'Alim -Surf'!R19</f>
        <v>0</v>
      </c>
      <c r="T176" s="168">
        <f>VLOOKUP(R176,[1]MEP!$A$4:$M$300,13)</f>
        <v>0</v>
      </c>
      <c r="U176" s="168">
        <f t="shared" si="10"/>
        <v>0</v>
      </c>
      <c r="V176" s="168">
        <f t="shared" si="11"/>
        <v>0</v>
      </c>
      <c r="W176" s="168">
        <f t="shared" si="12"/>
        <v>0</v>
      </c>
      <c r="X176" s="168">
        <f>VLOOKUP(R176,[1]MEP!$A$4:$Q$300,14)</f>
        <v>0</v>
      </c>
      <c r="Y176" s="168">
        <f>VLOOKUP(R176,[1]MEP!$A$4:$R$300,15)</f>
        <v>0</v>
      </c>
      <c r="Z176" s="168">
        <f>VLOOKUP(R176,[1]MEP!$A$4:$R$300,16)</f>
        <v>0</v>
      </c>
      <c r="AA176" s="168">
        <f t="shared" si="8"/>
        <v>0</v>
      </c>
      <c r="AB176" s="168">
        <f t="shared" si="9"/>
        <v>0</v>
      </c>
      <c r="AC176" s="168">
        <f t="shared" si="13"/>
        <v>0</v>
      </c>
      <c r="AD176" s="168">
        <f t="shared" si="14"/>
        <v>0</v>
      </c>
      <c r="AE176" s="168">
        <f t="shared" si="15"/>
        <v>0</v>
      </c>
      <c r="AF176" s="168">
        <f t="shared" si="16"/>
        <v>0</v>
      </c>
      <c r="AG176" s="168">
        <f t="shared" si="17"/>
        <v>0</v>
      </c>
      <c r="AH176" s="168">
        <f t="shared" si="18"/>
        <v>0</v>
      </c>
      <c r="AI176" s="168">
        <f t="shared" si="19"/>
        <v>0</v>
      </c>
      <c r="AJ176" s="168">
        <f t="shared" si="20"/>
        <v>0</v>
      </c>
      <c r="AL176" s="5"/>
    </row>
    <row r="177" spans="17:38" x14ac:dyDescent="0.25">
      <c r="Q177">
        <v>14</v>
      </c>
      <c r="R177" s="168">
        <f>'Alim -Surf'!Q20</f>
        <v>0</v>
      </c>
      <c r="S177" s="168">
        <f>'Alim -Surf'!R20</f>
        <v>0</v>
      </c>
      <c r="T177" s="168">
        <f>VLOOKUP(R177,[1]MEP!$A$4:$M$300,13)</f>
        <v>0</v>
      </c>
      <c r="U177" s="168">
        <f t="shared" si="10"/>
        <v>0</v>
      </c>
      <c r="V177" s="168">
        <f t="shared" si="11"/>
        <v>0</v>
      </c>
      <c r="W177" s="168">
        <f t="shared" si="12"/>
        <v>0</v>
      </c>
      <c r="X177" s="168">
        <f>VLOOKUP(R177,[1]MEP!$A$4:$Q$300,14)</f>
        <v>0</v>
      </c>
      <c r="Y177" s="168">
        <f>VLOOKUP(R177,[1]MEP!$A$4:$R$300,15)</f>
        <v>0</v>
      </c>
      <c r="Z177" s="168">
        <f>VLOOKUP(R177,[1]MEP!$A$4:$R$300,16)</f>
        <v>0</v>
      </c>
      <c r="AA177" s="168">
        <f t="shared" si="8"/>
        <v>0</v>
      </c>
      <c r="AB177" s="168">
        <f t="shared" si="9"/>
        <v>0</v>
      </c>
      <c r="AC177" s="168">
        <f t="shared" si="13"/>
        <v>0</v>
      </c>
      <c r="AD177" s="168">
        <f t="shared" si="14"/>
        <v>0</v>
      </c>
      <c r="AE177" s="168">
        <f t="shared" si="15"/>
        <v>0</v>
      </c>
      <c r="AF177" s="168">
        <f t="shared" si="16"/>
        <v>0</v>
      </c>
      <c r="AG177" s="168">
        <f t="shared" si="17"/>
        <v>0</v>
      </c>
      <c r="AH177" s="168">
        <f t="shared" si="18"/>
        <v>0</v>
      </c>
      <c r="AI177" s="168">
        <f t="shared" si="19"/>
        <v>0</v>
      </c>
      <c r="AJ177" s="168">
        <f t="shared" si="20"/>
        <v>0</v>
      </c>
      <c r="AL177" s="5"/>
    </row>
    <row r="178" spans="17:38" x14ac:dyDescent="0.25">
      <c r="Q178">
        <v>15</v>
      </c>
      <c r="R178" s="168">
        <f>'Alim -Surf'!Q21</f>
        <v>0</v>
      </c>
      <c r="S178" s="168">
        <f>'Alim -Surf'!R21</f>
        <v>0</v>
      </c>
      <c r="T178" s="168">
        <f>VLOOKUP(R178,[1]MEP!$A$4:$M$300,13)</f>
        <v>0</v>
      </c>
      <c r="U178" s="168">
        <f t="shared" si="10"/>
        <v>0</v>
      </c>
      <c r="V178" s="168">
        <f t="shared" si="11"/>
        <v>0</v>
      </c>
      <c r="W178" s="168">
        <f t="shared" si="12"/>
        <v>0</v>
      </c>
      <c r="X178" s="168">
        <f>VLOOKUP(R178,[1]MEP!$A$4:$Q$300,14)</f>
        <v>0</v>
      </c>
      <c r="Y178" s="168">
        <f>VLOOKUP(R178,[1]MEP!$A$4:$R$300,15)</f>
        <v>0</v>
      </c>
      <c r="Z178" s="168">
        <f>VLOOKUP(R178,[1]MEP!$A$4:$R$300,16)</f>
        <v>0</v>
      </c>
      <c r="AA178" s="168">
        <f t="shared" si="8"/>
        <v>0</v>
      </c>
      <c r="AB178" s="168">
        <f t="shared" si="9"/>
        <v>0</v>
      </c>
      <c r="AC178" s="168">
        <f t="shared" si="13"/>
        <v>0</v>
      </c>
      <c r="AD178" s="168">
        <f t="shared" si="14"/>
        <v>0</v>
      </c>
      <c r="AE178" s="168">
        <f t="shared" si="15"/>
        <v>0</v>
      </c>
      <c r="AF178" s="168">
        <f t="shared" si="16"/>
        <v>0</v>
      </c>
      <c r="AG178" s="168">
        <f t="shared" si="17"/>
        <v>0</v>
      </c>
      <c r="AH178" s="168">
        <f t="shared" si="18"/>
        <v>0</v>
      </c>
      <c r="AI178" s="168">
        <f t="shared" si="19"/>
        <v>0</v>
      </c>
      <c r="AJ178" s="168">
        <f t="shared" si="20"/>
        <v>0</v>
      </c>
      <c r="AL178" s="5"/>
    </row>
    <row r="179" spans="17:38" x14ac:dyDescent="0.25">
      <c r="Q179">
        <v>16</v>
      </c>
      <c r="R179" s="168">
        <f>'Alim -Surf'!Q22</f>
        <v>0</v>
      </c>
      <c r="S179" s="168">
        <f>'Alim -Surf'!R22</f>
        <v>0</v>
      </c>
      <c r="T179" s="168">
        <f>VLOOKUP(R179,[1]MEP!$A$4:$M$300,13)</f>
        <v>0</v>
      </c>
      <c r="U179" s="168">
        <f t="shared" si="10"/>
        <v>0</v>
      </c>
      <c r="V179" s="168">
        <f t="shared" si="11"/>
        <v>0</v>
      </c>
      <c r="W179" s="168">
        <f t="shared" si="12"/>
        <v>0</v>
      </c>
      <c r="X179" s="168">
        <f>VLOOKUP(R179,[1]MEP!$A$4:$Q$300,14)</f>
        <v>0</v>
      </c>
      <c r="Y179" s="168">
        <f>VLOOKUP(R179,[1]MEP!$A$4:$R$300,15)</f>
        <v>0</v>
      </c>
      <c r="Z179" s="168">
        <f>VLOOKUP(R179,[1]MEP!$A$4:$R$300,16)</f>
        <v>0</v>
      </c>
      <c r="AA179" s="168">
        <f t="shared" si="8"/>
        <v>0</v>
      </c>
      <c r="AB179" s="168">
        <f t="shared" si="9"/>
        <v>0</v>
      </c>
      <c r="AC179" s="168">
        <f t="shared" si="13"/>
        <v>0</v>
      </c>
      <c r="AD179" s="168">
        <f t="shared" si="14"/>
        <v>0</v>
      </c>
      <c r="AE179" s="168">
        <f t="shared" si="15"/>
        <v>0</v>
      </c>
      <c r="AF179" s="168">
        <f t="shared" si="16"/>
        <v>0</v>
      </c>
      <c r="AG179" s="168">
        <f t="shared" si="17"/>
        <v>0</v>
      </c>
      <c r="AH179" s="168">
        <f t="shared" si="18"/>
        <v>0</v>
      </c>
      <c r="AI179" s="168">
        <f t="shared" si="19"/>
        <v>0</v>
      </c>
      <c r="AJ179" s="168">
        <f t="shared" si="20"/>
        <v>0</v>
      </c>
      <c r="AL179" s="5"/>
    </row>
    <row r="180" spans="17:38" x14ac:dyDescent="0.25">
      <c r="Q180">
        <v>17</v>
      </c>
      <c r="R180" s="168">
        <f>'Alim -Surf'!Q23</f>
        <v>0</v>
      </c>
      <c r="S180" s="168">
        <f>'Alim -Surf'!R23</f>
        <v>0</v>
      </c>
      <c r="T180" s="168">
        <f>VLOOKUP(R180,[1]MEP!$A$4:$M$300,13)</f>
        <v>0</v>
      </c>
      <c r="U180" s="168">
        <f t="shared" si="10"/>
        <v>0</v>
      </c>
      <c r="V180" s="168">
        <f t="shared" si="11"/>
        <v>0</v>
      </c>
      <c r="W180" s="168">
        <f t="shared" si="12"/>
        <v>0</v>
      </c>
      <c r="X180" s="168">
        <f>VLOOKUP(R180,[1]MEP!$A$4:$Q$300,14)</f>
        <v>0</v>
      </c>
      <c r="Y180" s="168">
        <f>VLOOKUP(R180,[1]MEP!$A$4:$R$300,15)</f>
        <v>0</v>
      </c>
      <c r="Z180" s="168">
        <f>VLOOKUP(R180,[1]MEP!$A$4:$R$300,16)</f>
        <v>0</v>
      </c>
      <c r="AA180" s="168">
        <f t="shared" si="8"/>
        <v>0</v>
      </c>
      <c r="AB180" s="168">
        <f t="shared" si="9"/>
        <v>0</v>
      </c>
      <c r="AC180" s="168">
        <f t="shared" si="13"/>
        <v>0</v>
      </c>
      <c r="AD180" s="168">
        <f t="shared" si="14"/>
        <v>0</v>
      </c>
      <c r="AE180" s="168">
        <f t="shared" si="15"/>
        <v>0</v>
      </c>
      <c r="AF180" s="168">
        <f t="shared" si="16"/>
        <v>0</v>
      </c>
      <c r="AG180" s="168">
        <f t="shared" si="17"/>
        <v>0</v>
      </c>
      <c r="AH180" s="168">
        <f t="shared" si="18"/>
        <v>0</v>
      </c>
      <c r="AI180" s="168">
        <f t="shared" si="19"/>
        <v>0</v>
      </c>
      <c r="AJ180" s="168">
        <f t="shared" si="20"/>
        <v>0</v>
      </c>
      <c r="AL180" s="5"/>
    </row>
    <row r="181" spans="17:38" x14ac:dyDescent="0.25">
      <c r="Q181">
        <v>18</v>
      </c>
      <c r="R181" s="168">
        <f>'Alim -Surf'!Q24</f>
        <v>0</v>
      </c>
      <c r="S181" s="168">
        <f>'Alim -Surf'!R24</f>
        <v>0</v>
      </c>
      <c r="T181" s="168">
        <f>VLOOKUP(R181,[1]MEP!$A$4:$M$300,13)</f>
        <v>0</v>
      </c>
      <c r="U181" s="168">
        <f t="shared" si="10"/>
        <v>0</v>
      </c>
      <c r="V181" s="168">
        <f t="shared" si="11"/>
        <v>0</v>
      </c>
      <c r="W181" s="168">
        <f t="shared" si="12"/>
        <v>0</v>
      </c>
      <c r="X181" s="168">
        <f>VLOOKUP(R181,[1]MEP!$A$4:$Q$300,14)</f>
        <v>0</v>
      </c>
      <c r="Y181" s="168">
        <f>VLOOKUP(R181,[1]MEP!$A$4:$R$300,15)</f>
        <v>0</v>
      </c>
      <c r="Z181" s="168">
        <f>VLOOKUP(R181,[1]MEP!$A$4:$R$300,16)</f>
        <v>0</v>
      </c>
      <c r="AA181" s="168">
        <f t="shared" si="8"/>
        <v>0</v>
      </c>
      <c r="AB181" s="168">
        <f t="shared" si="9"/>
        <v>0</v>
      </c>
      <c r="AC181" s="168">
        <f t="shared" si="13"/>
        <v>0</v>
      </c>
      <c r="AD181" s="168">
        <f t="shared" si="14"/>
        <v>0</v>
      </c>
      <c r="AE181" s="168">
        <f t="shared" si="15"/>
        <v>0</v>
      </c>
      <c r="AF181" s="168">
        <f t="shared" si="16"/>
        <v>0</v>
      </c>
      <c r="AG181" s="168">
        <f t="shared" si="17"/>
        <v>0</v>
      </c>
      <c r="AH181" s="168">
        <f t="shared" si="18"/>
        <v>0</v>
      </c>
      <c r="AI181" s="168">
        <f t="shared" si="19"/>
        <v>0</v>
      </c>
      <c r="AJ181" s="168">
        <f t="shared" si="20"/>
        <v>0</v>
      </c>
      <c r="AL181" s="5"/>
    </row>
    <row r="182" spans="17:38" x14ac:dyDescent="0.25">
      <c r="Q182">
        <v>19</v>
      </c>
      <c r="R182" s="168">
        <f>'Alim -Surf'!Q25</f>
        <v>0</v>
      </c>
      <c r="S182" s="168">
        <f>'Alim -Surf'!R25</f>
        <v>0</v>
      </c>
      <c r="T182" s="168">
        <f>VLOOKUP(R182,[1]MEP!$A$4:$M$300,13)</f>
        <v>0</v>
      </c>
      <c r="U182" s="168">
        <f t="shared" si="10"/>
        <v>0</v>
      </c>
      <c r="V182" s="168">
        <f t="shared" si="11"/>
        <v>0</v>
      </c>
      <c r="W182" s="168">
        <f t="shared" si="12"/>
        <v>0</v>
      </c>
      <c r="X182" s="168">
        <f>VLOOKUP(R182,[1]MEP!$A$4:$Q$300,14)</f>
        <v>0</v>
      </c>
      <c r="Y182" s="168">
        <f>VLOOKUP(R182,[1]MEP!$A$4:$R$300,15)</f>
        <v>0</v>
      </c>
      <c r="Z182" s="168">
        <f>VLOOKUP(R182,[1]MEP!$A$4:$R$300,16)</f>
        <v>0</v>
      </c>
      <c r="AA182" s="168">
        <f t="shared" si="8"/>
        <v>0</v>
      </c>
      <c r="AB182" s="168">
        <f t="shared" si="9"/>
        <v>0</v>
      </c>
      <c r="AC182" s="168">
        <f t="shared" si="13"/>
        <v>0</v>
      </c>
      <c r="AD182" s="168">
        <f t="shared" si="14"/>
        <v>0</v>
      </c>
      <c r="AE182" s="168">
        <f t="shared" si="15"/>
        <v>0</v>
      </c>
      <c r="AF182" s="168">
        <f t="shared" si="16"/>
        <v>0</v>
      </c>
      <c r="AG182" s="168">
        <f t="shared" si="17"/>
        <v>0</v>
      </c>
      <c r="AH182" s="168">
        <f t="shared" si="18"/>
        <v>0</v>
      </c>
      <c r="AI182" s="168">
        <f t="shared" si="19"/>
        <v>0</v>
      </c>
      <c r="AJ182" s="168">
        <f t="shared" si="20"/>
        <v>0</v>
      </c>
      <c r="AL182" s="5"/>
    </row>
    <row r="183" spans="17:38" x14ac:dyDescent="0.25">
      <c r="Q183">
        <v>20</v>
      </c>
      <c r="R183" s="168">
        <f>'Alim -Surf'!Q26</f>
        <v>0</v>
      </c>
      <c r="S183" s="168">
        <f>'Alim -Surf'!R26</f>
        <v>0</v>
      </c>
      <c r="T183" s="168">
        <f>VLOOKUP(R183,[1]MEP!$A$4:$M$300,13)</f>
        <v>0</v>
      </c>
      <c r="U183" s="168">
        <f t="shared" si="10"/>
        <v>0</v>
      </c>
      <c r="V183" s="168">
        <f t="shared" si="11"/>
        <v>0</v>
      </c>
      <c r="W183" s="168">
        <f t="shared" si="12"/>
        <v>0</v>
      </c>
      <c r="X183" s="168">
        <f>VLOOKUP(R183,[1]MEP!$A$4:$Q$300,14)</f>
        <v>0</v>
      </c>
      <c r="Y183" s="168">
        <f>VLOOKUP(R183,[1]MEP!$A$4:$R$300,15)</f>
        <v>0</v>
      </c>
      <c r="Z183" s="168">
        <f>VLOOKUP(R183,[1]MEP!$A$4:$R$300,16)</f>
        <v>0</v>
      </c>
      <c r="AA183" s="168">
        <f t="shared" si="8"/>
        <v>0</v>
      </c>
      <c r="AB183" s="168">
        <f t="shared" si="9"/>
        <v>0</v>
      </c>
      <c r="AC183" s="168">
        <f t="shared" si="13"/>
        <v>0</v>
      </c>
      <c r="AD183" s="168">
        <f t="shared" si="14"/>
        <v>0</v>
      </c>
      <c r="AE183" s="168">
        <f t="shared" si="15"/>
        <v>0</v>
      </c>
      <c r="AF183" s="168">
        <f t="shared" si="16"/>
        <v>0</v>
      </c>
      <c r="AG183" s="168">
        <f t="shared" si="17"/>
        <v>0</v>
      </c>
      <c r="AH183" s="168">
        <f t="shared" si="18"/>
        <v>0</v>
      </c>
      <c r="AI183" s="168">
        <f t="shared" si="19"/>
        <v>0</v>
      </c>
      <c r="AJ183" s="168">
        <f t="shared" si="20"/>
        <v>0</v>
      </c>
      <c r="AL183" s="5"/>
    </row>
    <row r="184" spans="17:38" x14ac:dyDescent="0.25">
      <c r="R184" s="168">
        <f>'Alim -Surf'!Q27</f>
        <v>0</v>
      </c>
      <c r="S184" s="168">
        <f>'Alim -Surf'!R27</f>
        <v>0</v>
      </c>
      <c r="T184" s="168">
        <f>VLOOKUP(R184,[1]MEP!$A$4:$M$300,13)</f>
        <v>0</v>
      </c>
      <c r="U184" s="168">
        <f t="shared" si="10"/>
        <v>0</v>
      </c>
      <c r="V184" s="168">
        <f t="shared" si="11"/>
        <v>0</v>
      </c>
      <c r="W184" s="168">
        <f t="shared" si="12"/>
        <v>0</v>
      </c>
      <c r="X184" s="168">
        <f>VLOOKUP(R184,[1]MEP!$A$4:$Q$300,14)</f>
        <v>0</v>
      </c>
      <c r="Y184" s="168">
        <f>VLOOKUP(R184,[1]MEP!$A$4:$R$300,15)</f>
        <v>0</v>
      </c>
      <c r="Z184" s="168">
        <f>VLOOKUP(R184,[1]MEP!$A$4:$R$300,16)</f>
        <v>0</v>
      </c>
      <c r="AA184" s="168">
        <f t="shared" si="8"/>
        <v>0</v>
      </c>
      <c r="AB184" s="168">
        <f t="shared" si="9"/>
        <v>0</v>
      </c>
      <c r="AC184" s="168">
        <f t="shared" si="13"/>
        <v>0</v>
      </c>
      <c r="AD184" s="168">
        <f t="shared" si="14"/>
        <v>0</v>
      </c>
      <c r="AE184" s="168">
        <f t="shared" si="15"/>
        <v>0</v>
      </c>
      <c r="AF184" s="168">
        <f t="shared" si="16"/>
        <v>0</v>
      </c>
      <c r="AG184" s="168">
        <f t="shared" si="17"/>
        <v>0</v>
      </c>
      <c r="AH184" s="168">
        <f t="shared" si="18"/>
        <v>0</v>
      </c>
      <c r="AI184" s="168">
        <f t="shared" si="19"/>
        <v>0</v>
      </c>
      <c r="AJ184" s="168">
        <f t="shared" si="20"/>
        <v>0</v>
      </c>
      <c r="AL184" s="5"/>
    </row>
    <row r="185" spans="17:38" x14ac:dyDescent="0.25">
      <c r="R185" s="168">
        <f>'Alim -Surf'!Q28</f>
        <v>0</v>
      </c>
      <c r="S185" s="168">
        <f>'Alim -Surf'!R28</f>
        <v>0</v>
      </c>
      <c r="T185" s="168">
        <f>VLOOKUP(R185,[1]MEP!$A$4:$M$300,13)</f>
        <v>0</v>
      </c>
      <c r="U185" s="168">
        <f t="shared" si="10"/>
        <v>0</v>
      </c>
      <c r="V185" s="168">
        <f t="shared" si="11"/>
        <v>0</v>
      </c>
      <c r="W185" s="168">
        <f t="shared" si="12"/>
        <v>0</v>
      </c>
      <c r="X185" s="168">
        <f>VLOOKUP(R185,[1]MEP!$A$4:$Q$300,14)</f>
        <v>0</v>
      </c>
      <c r="Y185" s="168">
        <f>VLOOKUP(R185,[1]MEP!$A$4:$R$300,15)</f>
        <v>0</v>
      </c>
      <c r="Z185" s="168">
        <f>VLOOKUP(R185,[1]MEP!$A$4:$R$300,16)</f>
        <v>0</v>
      </c>
      <c r="AA185" s="168">
        <f t="shared" si="8"/>
        <v>0</v>
      </c>
      <c r="AB185" s="168">
        <f t="shared" si="9"/>
        <v>0</v>
      </c>
      <c r="AC185" s="168">
        <f t="shared" si="13"/>
        <v>0</v>
      </c>
      <c r="AD185" s="168">
        <f t="shared" si="14"/>
        <v>0</v>
      </c>
      <c r="AE185" s="168">
        <f t="shared" si="15"/>
        <v>0</v>
      </c>
      <c r="AF185" s="168">
        <f t="shared" si="16"/>
        <v>0</v>
      </c>
      <c r="AG185" s="168">
        <f t="shared" si="17"/>
        <v>0</v>
      </c>
      <c r="AH185" s="168">
        <f t="shared" si="18"/>
        <v>0</v>
      </c>
      <c r="AI185" s="168">
        <f t="shared" si="19"/>
        <v>0</v>
      </c>
      <c r="AJ185" s="168">
        <f t="shared" si="20"/>
        <v>0</v>
      </c>
      <c r="AL185" s="5"/>
    </row>
    <row r="186" spans="17:38" x14ac:dyDescent="0.25">
      <c r="Q186">
        <v>1</v>
      </c>
      <c r="R186" s="168">
        <f>'Alim -Surf'!Q29</f>
        <v>0</v>
      </c>
      <c r="S186" s="168">
        <f>'Alim -Surf'!R29</f>
        <v>0</v>
      </c>
      <c r="T186" s="168">
        <f>VLOOKUP(R186,[1]MEP!$A$4:$M$300,13)</f>
        <v>0</v>
      </c>
      <c r="U186" s="168">
        <f t="shared" si="10"/>
        <v>0</v>
      </c>
      <c r="V186" s="168">
        <f t="shared" si="11"/>
        <v>0</v>
      </c>
      <c r="W186" s="168">
        <f t="shared" si="12"/>
        <v>0</v>
      </c>
      <c r="X186" s="168">
        <f>VLOOKUP(R186,[1]MEP!$A$4:$Q$300,14)</f>
        <v>0</v>
      </c>
      <c r="Y186" s="168">
        <f>VLOOKUP(R186,[1]MEP!$A$4:$R$300,15)</f>
        <v>0</v>
      </c>
      <c r="Z186" s="168">
        <f>VLOOKUP(R186,[1]MEP!$A$4:$R$300,16)</f>
        <v>0</v>
      </c>
      <c r="AA186" s="168">
        <f t="shared" si="8"/>
        <v>0</v>
      </c>
      <c r="AB186" s="168">
        <f t="shared" si="9"/>
        <v>0</v>
      </c>
      <c r="AC186" s="168">
        <f t="shared" si="13"/>
        <v>0</v>
      </c>
      <c r="AD186" s="168">
        <f t="shared" si="14"/>
        <v>0</v>
      </c>
      <c r="AE186" s="168">
        <f t="shared" si="15"/>
        <v>0</v>
      </c>
      <c r="AF186" s="168">
        <f t="shared" si="16"/>
        <v>0</v>
      </c>
      <c r="AG186" s="168">
        <f t="shared" si="17"/>
        <v>0</v>
      </c>
      <c r="AH186" s="168">
        <f t="shared" si="18"/>
        <v>0</v>
      </c>
      <c r="AI186" s="168">
        <f t="shared" si="19"/>
        <v>0</v>
      </c>
      <c r="AJ186" s="168">
        <f t="shared" si="20"/>
        <v>0</v>
      </c>
      <c r="AL186" s="5"/>
    </row>
    <row r="187" spans="17:38" x14ac:dyDescent="0.25">
      <c r="Q187">
        <v>2</v>
      </c>
      <c r="R187" s="168">
        <f>'Alim -Surf'!Q30</f>
        <v>0</v>
      </c>
      <c r="S187" s="168">
        <f>'Alim -Surf'!R30</f>
        <v>0</v>
      </c>
      <c r="T187" s="168">
        <f>VLOOKUP(R187,[1]MEP!$A$4:$M$300,13)</f>
        <v>0</v>
      </c>
      <c r="U187" s="168">
        <f t="shared" si="10"/>
        <v>0</v>
      </c>
      <c r="V187" s="168">
        <f t="shared" si="11"/>
        <v>0</v>
      </c>
      <c r="W187" s="168">
        <f t="shared" si="12"/>
        <v>0</v>
      </c>
      <c r="X187" s="168">
        <f>VLOOKUP(R187,[1]MEP!$A$4:$Q$300,14)</f>
        <v>0</v>
      </c>
      <c r="Y187" s="168">
        <f>VLOOKUP(R187,[1]MEP!$A$4:$R$300,15)</f>
        <v>0</v>
      </c>
      <c r="Z187" s="168">
        <f>VLOOKUP(R187,[1]MEP!$A$4:$R$300,16)</f>
        <v>0</v>
      </c>
      <c r="AA187" s="168">
        <f t="shared" si="8"/>
        <v>0</v>
      </c>
      <c r="AB187" s="168">
        <f t="shared" si="9"/>
        <v>0</v>
      </c>
      <c r="AC187" s="168">
        <f t="shared" si="13"/>
        <v>0</v>
      </c>
      <c r="AD187" s="168">
        <f t="shared" si="14"/>
        <v>0</v>
      </c>
      <c r="AE187" s="168">
        <f t="shared" si="15"/>
        <v>0</v>
      </c>
      <c r="AF187" s="168">
        <f t="shared" si="16"/>
        <v>0</v>
      </c>
      <c r="AG187" s="168">
        <f t="shared" si="17"/>
        <v>0</v>
      </c>
      <c r="AH187" s="168">
        <f t="shared" si="18"/>
        <v>0</v>
      </c>
      <c r="AI187" s="168">
        <f t="shared" si="19"/>
        <v>0</v>
      </c>
      <c r="AJ187" s="168">
        <f t="shared" si="20"/>
        <v>0</v>
      </c>
      <c r="AL187" s="5"/>
    </row>
    <row r="188" spans="17:38" x14ac:dyDescent="0.25">
      <c r="Q188">
        <v>3</v>
      </c>
      <c r="R188" s="168">
        <f>'Alim -Surf'!Q31</f>
        <v>0</v>
      </c>
      <c r="S188" s="168">
        <f>'Alim -Surf'!R31</f>
        <v>0</v>
      </c>
      <c r="T188" s="168">
        <f>VLOOKUP(R188,[1]MEP!$A$4:$M$300,13)</f>
        <v>0</v>
      </c>
      <c r="U188" s="168">
        <f t="shared" si="10"/>
        <v>0</v>
      </c>
      <c r="V188" s="168">
        <f t="shared" si="11"/>
        <v>0</v>
      </c>
      <c r="W188" s="168">
        <f t="shared" si="12"/>
        <v>0</v>
      </c>
      <c r="X188" s="168">
        <f>VLOOKUP(R188,[1]MEP!$A$4:$Q$300,14)</f>
        <v>0</v>
      </c>
      <c r="Y188" s="168">
        <f>VLOOKUP(R188,[1]MEP!$A$4:$R$300,15)</f>
        <v>0</v>
      </c>
      <c r="Z188" s="168">
        <f>VLOOKUP(R188,[1]MEP!$A$4:$R$300,16)</f>
        <v>0</v>
      </c>
      <c r="AA188" s="168">
        <f t="shared" si="8"/>
        <v>0</v>
      </c>
      <c r="AB188" s="168">
        <f t="shared" si="9"/>
        <v>0</v>
      </c>
      <c r="AC188" s="168">
        <f t="shared" si="13"/>
        <v>0</v>
      </c>
      <c r="AD188" s="168">
        <f t="shared" si="14"/>
        <v>0</v>
      </c>
      <c r="AE188" s="168">
        <f t="shared" si="15"/>
        <v>0</v>
      </c>
      <c r="AF188" s="168">
        <f t="shared" si="16"/>
        <v>0</v>
      </c>
      <c r="AG188" s="168">
        <f t="shared" si="17"/>
        <v>0</v>
      </c>
      <c r="AH188" s="168">
        <f t="shared" si="18"/>
        <v>0</v>
      </c>
      <c r="AI188" s="168">
        <f t="shared" si="19"/>
        <v>0</v>
      </c>
      <c r="AJ188" s="168">
        <f t="shared" si="20"/>
        <v>0</v>
      </c>
      <c r="AL188" s="5"/>
    </row>
    <row r="189" spans="17:38" x14ac:dyDescent="0.25">
      <c r="Q189">
        <v>4</v>
      </c>
      <c r="R189" s="168">
        <f>'Alim -Surf'!Q32</f>
        <v>0</v>
      </c>
      <c r="S189" s="168">
        <f>'Alim -Surf'!R32</f>
        <v>0</v>
      </c>
      <c r="T189" s="168">
        <f>VLOOKUP(R189,[1]MEP!$A$4:$M$300,13)</f>
        <v>0</v>
      </c>
      <c r="U189" s="168">
        <f t="shared" si="10"/>
        <v>0</v>
      </c>
      <c r="V189" s="168">
        <f t="shared" si="11"/>
        <v>0</v>
      </c>
      <c r="W189" s="168">
        <f t="shared" si="12"/>
        <v>0</v>
      </c>
      <c r="X189" s="168">
        <f>VLOOKUP(R189,[1]MEP!$A$4:$Q$300,14)</f>
        <v>0</v>
      </c>
      <c r="Y189" s="168">
        <f>VLOOKUP(R189,[1]MEP!$A$4:$R$300,15)</f>
        <v>0</v>
      </c>
      <c r="Z189" s="168">
        <f>VLOOKUP(R189,[1]MEP!$A$4:$R$300,16)</f>
        <v>0</v>
      </c>
      <c r="AA189" s="168">
        <f t="shared" si="8"/>
        <v>0</v>
      </c>
      <c r="AB189" s="168">
        <f t="shared" si="9"/>
        <v>0</v>
      </c>
      <c r="AC189" s="168">
        <f t="shared" si="13"/>
        <v>0</v>
      </c>
      <c r="AD189" s="168">
        <f t="shared" si="14"/>
        <v>0</v>
      </c>
      <c r="AE189" s="168">
        <f t="shared" si="15"/>
        <v>0</v>
      </c>
      <c r="AF189" s="168">
        <f t="shared" si="16"/>
        <v>0</v>
      </c>
      <c r="AG189" s="168">
        <f t="shared" si="17"/>
        <v>0</v>
      </c>
      <c r="AH189" s="168">
        <f t="shared" si="18"/>
        <v>0</v>
      </c>
      <c r="AI189" s="168">
        <f t="shared" si="19"/>
        <v>0</v>
      </c>
      <c r="AJ189" s="168">
        <f t="shared" si="20"/>
        <v>0</v>
      </c>
      <c r="AL189" s="5"/>
    </row>
    <row r="190" spans="17:38" x14ac:dyDescent="0.25">
      <c r="Q190">
        <v>5</v>
      </c>
      <c r="R190" s="168">
        <f>'Alim -Surf'!Q33</f>
        <v>0</v>
      </c>
      <c r="S190" s="168">
        <f>'Alim -Surf'!R33</f>
        <v>0</v>
      </c>
      <c r="T190" s="168">
        <f>VLOOKUP(R190,[1]MEP!$A$4:$M$300,13)</f>
        <v>0</v>
      </c>
      <c r="U190" s="168">
        <f t="shared" si="10"/>
        <v>0</v>
      </c>
      <c r="V190" s="168">
        <f t="shared" si="11"/>
        <v>0</v>
      </c>
      <c r="W190" s="168">
        <f t="shared" si="12"/>
        <v>0</v>
      </c>
      <c r="X190" s="168">
        <f>VLOOKUP(R190,[1]MEP!$A$4:$Q$300,14)</f>
        <v>0</v>
      </c>
      <c r="Y190" s="168">
        <f>VLOOKUP(R190,[1]MEP!$A$4:$R$300,15)</f>
        <v>0</v>
      </c>
      <c r="Z190" s="168">
        <f>VLOOKUP(R190,[1]MEP!$A$4:$R$300,16)</f>
        <v>0</v>
      </c>
      <c r="AA190" s="168">
        <f t="shared" si="8"/>
        <v>0</v>
      </c>
      <c r="AB190" s="168">
        <f t="shared" si="9"/>
        <v>0</v>
      </c>
      <c r="AC190" s="168">
        <f t="shared" si="13"/>
        <v>0</v>
      </c>
      <c r="AD190" s="168">
        <f t="shared" si="14"/>
        <v>0</v>
      </c>
      <c r="AE190" s="168">
        <f t="shared" si="15"/>
        <v>0</v>
      </c>
      <c r="AF190" s="168">
        <f t="shared" si="16"/>
        <v>0</v>
      </c>
      <c r="AG190" s="168">
        <f t="shared" si="17"/>
        <v>0</v>
      </c>
      <c r="AH190" s="168">
        <f t="shared" si="18"/>
        <v>0</v>
      </c>
      <c r="AI190" s="168">
        <f t="shared" si="19"/>
        <v>0</v>
      </c>
      <c r="AJ190" s="168">
        <f t="shared" si="20"/>
        <v>0</v>
      </c>
      <c r="AL190" s="5"/>
    </row>
    <row r="191" spans="17:38" x14ac:dyDescent="0.25">
      <c r="Q191">
        <v>6</v>
      </c>
      <c r="R191" s="168">
        <f>'Alim -Surf'!Q34</f>
        <v>0</v>
      </c>
      <c r="S191" s="168">
        <f>'Alim -Surf'!R34</f>
        <v>0</v>
      </c>
      <c r="T191" s="168">
        <f>VLOOKUP(R191,[1]MEP!$A$4:$M$300,13)</f>
        <v>0</v>
      </c>
      <c r="U191" s="168">
        <f t="shared" si="10"/>
        <v>0</v>
      </c>
      <c r="V191" s="168">
        <f t="shared" si="11"/>
        <v>0</v>
      </c>
      <c r="W191" s="168">
        <f t="shared" si="12"/>
        <v>0</v>
      </c>
      <c r="X191" s="168">
        <f>VLOOKUP(R191,[1]MEP!$A$4:$Q$300,14)</f>
        <v>0</v>
      </c>
      <c r="Y191" s="168">
        <f>VLOOKUP(R191,[1]MEP!$A$4:$R$300,15)</f>
        <v>0</v>
      </c>
      <c r="Z191" s="168">
        <f>VLOOKUP(R191,[1]MEP!$A$4:$R$300,16)</f>
        <v>0</v>
      </c>
      <c r="AA191" s="168">
        <f t="shared" si="8"/>
        <v>0</v>
      </c>
      <c r="AB191" s="168">
        <f t="shared" si="9"/>
        <v>0</v>
      </c>
      <c r="AC191" s="168">
        <f t="shared" si="13"/>
        <v>0</v>
      </c>
      <c r="AD191" s="168">
        <f t="shared" si="14"/>
        <v>0</v>
      </c>
      <c r="AE191" s="168">
        <f t="shared" si="15"/>
        <v>0</v>
      </c>
      <c r="AF191" s="168">
        <f t="shared" si="16"/>
        <v>0</v>
      </c>
      <c r="AG191" s="168">
        <f t="shared" si="17"/>
        <v>0</v>
      </c>
      <c r="AH191" s="168">
        <f t="shared" si="18"/>
        <v>0</v>
      </c>
      <c r="AI191" s="168">
        <f t="shared" si="19"/>
        <v>0</v>
      </c>
      <c r="AJ191" s="168">
        <f t="shared" si="20"/>
        <v>0</v>
      </c>
      <c r="AL191" s="5"/>
    </row>
    <row r="192" spans="17:38" x14ac:dyDescent="0.25">
      <c r="Q192">
        <v>7</v>
      </c>
      <c r="R192" s="168">
        <f>'Alim -Surf'!Q35</f>
        <v>0</v>
      </c>
      <c r="S192" s="168">
        <f>'Alim -Surf'!R35</f>
        <v>0</v>
      </c>
      <c r="T192" s="168">
        <f>VLOOKUP(R192,[1]MEP!$A$4:$M$300,13)</f>
        <v>0</v>
      </c>
      <c r="U192" s="168">
        <f t="shared" si="10"/>
        <v>0</v>
      </c>
      <c r="V192" s="168">
        <f t="shared" si="11"/>
        <v>0</v>
      </c>
      <c r="W192" s="168">
        <f t="shared" si="12"/>
        <v>0</v>
      </c>
      <c r="X192" s="168">
        <f>VLOOKUP(R192,[1]MEP!$A$4:$Q$300,14)</f>
        <v>0</v>
      </c>
      <c r="Y192" s="168">
        <f>VLOOKUP(R192,[1]MEP!$A$4:$R$300,15)</f>
        <v>0</v>
      </c>
      <c r="Z192" s="168">
        <f>VLOOKUP(R192,[1]MEP!$A$4:$R$300,16)</f>
        <v>0</v>
      </c>
      <c r="AA192" s="168">
        <f t="shared" si="8"/>
        <v>0</v>
      </c>
      <c r="AB192" s="168">
        <f t="shared" si="9"/>
        <v>0</v>
      </c>
      <c r="AC192" s="168">
        <f t="shared" si="13"/>
        <v>0</v>
      </c>
      <c r="AD192" s="168">
        <f t="shared" si="14"/>
        <v>0</v>
      </c>
      <c r="AE192" s="168">
        <f t="shared" si="15"/>
        <v>0</v>
      </c>
      <c r="AF192" s="168">
        <f t="shared" si="16"/>
        <v>0</v>
      </c>
      <c r="AG192" s="168">
        <f t="shared" si="17"/>
        <v>0</v>
      </c>
      <c r="AH192" s="168">
        <f t="shared" si="18"/>
        <v>0</v>
      </c>
      <c r="AI192" s="168">
        <f t="shared" si="19"/>
        <v>0</v>
      </c>
      <c r="AJ192" s="168">
        <f t="shared" si="20"/>
        <v>0</v>
      </c>
      <c r="AL192" s="5"/>
    </row>
    <row r="193" spans="17:38" x14ac:dyDescent="0.25">
      <c r="Q193">
        <v>8</v>
      </c>
      <c r="R193" s="168">
        <f>'Alim -Surf'!Q36</f>
        <v>0</v>
      </c>
      <c r="S193" s="168">
        <f>'Alim -Surf'!R36</f>
        <v>0</v>
      </c>
      <c r="T193" s="168">
        <f>VLOOKUP(R193,[1]MEP!$A$4:$M$300,13)</f>
        <v>0</v>
      </c>
      <c r="U193" s="168">
        <f t="shared" si="10"/>
        <v>0</v>
      </c>
      <c r="V193" s="168">
        <f t="shared" si="11"/>
        <v>0</v>
      </c>
      <c r="W193" s="168">
        <f t="shared" si="12"/>
        <v>0</v>
      </c>
      <c r="X193" s="168">
        <f>VLOOKUP(R193,[1]MEP!$A$4:$Q$300,14)</f>
        <v>0</v>
      </c>
      <c r="Y193" s="168">
        <f>VLOOKUP(R193,[1]MEP!$A$4:$R$300,15)</f>
        <v>0</v>
      </c>
      <c r="Z193" s="168">
        <f>VLOOKUP(R193,[1]MEP!$A$4:$R$300,16)</f>
        <v>0</v>
      </c>
      <c r="AA193" s="168">
        <f t="shared" si="8"/>
        <v>0</v>
      </c>
      <c r="AB193" s="168">
        <f t="shared" si="9"/>
        <v>0</v>
      </c>
      <c r="AC193" s="168">
        <f t="shared" si="13"/>
        <v>0</v>
      </c>
      <c r="AD193" s="168">
        <f t="shared" si="14"/>
        <v>0</v>
      </c>
      <c r="AE193" s="168">
        <f t="shared" si="15"/>
        <v>0</v>
      </c>
      <c r="AF193" s="168">
        <f t="shared" si="16"/>
        <v>0</v>
      </c>
      <c r="AG193" s="168">
        <f t="shared" si="17"/>
        <v>0</v>
      </c>
      <c r="AH193" s="168">
        <f t="shared" si="18"/>
        <v>0</v>
      </c>
      <c r="AI193" s="168">
        <f t="shared" si="19"/>
        <v>0</v>
      </c>
      <c r="AJ193" s="168">
        <f t="shared" si="20"/>
        <v>0</v>
      </c>
      <c r="AL193" s="5"/>
    </row>
    <row r="194" spans="17:38" x14ac:dyDescent="0.25">
      <c r="Q194">
        <v>9</v>
      </c>
      <c r="R194" s="168">
        <f>'Alim -Surf'!Q37</f>
        <v>0</v>
      </c>
      <c r="S194" s="168">
        <f>'Alim -Surf'!R37</f>
        <v>0</v>
      </c>
      <c r="T194" s="168">
        <f>VLOOKUP(R194,[1]MEP!$A$4:$M$300,13)</f>
        <v>0</v>
      </c>
      <c r="U194" s="168">
        <f t="shared" si="10"/>
        <v>0</v>
      </c>
      <c r="V194" s="168">
        <f t="shared" si="11"/>
        <v>0</v>
      </c>
      <c r="W194" s="168">
        <f t="shared" si="12"/>
        <v>0</v>
      </c>
      <c r="X194" s="168">
        <f>VLOOKUP(R194,[1]MEP!$A$4:$Q$300,14)</f>
        <v>0</v>
      </c>
      <c r="Y194" s="168">
        <f>VLOOKUP(R194,[1]MEP!$A$4:$R$300,15)</f>
        <v>0</v>
      </c>
      <c r="Z194" s="168">
        <f>VLOOKUP(R194,[1]MEP!$A$4:$R$300,16)</f>
        <v>0</v>
      </c>
      <c r="AA194" s="168">
        <f t="shared" si="8"/>
        <v>0</v>
      </c>
      <c r="AB194" s="168">
        <f t="shared" si="9"/>
        <v>0</v>
      </c>
      <c r="AC194" s="168">
        <f t="shared" si="13"/>
        <v>0</v>
      </c>
      <c r="AD194" s="168">
        <f t="shared" si="14"/>
        <v>0</v>
      </c>
      <c r="AE194" s="168">
        <f t="shared" si="15"/>
        <v>0</v>
      </c>
      <c r="AF194" s="168">
        <f t="shared" si="16"/>
        <v>0</v>
      </c>
      <c r="AG194" s="168">
        <f t="shared" si="17"/>
        <v>0</v>
      </c>
      <c r="AH194" s="168">
        <f t="shared" si="18"/>
        <v>0</v>
      </c>
      <c r="AI194" s="168">
        <f t="shared" si="19"/>
        <v>0</v>
      </c>
      <c r="AJ194" s="168">
        <f t="shared" si="20"/>
        <v>0</v>
      </c>
      <c r="AL194" s="5"/>
    </row>
    <row r="195" spans="17:38" x14ac:dyDescent="0.25">
      <c r="Q195">
        <v>10</v>
      </c>
      <c r="R195" s="168">
        <f>'Alim -Surf'!Q38</f>
        <v>0</v>
      </c>
      <c r="S195" s="168">
        <f>'Alim -Surf'!R38</f>
        <v>0</v>
      </c>
      <c r="T195" s="168">
        <f>VLOOKUP(R195,[1]MEP!$A$4:$M$300,13)</f>
        <v>0</v>
      </c>
      <c r="U195" s="168">
        <f t="shared" si="10"/>
        <v>0</v>
      </c>
      <c r="V195" s="168">
        <f t="shared" si="11"/>
        <v>0</v>
      </c>
      <c r="W195" s="168">
        <f t="shared" si="12"/>
        <v>0</v>
      </c>
      <c r="X195" s="168">
        <f>VLOOKUP(R195,[1]MEP!$A$4:$Q$300,14)</f>
        <v>0</v>
      </c>
      <c r="Y195" s="168">
        <f>VLOOKUP(R195,[1]MEP!$A$4:$R$300,15)</f>
        <v>0</v>
      </c>
      <c r="Z195" s="168">
        <f>VLOOKUP(R195,[1]MEP!$A$4:$R$300,16)</f>
        <v>0</v>
      </c>
      <c r="AA195" s="168">
        <f t="shared" si="8"/>
        <v>0</v>
      </c>
      <c r="AB195" s="168">
        <f t="shared" si="9"/>
        <v>0</v>
      </c>
      <c r="AC195" s="168">
        <f t="shared" si="13"/>
        <v>0</v>
      </c>
      <c r="AD195" s="168">
        <f t="shared" si="14"/>
        <v>0</v>
      </c>
      <c r="AE195" s="168">
        <f t="shared" si="15"/>
        <v>0</v>
      </c>
      <c r="AF195" s="168">
        <f t="shared" si="16"/>
        <v>0</v>
      </c>
      <c r="AG195" s="168">
        <f t="shared" si="17"/>
        <v>0</v>
      </c>
      <c r="AH195" s="168">
        <f t="shared" si="18"/>
        <v>0</v>
      </c>
      <c r="AI195" s="168">
        <f t="shared" si="19"/>
        <v>0</v>
      </c>
      <c r="AJ195" s="168">
        <f t="shared" si="20"/>
        <v>0</v>
      </c>
      <c r="AL195" s="5"/>
    </row>
    <row r="196" spans="17:38" x14ac:dyDescent="0.25">
      <c r="Q196">
        <v>11</v>
      </c>
      <c r="R196" s="168">
        <f>'Alim -Surf'!Q39</f>
        <v>0</v>
      </c>
      <c r="S196" s="168">
        <f>'Alim -Surf'!R39</f>
        <v>0</v>
      </c>
      <c r="T196" s="168">
        <f>VLOOKUP(R196,[1]MEP!$A$4:$M$300,13)</f>
        <v>0</v>
      </c>
      <c r="U196" s="168">
        <f t="shared" si="10"/>
        <v>0</v>
      </c>
      <c r="V196" s="168">
        <f t="shared" si="11"/>
        <v>0</v>
      </c>
      <c r="W196" s="168">
        <f t="shared" si="12"/>
        <v>0</v>
      </c>
      <c r="X196" s="168">
        <f>VLOOKUP(R196,[1]MEP!$A$4:$Q$300,14)</f>
        <v>0</v>
      </c>
      <c r="Y196" s="168">
        <f>VLOOKUP(R196,[1]MEP!$A$4:$R$300,15)</f>
        <v>0</v>
      </c>
      <c r="Z196" s="168">
        <f>VLOOKUP(R196,[1]MEP!$A$4:$R$300,16)</f>
        <v>0</v>
      </c>
      <c r="AA196" s="168">
        <f t="shared" si="8"/>
        <v>0</v>
      </c>
      <c r="AB196" s="168">
        <f t="shared" si="9"/>
        <v>0</v>
      </c>
      <c r="AC196" s="168">
        <f t="shared" si="13"/>
        <v>0</v>
      </c>
      <c r="AD196" s="168">
        <f t="shared" si="14"/>
        <v>0</v>
      </c>
      <c r="AE196" s="168">
        <f t="shared" si="15"/>
        <v>0</v>
      </c>
      <c r="AF196" s="168">
        <f t="shared" si="16"/>
        <v>0</v>
      </c>
      <c r="AG196" s="168">
        <f t="shared" si="17"/>
        <v>0</v>
      </c>
      <c r="AH196" s="168">
        <f t="shared" si="18"/>
        <v>0</v>
      </c>
      <c r="AI196" s="168">
        <f t="shared" si="19"/>
        <v>0</v>
      </c>
      <c r="AJ196" s="168">
        <f t="shared" si="20"/>
        <v>0</v>
      </c>
      <c r="AL196" s="5"/>
    </row>
    <row r="197" spans="17:38" x14ac:dyDescent="0.25">
      <c r="Q197">
        <v>12</v>
      </c>
      <c r="R197" s="168">
        <f>'Alim -Surf'!Q40</f>
        <v>0</v>
      </c>
      <c r="S197" s="168">
        <f>'Alim -Surf'!R40</f>
        <v>0</v>
      </c>
      <c r="T197" s="168">
        <f>VLOOKUP(R197,[1]MEP!$A$4:$M$300,13)</f>
        <v>0</v>
      </c>
      <c r="U197" s="168">
        <f t="shared" si="10"/>
        <v>0</v>
      </c>
      <c r="V197" s="168">
        <f t="shared" si="11"/>
        <v>0</v>
      </c>
      <c r="W197" s="168">
        <f t="shared" si="12"/>
        <v>0</v>
      </c>
      <c r="X197" s="168">
        <f>VLOOKUP(R197,[1]MEP!$A$4:$Q$300,14)</f>
        <v>0</v>
      </c>
      <c r="Y197" s="168">
        <f>VLOOKUP(R197,[1]MEP!$A$4:$R$300,15)</f>
        <v>0</v>
      </c>
      <c r="Z197" s="168">
        <f>VLOOKUP(R197,[1]MEP!$A$4:$R$300,16)</f>
        <v>0</v>
      </c>
      <c r="AA197" s="168">
        <f t="shared" si="8"/>
        <v>0</v>
      </c>
      <c r="AB197" s="168">
        <f t="shared" si="9"/>
        <v>0</v>
      </c>
      <c r="AC197" s="168">
        <f t="shared" si="13"/>
        <v>0</v>
      </c>
      <c r="AD197" s="168">
        <f t="shared" si="14"/>
        <v>0</v>
      </c>
      <c r="AE197" s="168">
        <f t="shared" si="15"/>
        <v>0</v>
      </c>
      <c r="AF197" s="168">
        <f t="shared" si="16"/>
        <v>0</v>
      </c>
      <c r="AG197" s="168">
        <f t="shared" si="17"/>
        <v>0</v>
      </c>
      <c r="AH197" s="168">
        <f t="shared" si="18"/>
        <v>0</v>
      </c>
      <c r="AI197" s="168">
        <f t="shared" si="19"/>
        <v>0</v>
      </c>
      <c r="AJ197" s="168">
        <f t="shared" si="20"/>
        <v>0</v>
      </c>
      <c r="AL197" s="5"/>
    </row>
    <row r="198" spans="17:38" x14ac:dyDescent="0.25">
      <c r="Q198">
        <v>13</v>
      </c>
      <c r="R198" s="168">
        <f>'Alim -Surf'!Q41</f>
        <v>0</v>
      </c>
      <c r="S198" s="168">
        <f>'Alim -Surf'!R41</f>
        <v>0</v>
      </c>
      <c r="T198" s="168">
        <f>VLOOKUP(R198,[1]MEP!$A$4:$M$300,13)</f>
        <v>0</v>
      </c>
      <c r="U198" s="168">
        <f t="shared" si="10"/>
        <v>0</v>
      </c>
      <c r="V198" s="168">
        <f t="shared" si="11"/>
        <v>0</v>
      </c>
      <c r="W198" s="168">
        <f t="shared" si="12"/>
        <v>0</v>
      </c>
      <c r="X198" s="168">
        <f>VLOOKUP(R198,[1]MEP!$A$4:$Q$300,14)</f>
        <v>0</v>
      </c>
      <c r="Y198" s="168">
        <f>VLOOKUP(R198,[1]MEP!$A$4:$R$300,15)</f>
        <v>0</v>
      </c>
      <c r="Z198" s="168">
        <f>VLOOKUP(R198,[1]MEP!$A$4:$R$300,16)</f>
        <v>0</v>
      </c>
      <c r="AA198" s="168">
        <f t="shared" si="8"/>
        <v>0</v>
      </c>
      <c r="AB198" s="168">
        <f t="shared" si="9"/>
        <v>0</v>
      </c>
      <c r="AC198" s="168">
        <f t="shared" si="13"/>
        <v>0</v>
      </c>
      <c r="AD198" s="168">
        <f t="shared" si="14"/>
        <v>0</v>
      </c>
      <c r="AE198" s="168">
        <f t="shared" si="15"/>
        <v>0</v>
      </c>
      <c r="AF198" s="168">
        <f t="shared" si="16"/>
        <v>0</v>
      </c>
      <c r="AG198" s="168">
        <f t="shared" si="17"/>
        <v>0</v>
      </c>
      <c r="AH198" s="168">
        <f t="shared" si="18"/>
        <v>0</v>
      </c>
      <c r="AI198" s="168">
        <f t="shared" si="19"/>
        <v>0</v>
      </c>
      <c r="AJ198" s="168">
        <f t="shared" si="20"/>
        <v>0</v>
      </c>
      <c r="AL198" s="5"/>
    </row>
    <row r="199" spans="17:38" x14ac:dyDescent="0.25">
      <c r="Q199">
        <v>14</v>
      </c>
      <c r="R199" s="168">
        <f>'Alim -Surf'!Q42</f>
        <v>0</v>
      </c>
      <c r="S199" s="168">
        <f>'Alim -Surf'!R42</f>
        <v>0</v>
      </c>
      <c r="T199" s="168">
        <f>VLOOKUP(R199,[1]MEP!$A$4:$M$300,13)</f>
        <v>0</v>
      </c>
      <c r="U199" s="168">
        <f t="shared" si="10"/>
        <v>0</v>
      </c>
      <c r="V199" s="168">
        <f t="shared" si="11"/>
        <v>0</v>
      </c>
      <c r="W199" s="168">
        <f t="shared" si="12"/>
        <v>0</v>
      </c>
      <c r="X199" s="168">
        <f>VLOOKUP(R199,[1]MEP!$A$4:$Q$300,14)</f>
        <v>0</v>
      </c>
      <c r="Y199" s="168">
        <f>VLOOKUP(R199,[1]MEP!$A$4:$R$300,15)</f>
        <v>0</v>
      </c>
      <c r="Z199" s="168">
        <f>VLOOKUP(R199,[1]MEP!$A$4:$R$300,16)</f>
        <v>0</v>
      </c>
      <c r="AA199" s="168">
        <f t="shared" si="8"/>
        <v>0</v>
      </c>
      <c r="AB199" s="168">
        <f t="shared" si="9"/>
        <v>0</v>
      </c>
      <c r="AC199" s="168">
        <f t="shared" si="13"/>
        <v>0</v>
      </c>
      <c r="AD199" s="168">
        <f t="shared" si="14"/>
        <v>0</v>
      </c>
      <c r="AE199" s="168">
        <f t="shared" si="15"/>
        <v>0</v>
      </c>
      <c r="AF199" s="168">
        <f t="shared" si="16"/>
        <v>0</v>
      </c>
      <c r="AG199" s="168">
        <f t="shared" si="17"/>
        <v>0</v>
      </c>
      <c r="AH199" s="168">
        <f t="shared" si="18"/>
        <v>0</v>
      </c>
      <c r="AI199" s="168">
        <f t="shared" si="19"/>
        <v>0</v>
      </c>
      <c r="AJ199" s="168">
        <f t="shared" si="20"/>
        <v>0</v>
      </c>
      <c r="AL199" s="5"/>
    </row>
    <row r="200" spans="17:38" x14ac:dyDescent="0.25">
      <c r="Q200">
        <v>15</v>
      </c>
      <c r="R200" s="168">
        <f>'Alim -Surf'!Q43</f>
        <v>0</v>
      </c>
      <c r="S200" s="168">
        <f>'Alim -Surf'!R43</f>
        <v>0</v>
      </c>
      <c r="T200" s="168">
        <f>VLOOKUP(R200,[1]MEP!$A$4:$M$300,13)</f>
        <v>0</v>
      </c>
      <c r="U200" s="168">
        <f t="shared" si="10"/>
        <v>0</v>
      </c>
      <c r="V200" s="168">
        <f t="shared" si="11"/>
        <v>0</v>
      </c>
      <c r="W200" s="168">
        <f t="shared" si="12"/>
        <v>0</v>
      </c>
      <c r="X200" s="168">
        <f>VLOOKUP(R200,[1]MEP!$A$4:$Q$300,14)</f>
        <v>0</v>
      </c>
      <c r="Y200" s="168">
        <f>VLOOKUP(R200,[1]MEP!$A$4:$R$300,15)</f>
        <v>0</v>
      </c>
      <c r="Z200" s="168">
        <f>VLOOKUP(R200,[1]MEP!$A$4:$R$300,16)</f>
        <v>0</v>
      </c>
      <c r="AA200" s="168">
        <f t="shared" si="8"/>
        <v>0</v>
      </c>
      <c r="AB200" s="168">
        <f t="shared" si="9"/>
        <v>0</v>
      </c>
      <c r="AC200" s="168">
        <f t="shared" si="13"/>
        <v>0</v>
      </c>
      <c r="AD200" s="168">
        <f t="shared" si="14"/>
        <v>0</v>
      </c>
      <c r="AE200" s="168">
        <f t="shared" si="15"/>
        <v>0</v>
      </c>
      <c r="AF200" s="168">
        <f t="shared" si="16"/>
        <v>0</v>
      </c>
      <c r="AG200" s="168">
        <f t="shared" si="17"/>
        <v>0</v>
      </c>
      <c r="AH200" s="168">
        <f t="shared" si="18"/>
        <v>0</v>
      </c>
      <c r="AI200" s="168">
        <f t="shared" si="19"/>
        <v>0</v>
      </c>
      <c r="AJ200" s="168">
        <f t="shared" si="20"/>
        <v>0</v>
      </c>
      <c r="AL200" s="5"/>
    </row>
    <row r="201" spans="17:38" x14ac:dyDescent="0.25">
      <c r="Q201">
        <v>16</v>
      </c>
      <c r="R201" s="168">
        <f>'Alim -Surf'!Q44</f>
        <v>0</v>
      </c>
      <c r="S201" s="168">
        <f>'Alim -Surf'!R44</f>
        <v>0</v>
      </c>
      <c r="T201" s="168">
        <f>VLOOKUP(R201,[1]MEP!$A$4:$M$300,13)</f>
        <v>0</v>
      </c>
      <c r="U201" s="168">
        <f t="shared" si="10"/>
        <v>0</v>
      </c>
      <c r="V201" s="168">
        <f t="shared" si="11"/>
        <v>0</v>
      </c>
      <c r="W201" s="168">
        <f t="shared" si="12"/>
        <v>0</v>
      </c>
      <c r="X201" s="168">
        <f>VLOOKUP(R201,[1]MEP!$A$4:$Q$300,14)</f>
        <v>0</v>
      </c>
      <c r="Y201" s="168">
        <f>VLOOKUP(R201,[1]MEP!$A$4:$R$300,15)</f>
        <v>0</v>
      </c>
      <c r="Z201" s="168">
        <f>VLOOKUP(R201,[1]MEP!$A$4:$R$300,16)</f>
        <v>0</v>
      </c>
      <c r="AA201" s="168">
        <f t="shared" si="8"/>
        <v>0</v>
      </c>
      <c r="AB201" s="168">
        <f t="shared" si="9"/>
        <v>0</v>
      </c>
      <c r="AC201" s="168">
        <f t="shared" si="13"/>
        <v>0</v>
      </c>
      <c r="AD201" s="168">
        <f t="shared" si="14"/>
        <v>0</v>
      </c>
      <c r="AE201" s="168">
        <f t="shared" si="15"/>
        <v>0</v>
      </c>
      <c r="AF201" s="168">
        <f t="shared" si="16"/>
        <v>0</v>
      </c>
      <c r="AG201" s="168">
        <f t="shared" si="17"/>
        <v>0</v>
      </c>
      <c r="AH201" s="168">
        <f t="shared" si="18"/>
        <v>0</v>
      </c>
      <c r="AI201" s="168">
        <f t="shared" si="19"/>
        <v>0</v>
      </c>
      <c r="AJ201" s="168">
        <f t="shared" si="20"/>
        <v>0</v>
      </c>
      <c r="AL201" s="5"/>
    </row>
    <row r="202" spans="17:38" x14ac:dyDescent="0.25">
      <c r="Q202">
        <v>17</v>
      </c>
      <c r="R202" s="168">
        <f>'Alim -Surf'!Q45</f>
        <v>0</v>
      </c>
      <c r="S202" s="168">
        <f>'Alim -Surf'!R45</f>
        <v>0</v>
      </c>
      <c r="T202" s="168">
        <f>VLOOKUP(R202,[1]MEP!$A$4:$M$300,13)</f>
        <v>0</v>
      </c>
      <c r="U202" s="168">
        <f t="shared" si="10"/>
        <v>0</v>
      </c>
      <c r="V202" s="168">
        <f t="shared" si="11"/>
        <v>0</v>
      </c>
      <c r="W202" s="168">
        <f t="shared" si="12"/>
        <v>0</v>
      </c>
      <c r="X202" s="168">
        <f>VLOOKUP(R202,[1]MEP!$A$4:$Q$300,14)</f>
        <v>0</v>
      </c>
      <c r="Y202" s="168">
        <f>VLOOKUP(R202,[1]MEP!$A$4:$R$300,15)</f>
        <v>0</v>
      </c>
      <c r="Z202" s="168">
        <f>VLOOKUP(R202,[1]MEP!$A$4:$R$300,16)</f>
        <v>0</v>
      </c>
      <c r="AA202" s="168">
        <f t="shared" si="8"/>
        <v>0</v>
      </c>
      <c r="AB202" s="168">
        <f t="shared" si="9"/>
        <v>0</v>
      </c>
      <c r="AC202" s="168">
        <f t="shared" si="13"/>
        <v>0</v>
      </c>
      <c r="AD202" s="168">
        <f t="shared" si="14"/>
        <v>0</v>
      </c>
      <c r="AE202" s="168">
        <f t="shared" si="15"/>
        <v>0</v>
      </c>
      <c r="AF202" s="168">
        <f t="shared" si="16"/>
        <v>0</v>
      </c>
      <c r="AG202" s="168">
        <f t="shared" si="17"/>
        <v>0</v>
      </c>
      <c r="AH202" s="168">
        <f t="shared" si="18"/>
        <v>0</v>
      </c>
      <c r="AI202" s="168">
        <f t="shared" si="19"/>
        <v>0</v>
      </c>
      <c r="AJ202" s="168">
        <f t="shared" si="20"/>
        <v>0</v>
      </c>
      <c r="AL202" s="5"/>
    </row>
    <row r="203" spans="17:38" x14ac:dyDescent="0.25">
      <c r="Q203">
        <v>18</v>
      </c>
      <c r="R203" s="168">
        <f>'Alim -Surf'!Q46</f>
        <v>0</v>
      </c>
      <c r="S203" s="168">
        <f>'Alim -Surf'!R46</f>
        <v>0</v>
      </c>
      <c r="T203" s="168">
        <f>VLOOKUP(R203,[1]MEP!$A$4:$M$300,13)</f>
        <v>0</v>
      </c>
      <c r="U203" s="168">
        <f t="shared" si="10"/>
        <v>0</v>
      </c>
      <c r="V203" s="168">
        <f t="shared" si="11"/>
        <v>0</v>
      </c>
      <c r="W203" s="168">
        <f t="shared" si="12"/>
        <v>0</v>
      </c>
      <c r="X203" s="168">
        <f>VLOOKUP(R203,[1]MEP!$A$4:$Q$300,14)</f>
        <v>0</v>
      </c>
      <c r="Y203" s="168">
        <f>VLOOKUP(R203,[1]MEP!$A$4:$R$300,15)</f>
        <v>0</v>
      </c>
      <c r="Z203" s="168">
        <f>VLOOKUP(R203,[1]MEP!$A$4:$R$300,16)</f>
        <v>0</v>
      </c>
      <c r="AA203" s="168">
        <f t="shared" si="8"/>
        <v>0</v>
      </c>
      <c r="AB203" s="168">
        <f t="shared" si="9"/>
        <v>0</v>
      </c>
      <c r="AC203" s="168">
        <f t="shared" si="13"/>
        <v>0</v>
      </c>
      <c r="AD203" s="168">
        <f t="shared" si="14"/>
        <v>0</v>
      </c>
      <c r="AE203" s="168">
        <f t="shared" si="15"/>
        <v>0</v>
      </c>
      <c r="AF203" s="168">
        <f t="shared" si="16"/>
        <v>0</v>
      </c>
      <c r="AG203" s="168">
        <f t="shared" si="17"/>
        <v>0</v>
      </c>
      <c r="AH203" s="168">
        <f t="shared" si="18"/>
        <v>0</v>
      </c>
      <c r="AI203" s="168">
        <f t="shared" si="19"/>
        <v>0</v>
      </c>
      <c r="AJ203" s="168">
        <f t="shared" si="20"/>
        <v>0</v>
      </c>
      <c r="AL203" s="5"/>
    </row>
    <row r="204" spans="17:38" x14ac:dyDescent="0.25">
      <c r="Q204">
        <v>19</v>
      </c>
      <c r="R204" s="168">
        <f>'Alim -Surf'!Q47</f>
        <v>0</v>
      </c>
      <c r="S204" s="168">
        <f>'Alim -Surf'!R47</f>
        <v>0</v>
      </c>
      <c r="T204" s="168">
        <f>VLOOKUP(R204,[1]MEP!$A$4:$M$300,13)</f>
        <v>0</v>
      </c>
      <c r="U204" s="168">
        <f t="shared" si="10"/>
        <v>0</v>
      </c>
      <c r="V204" s="168">
        <f t="shared" si="11"/>
        <v>0</v>
      </c>
      <c r="W204" s="168">
        <f t="shared" si="12"/>
        <v>0</v>
      </c>
      <c r="X204" s="168">
        <f>VLOOKUP(R204,[1]MEP!$A$4:$Q$300,14)</f>
        <v>0</v>
      </c>
      <c r="Y204" s="168">
        <f>VLOOKUP(R204,[1]MEP!$A$4:$R$300,15)</f>
        <v>0</v>
      </c>
      <c r="Z204" s="168">
        <f>VLOOKUP(R204,[1]MEP!$A$4:$R$300,16)</f>
        <v>0</v>
      </c>
      <c r="AA204" s="168">
        <f t="shared" si="8"/>
        <v>0</v>
      </c>
      <c r="AB204" s="168">
        <f t="shared" si="9"/>
        <v>0</v>
      </c>
      <c r="AC204" s="168">
        <f t="shared" si="13"/>
        <v>0</v>
      </c>
      <c r="AD204" s="168">
        <f t="shared" si="14"/>
        <v>0</v>
      </c>
      <c r="AE204" s="168">
        <f t="shared" si="15"/>
        <v>0</v>
      </c>
      <c r="AF204" s="168">
        <f t="shared" si="16"/>
        <v>0</v>
      </c>
      <c r="AG204" s="168">
        <f t="shared" si="17"/>
        <v>0</v>
      </c>
      <c r="AH204" s="168">
        <f t="shared" si="18"/>
        <v>0</v>
      </c>
      <c r="AI204" s="168">
        <f t="shared" si="19"/>
        <v>0</v>
      </c>
      <c r="AJ204" s="168">
        <f t="shared" si="20"/>
        <v>0</v>
      </c>
      <c r="AL204" s="5"/>
    </row>
    <row r="205" spans="17:38" x14ac:dyDescent="0.25">
      <c r="Q205">
        <v>20</v>
      </c>
      <c r="R205" s="168">
        <f>'Alim -Surf'!Q48</f>
        <v>0</v>
      </c>
      <c r="S205" s="168">
        <f>'Alim -Surf'!R48</f>
        <v>0</v>
      </c>
      <c r="T205" s="168">
        <f>VLOOKUP(R205,[1]MEP!$A$4:$M$300,13)</f>
        <v>0</v>
      </c>
      <c r="U205" s="168">
        <f t="shared" si="10"/>
        <v>0</v>
      </c>
      <c r="V205" s="168">
        <f t="shared" si="11"/>
        <v>0</v>
      </c>
      <c r="W205" s="168">
        <f t="shared" si="12"/>
        <v>0</v>
      </c>
      <c r="X205" s="168">
        <f>VLOOKUP(R205,[1]MEP!$A$4:$Q$300,14)</f>
        <v>0</v>
      </c>
      <c r="Y205" s="168">
        <f>VLOOKUP(R205,[1]MEP!$A$4:$R$300,15)</f>
        <v>0</v>
      </c>
      <c r="Z205" s="168">
        <f>VLOOKUP(R205,[1]MEP!$A$4:$R$300,16)</f>
        <v>0</v>
      </c>
      <c r="AA205" s="168">
        <f t="shared" si="8"/>
        <v>0</v>
      </c>
      <c r="AB205" s="168">
        <f t="shared" si="9"/>
        <v>0</v>
      </c>
      <c r="AC205" s="168">
        <f t="shared" si="13"/>
        <v>0</v>
      </c>
      <c r="AD205" s="168">
        <f t="shared" si="14"/>
        <v>0</v>
      </c>
      <c r="AE205" s="168">
        <f t="shared" si="15"/>
        <v>0</v>
      </c>
      <c r="AF205" s="168">
        <f t="shared" si="16"/>
        <v>0</v>
      </c>
      <c r="AG205" s="168">
        <f t="shared" si="17"/>
        <v>0</v>
      </c>
      <c r="AH205" s="168">
        <f t="shared" si="18"/>
        <v>0</v>
      </c>
      <c r="AI205" s="168">
        <f t="shared" si="19"/>
        <v>0</v>
      </c>
      <c r="AJ205" s="168">
        <f t="shared" si="20"/>
        <v>0</v>
      </c>
      <c r="AL205" s="5"/>
    </row>
    <row r="206" spans="17:38" x14ac:dyDescent="0.25">
      <c r="Q206" s="5"/>
      <c r="R206" s="168">
        <f>'Alim -Surf'!Q49</f>
        <v>0</v>
      </c>
      <c r="S206" s="168">
        <f>'Alim -Surf'!R49</f>
        <v>0</v>
      </c>
      <c r="T206" s="168">
        <f>VLOOKUP(R206,[1]MEP!$A$4:$M$300,13)</f>
        <v>0</v>
      </c>
      <c r="U206" s="168">
        <f t="shared" si="10"/>
        <v>0</v>
      </c>
      <c r="V206" s="168">
        <f t="shared" si="11"/>
        <v>0</v>
      </c>
      <c r="W206" s="168">
        <f t="shared" si="12"/>
        <v>0</v>
      </c>
      <c r="X206" s="168">
        <f>VLOOKUP(R206,[1]MEP!$A$4:$Q$300,14)</f>
        <v>0</v>
      </c>
      <c r="Y206" s="168">
        <f>VLOOKUP(R206,[1]MEP!$A$4:$R$300,15)</f>
        <v>0</v>
      </c>
      <c r="Z206" s="168">
        <f>VLOOKUP(R206,[1]MEP!$A$4:$R$300,16)</f>
        <v>0</v>
      </c>
      <c r="AA206" s="168">
        <f t="shared" si="8"/>
        <v>0</v>
      </c>
      <c r="AB206" s="168">
        <f t="shared" si="9"/>
        <v>0</v>
      </c>
      <c r="AC206" s="168">
        <f t="shared" si="13"/>
        <v>0</v>
      </c>
      <c r="AD206" s="168">
        <f t="shared" si="14"/>
        <v>0</v>
      </c>
      <c r="AE206" s="168">
        <f t="shared" si="15"/>
        <v>0</v>
      </c>
      <c r="AF206" s="168">
        <f t="shared" si="16"/>
        <v>0</v>
      </c>
      <c r="AG206" s="168">
        <f t="shared" si="17"/>
        <v>0</v>
      </c>
      <c r="AH206" s="168">
        <f t="shared" si="18"/>
        <v>0</v>
      </c>
      <c r="AI206" s="168">
        <f t="shared" si="19"/>
        <v>0</v>
      </c>
      <c r="AJ206" s="168">
        <f t="shared" si="20"/>
        <v>0</v>
      </c>
      <c r="AL206" s="5"/>
    </row>
    <row r="207" spans="17:38" x14ac:dyDescent="0.25">
      <c r="Q207" s="5"/>
      <c r="R207" s="168">
        <f>'Alim -Surf'!Q50</f>
        <v>0</v>
      </c>
      <c r="S207" s="168">
        <f>'Alim -Surf'!R50</f>
        <v>0</v>
      </c>
      <c r="T207" s="168">
        <f>VLOOKUP(R207,[1]MEP!$A$4:$M$300,13)</f>
        <v>0</v>
      </c>
      <c r="U207" s="168">
        <f t="shared" si="10"/>
        <v>0</v>
      </c>
      <c r="V207" s="168">
        <f t="shared" si="11"/>
        <v>0</v>
      </c>
      <c r="W207" s="168">
        <f t="shared" si="12"/>
        <v>0</v>
      </c>
      <c r="X207" s="168">
        <f>VLOOKUP(R207,[1]MEP!$A$4:$Q$300,14)</f>
        <v>0</v>
      </c>
      <c r="Y207" s="168">
        <f>VLOOKUP(R207,[1]MEP!$A$4:$R$300,15)</f>
        <v>0</v>
      </c>
      <c r="Z207" s="168">
        <f>VLOOKUP(R207,[1]MEP!$A$4:$R$300,16)</f>
        <v>0</v>
      </c>
      <c r="AA207" s="168">
        <f t="shared" si="8"/>
        <v>0</v>
      </c>
      <c r="AB207" s="168">
        <f t="shared" si="9"/>
        <v>0</v>
      </c>
      <c r="AC207" s="168">
        <f t="shared" si="13"/>
        <v>0</v>
      </c>
      <c r="AD207" s="168">
        <f t="shared" si="14"/>
        <v>0</v>
      </c>
      <c r="AE207" s="168">
        <f t="shared" si="15"/>
        <v>0</v>
      </c>
      <c r="AF207" s="168">
        <f t="shared" si="16"/>
        <v>0</v>
      </c>
      <c r="AG207" s="168">
        <f t="shared" si="17"/>
        <v>0</v>
      </c>
      <c r="AH207" s="168">
        <f t="shared" si="18"/>
        <v>0</v>
      </c>
      <c r="AI207" s="168">
        <f t="shared" si="19"/>
        <v>0</v>
      </c>
      <c r="AJ207" s="168">
        <f t="shared" si="20"/>
        <v>0</v>
      </c>
      <c r="AL207" s="5"/>
    </row>
    <row r="208" spans="17:38" x14ac:dyDescent="0.25">
      <c r="Q208" s="171">
        <v>1</v>
      </c>
      <c r="R208" s="168"/>
      <c r="S208" s="168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L208" s="5"/>
    </row>
    <row r="209" spans="17:38" x14ac:dyDescent="0.25">
      <c r="Q209" s="171">
        <v>2</v>
      </c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L209" s="5"/>
    </row>
    <row r="210" spans="17:38" x14ac:dyDescent="0.25">
      <c r="Q210" s="171">
        <v>3</v>
      </c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L210" s="5"/>
    </row>
    <row r="211" spans="17:38" x14ac:dyDescent="0.25">
      <c r="Q211" s="171">
        <v>4</v>
      </c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L211" s="5"/>
    </row>
    <row r="212" spans="17:38" x14ac:dyDescent="0.25">
      <c r="Q212" s="171">
        <v>5</v>
      </c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L212" s="5"/>
    </row>
    <row r="213" spans="17:38" x14ac:dyDescent="0.25">
      <c r="Q213" s="171">
        <v>6</v>
      </c>
      <c r="R213" s="168"/>
      <c r="S213" s="168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L213" s="5"/>
    </row>
    <row r="214" spans="17:38" x14ac:dyDescent="0.25">
      <c r="Q214" s="171">
        <v>7</v>
      </c>
      <c r="R214" s="168"/>
      <c r="S214" s="168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L214" s="5"/>
    </row>
    <row r="215" spans="17:38" x14ac:dyDescent="0.25">
      <c r="Q215" s="171">
        <v>8</v>
      </c>
      <c r="R215" s="168"/>
      <c r="S215" s="168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L215" s="5"/>
    </row>
    <row r="216" spans="17:38" x14ac:dyDescent="0.25">
      <c r="Q216" s="171">
        <v>9</v>
      </c>
      <c r="R216" s="168"/>
      <c r="S216" s="168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L216" s="5"/>
    </row>
    <row r="217" spans="17:38" x14ac:dyDescent="0.25">
      <c r="Q217" s="171">
        <v>10</v>
      </c>
      <c r="R217" s="168"/>
      <c r="S217" s="168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  <c r="AH217" s="168"/>
      <c r="AI217" s="168"/>
      <c r="AJ217" s="168"/>
      <c r="AL217" s="5"/>
    </row>
    <row r="218" spans="17:38" x14ac:dyDescent="0.25">
      <c r="Q218" s="171">
        <v>11</v>
      </c>
      <c r="R218" s="168"/>
      <c r="S218" s="168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  <c r="AH218" s="168"/>
      <c r="AI218" s="168"/>
      <c r="AJ218" s="168"/>
      <c r="AL218" s="5"/>
    </row>
    <row r="219" spans="17:38" x14ac:dyDescent="0.25">
      <c r="Q219" s="171">
        <v>12</v>
      </c>
      <c r="R219" s="168"/>
      <c r="S219" s="168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8"/>
      <c r="AG219" s="168"/>
      <c r="AH219" s="168"/>
      <c r="AI219" s="168"/>
      <c r="AJ219" s="168"/>
      <c r="AL219" s="5"/>
    </row>
    <row r="220" spans="17:38" x14ac:dyDescent="0.25">
      <c r="Q220" s="171">
        <v>13</v>
      </c>
      <c r="R220" s="168"/>
      <c r="S220" s="168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  <c r="AG220" s="168"/>
      <c r="AH220" s="168"/>
      <c r="AI220" s="168"/>
      <c r="AJ220" s="168"/>
      <c r="AL220" s="5"/>
    </row>
    <row r="221" spans="17:38" x14ac:dyDescent="0.25">
      <c r="Q221" s="171">
        <v>14</v>
      </c>
      <c r="R221" s="168"/>
      <c r="S221" s="168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8"/>
      <c r="AG221" s="168"/>
      <c r="AH221" s="168"/>
      <c r="AI221" s="168"/>
      <c r="AJ221" s="168"/>
      <c r="AL221" s="5"/>
    </row>
    <row r="222" spans="17:38" x14ac:dyDescent="0.25">
      <c r="Q222" s="171">
        <v>15</v>
      </c>
      <c r="R222" s="168"/>
      <c r="S222" s="168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L222" s="5"/>
    </row>
    <row r="223" spans="17:38" x14ac:dyDescent="0.25">
      <c r="Q223" s="171">
        <v>16</v>
      </c>
      <c r="R223" s="168"/>
      <c r="S223" s="168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L223" s="5"/>
    </row>
    <row r="224" spans="17:38" x14ac:dyDescent="0.25">
      <c r="Q224" s="171">
        <v>17</v>
      </c>
      <c r="R224" s="168"/>
      <c r="S224" s="168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L224" s="5"/>
    </row>
    <row r="225" spans="17:38" x14ac:dyDescent="0.25">
      <c r="Q225" s="171">
        <v>18</v>
      </c>
      <c r="R225" s="168"/>
      <c r="S225" s="168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L225" s="5"/>
    </row>
    <row r="226" spans="17:38" x14ac:dyDescent="0.25">
      <c r="Q226" s="171">
        <v>19</v>
      </c>
      <c r="R226" s="168"/>
      <c r="S226" s="168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L226" s="5"/>
    </row>
    <row r="227" spans="17:38" x14ac:dyDescent="0.25">
      <c r="Q227" s="171">
        <v>20</v>
      </c>
      <c r="R227" s="168"/>
      <c r="S227" s="168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L227" s="5"/>
    </row>
    <row r="228" spans="17:38" x14ac:dyDescent="0.25">
      <c r="Q228" s="2" t="s">
        <v>652</v>
      </c>
      <c r="R228" s="2"/>
      <c r="S228" s="62">
        <f t="shared" ref="S228" si="21">SUM(S164:S227)</f>
        <v>32.629999999999995</v>
      </c>
      <c r="U228" s="62">
        <f>SUM(U164:U227)</f>
        <v>21.58</v>
      </c>
      <c r="V228" s="62">
        <f t="shared" ref="V228:W228" si="22">SUM(V164:V227)</f>
        <v>4.42</v>
      </c>
      <c r="W228" s="62">
        <f t="shared" si="22"/>
        <v>0</v>
      </c>
      <c r="X228" s="2"/>
      <c r="Y228" s="2"/>
      <c r="AA228" s="62">
        <f t="shared" ref="AA228:AC228" si="23">SUM(AA164:AA227)</f>
        <v>0</v>
      </c>
      <c r="AB228" s="62">
        <f t="shared" si="23"/>
        <v>0</v>
      </c>
      <c r="AC228" s="62">
        <f t="shared" si="23"/>
        <v>5</v>
      </c>
      <c r="AD228" s="62">
        <f>SUM(AD164:AD227)</f>
        <v>27.63</v>
      </c>
      <c r="AE228" s="62">
        <f t="shared" ref="AE228:AJ228" si="24">SUM(AE164:AE227)</f>
        <v>0</v>
      </c>
      <c r="AF228" s="62">
        <f t="shared" si="24"/>
        <v>5</v>
      </c>
      <c r="AG228" s="62">
        <f t="shared" si="24"/>
        <v>0</v>
      </c>
      <c r="AH228" s="62">
        <f t="shared" si="24"/>
        <v>11.049999999999999</v>
      </c>
      <c r="AI228" s="62">
        <f t="shared" si="24"/>
        <v>12.16</v>
      </c>
      <c r="AJ228" s="62">
        <f t="shared" si="24"/>
        <v>4.42</v>
      </c>
      <c r="AL228" s="5"/>
    </row>
  </sheetData>
  <dataValidations count="14">
    <dataValidation type="list" allowBlank="1" showInputMessage="1" showErrorMessage="1" sqref="K96:K125">
      <formula1>$Q$96:$Q$97</formula1>
    </dataValidation>
    <dataValidation type="list" allowBlank="1" showInputMessage="1" showErrorMessage="1" sqref="K129">
      <formula1>$N$129:$N$130</formula1>
    </dataValidation>
    <dataValidation type="list" allowBlank="1" showInputMessage="1" showErrorMessage="1" sqref="K87">
      <formula1>$R$75:$R$80</formula1>
    </dataValidation>
    <dataValidation type="list" allowBlank="1" showInputMessage="1" showErrorMessage="1" sqref="K92:K93">
      <formula1>$T$86:$T$89</formula1>
    </dataValidation>
    <dataValidation type="list" allowBlank="1" showInputMessage="1" showErrorMessage="1" sqref="K89:K90">
      <formula1>$P$86:$P$88</formula1>
    </dataValidation>
    <dataValidation type="list" allowBlank="1" showInputMessage="1" showErrorMessage="1" sqref="K88">
      <formula1>$P$83:$P$84</formula1>
    </dataValidation>
    <dataValidation type="list" allowBlank="1" showInputMessage="1" showErrorMessage="1" sqref="K64 K69 K57">
      <formula1>$P$56:$P$62</formula1>
    </dataValidation>
    <dataValidation type="list" allowBlank="1" showInputMessage="1" showErrorMessage="1" sqref="K13">
      <formula1>$V$6:$V$12</formula1>
    </dataValidation>
    <dataValidation type="list" allowBlank="1" showInputMessage="1" showErrorMessage="1" sqref="K12">
      <formula1>$T$6:$T$11</formula1>
    </dataValidation>
    <dataValidation type="list" allowBlank="1" showInputMessage="1" showErrorMessage="1" sqref="K8">
      <formula1>$P$6:$P$10</formula1>
    </dataValidation>
    <dataValidation type="list" allowBlank="1" showInputMessage="1" showErrorMessage="1" sqref="K17">
      <formula1>$R$2:$R$3</formula1>
    </dataValidation>
    <dataValidation type="list" allowBlank="1" showInputMessage="1" showErrorMessage="1" sqref="K9">
      <formula1>$P$13:$P$18</formula1>
    </dataValidation>
    <dataValidation type="list" allowBlank="1" showInputMessage="1" showErrorMessage="1" sqref="K2">
      <formula1>$P$2:$P$4</formula1>
    </dataValidation>
    <dataValidation type="list" allowBlank="1" showInputMessage="1" showErrorMessage="1" sqref="K91">
      <formula1>$T$82:$T$84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4"/>
  <sheetViews>
    <sheetView zoomScale="90" zoomScaleNormal="90" workbookViewId="0">
      <selection activeCell="G3" sqref="G3"/>
    </sheetView>
  </sheetViews>
  <sheetFormatPr baseColWidth="10" defaultRowHeight="15" x14ac:dyDescent="0.25"/>
  <cols>
    <col min="1" max="1" width="47.140625" style="15" customWidth="1"/>
    <col min="2" max="2" width="9.28515625" customWidth="1"/>
    <col min="3" max="3" width="5.7109375" customWidth="1"/>
    <col min="4" max="26" width="4.28515625" customWidth="1"/>
    <col min="27" max="27" width="6.5703125" customWidth="1"/>
    <col min="28" max="28" width="36.7109375" customWidth="1"/>
    <col min="59" max="61" width="11.42578125" style="165"/>
  </cols>
  <sheetData>
    <row r="1" spans="1:64" x14ac:dyDescent="0.25">
      <c r="AB1" s="5"/>
      <c r="AC1" s="5"/>
      <c r="AD1" s="5"/>
      <c r="AE1" s="5"/>
      <c r="AF1" s="5"/>
      <c r="BG1" s="165" t="s">
        <v>653</v>
      </c>
      <c r="BJ1" t="s">
        <v>654</v>
      </c>
    </row>
    <row r="2" spans="1:64" x14ac:dyDescent="0.25">
      <c r="A2" s="43" t="s">
        <v>1365</v>
      </c>
      <c r="C2" s="33">
        <v>1</v>
      </c>
      <c r="D2" s="33">
        <v>2</v>
      </c>
      <c r="E2" s="33">
        <v>3</v>
      </c>
      <c r="F2" s="33">
        <v>4</v>
      </c>
      <c r="G2" s="33">
        <v>5</v>
      </c>
      <c r="H2" s="33">
        <v>6</v>
      </c>
      <c r="I2" s="33">
        <v>7</v>
      </c>
      <c r="J2" s="33">
        <v>8</v>
      </c>
      <c r="K2" s="33">
        <v>9</v>
      </c>
      <c r="L2" s="33">
        <v>10</v>
      </c>
      <c r="M2" s="33">
        <v>11</v>
      </c>
      <c r="N2" s="33">
        <v>12</v>
      </c>
      <c r="O2" s="33">
        <v>13</v>
      </c>
      <c r="P2" s="33">
        <v>14</v>
      </c>
      <c r="Q2" s="33">
        <v>15</v>
      </c>
      <c r="R2" s="33">
        <v>16</v>
      </c>
      <c r="S2" s="33">
        <v>17</v>
      </c>
      <c r="T2" s="33">
        <v>18</v>
      </c>
      <c r="U2" s="33">
        <v>19</v>
      </c>
      <c r="V2" s="33">
        <v>20</v>
      </c>
      <c r="W2" s="33">
        <v>21</v>
      </c>
      <c r="X2" s="33">
        <v>22</v>
      </c>
      <c r="Y2" s="33">
        <v>23</v>
      </c>
      <c r="Z2" s="33">
        <v>24</v>
      </c>
      <c r="AB2" s="5"/>
      <c r="AC2" s="32"/>
      <c r="AD2" s="282"/>
      <c r="AE2" s="282"/>
      <c r="AF2" s="282"/>
      <c r="AH2" s="165"/>
      <c r="AP2" t="s">
        <v>656</v>
      </c>
      <c r="AQ2" t="s">
        <v>657</v>
      </c>
      <c r="AV2" t="s">
        <v>658</v>
      </c>
      <c r="AW2" t="s">
        <v>34</v>
      </c>
      <c r="AX2" t="s">
        <v>449</v>
      </c>
      <c r="AY2" t="s">
        <v>76</v>
      </c>
      <c r="AZ2" t="s">
        <v>18</v>
      </c>
      <c r="BA2" t="s">
        <v>659</v>
      </c>
      <c r="BB2" t="s">
        <v>660</v>
      </c>
      <c r="BC2" t="s">
        <v>661</v>
      </c>
      <c r="BD2" t="s">
        <v>662</v>
      </c>
      <c r="BE2" t="s">
        <v>663</v>
      </c>
      <c r="BF2" t="s">
        <v>664</v>
      </c>
      <c r="BG2" s="165" t="s">
        <v>220</v>
      </c>
      <c r="BH2" s="165" t="s">
        <v>218</v>
      </c>
      <c r="BI2" s="165" t="s">
        <v>219</v>
      </c>
      <c r="BJ2" s="165" t="s">
        <v>220</v>
      </c>
      <c r="BK2" s="165" t="s">
        <v>218</v>
      </c>
      <c r="BL2" s="165" t="s">
        <v>219</v>
      </c>
    </row>
    <row r="3" spans="1:64" x14ac:dyDescent="0.25">
      <c r="A3" s="14" t="s">
        <v>665</v>
      </c>
      <c r="B3" t="s">
        <v>557</v>
      </c>
      <c r="C3" s="172">
        <f>COUNTIF(C81:C90,1)</f>
        <v>0</v>
      </c>
      <c r="D3" s="172">
        <f t="shared" ref="D3:Z3" si="0">COUNTIF(D81:D90,1)</f>
        <v>0</v>
      </c>
      <c r="E3" s="172">
        <f t="shared" si="0"/>
        <v>0</v>
      </c>
      <c r="F3" s="172">
        <f t="shared" si="0"/>
        <v>0</v>
      </c>
      <c r="G3" s="172">
        <f t="shared" si="0"/>
        <v>2</v>
      </c>
      <c r="H3" s="172">
        <f t="shared" si="0"/>
        <v>2</v>
      </c>
      <c r="I3" s="172">
        <f t="shared" si="0"/>
        <v>2</v>
      </c>
      <c r="J3" s="172">
        <f t="shared" si="0"/>
        <v>2</v>
      </c>
      <c r="K3" s="172">
        <f t="shared" si="0"/>
        <v>2</v>
      </c>
      <c r="L3" s="172">
        <f t="shared" si="0"/>
        <v>3</v>
      </c>
      <c r="M3" s="172">
        <f t="shared" si="0"/>
        <v>3</v>
      </c>
      <c r="N3" s="172">
        <f t="shared" si="0"/>
        <v>3</v>
      </c>
      <c r="O3" s="172">
        <f t="shared" si="0"/>
        <v>3</v>
      </c>
      <c r="P3" s="172">
        <f t="shared" si="0"/>
        <v>3</v>
      </c>
      <c r="Q3" s="172">
        <f t="shared" si="0"/>
        <v>3</v>
      </c>
      <c r="R3" s="172">
        <f t="shared" si="0"/>
        <v>3</v>
      </c>
      <c r="S3" s="172">
        <f t="shared" si="0"/>
        <v>3</v>
      </c>
      <c r="T3" s="172">
        <f t="shared" si="0"/>
        <v>3</v>
      </c>
      <c r="U3" s="172">
        <f t="shared" si="0"/>
        <v>3</v>
      </c>
      <c r="V3" s="172">
        <f t="shared" si="0"/>
        <v>3</v>
      </c>
      <c r="W3" s="172">
        <f t="shared" si="0"/>
        <v>2</v>
      </c>
      <c r="X3" s="172">
        <f t="shared" si="0"/>
        <v>0</v>
      </c>
      <c r="Y3" s="172">
        <f t="shared" si="0"/>
        <v>0</v>
      </c>
      <c r="Z3" s="172">
        <f t="shared" si="0"/>
        <v>0</v>
      </c>
      <c r="AB3" s="32"/>
      <c r="AC3" s="5"/>
      <c r="AD3" s="282"/>
      <c r="AE3" s="282"/>
      <c r="AF3" s="282"/>
      <c r="AO3" s="14" t="s">
        <v>666</v>
      </c>
      <c r="AP3" s="30">
        <f>BG31</f>
        <v>0</v>
      </c>
      <c r="AQ3">
        <f>BJ31</f>
        <v>0</v>
      </c>
      <c r="AV3" s="30">
        <f>Parcellaire!A2</f>
        <v>2</v>
      </c>
      <c r="AW3" s="30">
        <f>Parcellaire!B2</f>
        <v>1</v>
      </c>
      <c r="AX3" s="30" t="str">
        <f>Parcellaire!D2</f>
        <v>proche</v>
      </c>
      <c r="AY3" s="30">
        <f>Parcellaire!F2</f>
        <v>88</v>
      </c>
      <c r="AZ3" s="30">
        <f>Parcellaire!G2</f>
        <v>1.5</v>
      </c>
      <c r="BA3" s="30">
        <f>ROUND(Parcellaire!S2,0)</f>
        <v>0</v>
      </c>
      <c r="BB3" s="30">
        <f>ROUND(Parcellaire!T2,0)</f>
        <v>500</v>
      </c>
      <c r="BC3" s="30">
        <f>ROUND(Parcellaire!U2,0)</f>
        <v>0</v>
      </c>
      <c r="BD3" s="30" t="str">
        <f>IF(AW3="",0,VLOOKUP(AY3,[1]MEP!$X$5:$AA$250,4))</f>
        <v>PT</v>
      </c>
      <c r="BE3" s="30" t="str">
        <f>IF(AW3=2,"",VLOOKUP(BD3,[1]MEP!$AC$5:$AD$10,2))</f>
        <v>P</v>
      </c>
      <c r="BF3" s="30" t="str">
        <f>IF(BE3="LP","LP",IF(AND(BE3="P",AX3="proche"),"PF",IF(AND(BE3="P",AX3="éloigné"),"PE","AU")))</f>
        <v>PF</v>
      </c>
      <c r="BG3" s="168">
        <f>IF($AW3&gt;0,IF(AND($BF3="LP",$AW3=1),$BB3,0),0)</f>
        <v>0</v>
      </c>
      <c r="BH3" s="168">
        <f>IF($AW3&gt;0,IF(AND($BF3="PF",$AW3=1),$BB3,0),0)</f>
        <v>500</v>
      </c>
      <c r="BI3" s="168">
        <f>IF($AW3&gt;0,IF(AND($BF3="PE",$AW3=1),$BB3,0),0)</f>
        <v>0</v>
      </c>
      <c r="BJ3" s="168">
        <f>IF($AW3&gt;0,IF(AND($BF3="LP",$AW3=1),$AZ3,0),0)</f>
        <v>0</v>
      </c>
      <c r="BK3" s="168">
        <f>IF($AW3&gt;0,IF(AND($BF3="PF",$AW3=1),$AZ3,0),0)</f>
        <v>1.5</v>
      </c>
      <c r="BL3" s="168">
        <f>IF($AW3&gt;0,IF(AND($BF3="PE",$AW3=1),$AZ3,0),0)</f>
        <v>0</v>
      </c>
    </row>
    <row r="4" spans="1:64" x14ac:dyDescent="0.25">
      <c r="A4" s="14" t="s">
        <v>667</v>
      </c>
      <c r="B4" t="s">
        <v>557</v>
      </c>
      <c r="C4" s="172">
        <f>COUNTIF(C81:C90,2)</f>
        <v>0</v>
      </c>
      <c r="D4" s="172">
        <f t="shared" ref="D4:Z4" si="1">COUNTIF(D81:D90,2)</f>
        <v>0</v>
      </c>
      <c r="E4" s="172">
        <f t="shared" si="1"/>
        <v>0</v>
      </c>
      <c r="F4" s="172">
        <f t="shared" si="1"/>
        <v>0</v>
      </c>
      <c r="G4" s="172">
        <f t="shared" si="1"/>
        <v>0</v>
      </c>
      <c r="H4" s="172">
        <f t="shared" si="1"/>
        <v>0</v>
      </c>
      <c r="I4" s="172">
        <f t="shared" si="1"/>
        <v>0</v>
      </c>
      <c r="J4" s="172">
        <f t="shared" si="1"/>
        <v>0</v>
      </c>
      <c r="K4" s="172">
        <f t="shared" si="1"/>
        <v>0</v>
      </c>
      <c r="L4" s="172">
        <f t="shared" si="1"/>
        <v>0</v>
      </c>
      <c r="M4" s="172">
        <f t="shared" si="1"/>
        <v>0</v>
      </c>
      <c r="N4" s="172">
        <f t="shared" si="1"/>
        <v>0</v>
      </c>
      <c r="O4" s="172">
        <f t="shared" si="1"/>
        <v>0</v>
      </c>
      <c r="P4" s="172">
        <f t="shared" si="1"/>
        <v>0</v>
      </c>
      <c r="Q4" s="172">
        <f t="shared" si="1"/>
        <v>0</v>
      </c>
      <c r="R4" s="172">
        <f t="shared" si="1"/>
        <v>0</v>
      </c>
      <c r="S4" s="172">
        <f t="shared" si="1"/>
        <v>0</v>
      </c>
      <c r="T4" s="172">
        <f t="shared" si="1"/>
        <v>0</v>
      </c>
      <c r="U4" s="172">
        <f t="shared" si="1"/>
        <v>0</v>
      </c>
      <c r="V4" s="172">
        <f t="shared" si="1"/>
        <v>0</v>
      </c>
      <c r="W4" s="172">
        <f t="shared" si="1"/>
        <v>0</v>
      </c>
      <c r="X4" s="172">
        <f t="shared" si="1"/>
        <v>0</v>
      </c>
      <c r="Y4" s="172">
        <f t="shared" si="1"/>
        <v>0</v>
      </c>
      <c r="Z4" s="172">
        <f t="shared" si="1"/>
        <v>0</v>
      </c>
      <c r="AB4" s="32"/>
      <c r="AC4" s="5"/>
      <c r="AD4" s="282"/>
      <c r="AE4" s="282"/>
      <c r="AF4" s="282"/>
      <c r="AO4" s="14" t="s">
        <v>668</v>
      </c>
      <c r="AP4" s="30">
        <f>SUM(BG31:BI31)</f>
        <v>4335</v>
      </c>
      <c r="AQ4">
        <f>SUM(BJ31:BL31)</f>
        <v>32.43</v>
      </c>
      <c r="AV4" s="30">
        <f>Parcellaire!A3</f>
        <v>4</v>
      </c>
      <c r="AW4" s="30">
        <f>Parcellaire!B3</f>
        <v>2</v>
      </c>
      <c r="AX4" s="30" t="str">
        <f>Parcellaire!D3</f>
        <v>proche</v>
      </c>
      <c r="AY4" s="30" t="str">
        <f>Parcellaire!F3</f>
        <v>cult 6</v>
      </c>
      <c r="AZ4" s="30">
        <f>Parcellaire!G3</f>
        <v>2.7</v>
      </c>
      <c r="BA4" s="30">
        <f>ROUND(Parcellaire!S3,0)</f>
        <v>0</v>
      </c>
      <c r="BB4" s="30">
        <f>ROUND(Parcellaire!T3,0)</f>
        <v>0</v>
      </c>
      <c r="BC4" s="30">
        <f>ROUND(Parcellaire!U3,0)</f>
        <v>0</v>
      </c>
      <c r="BD4" s="30" t="e">
        <f>IF(AW4="",0,VLOOKUP(AY4,[1]MEP!$X$5:$AA$250,4))</f>
        <v>#N/A</v>
      </c>
      <c r="BE4" s="30" t="str">
        <f>IF(AW4=2,"",VLOOKUP(BD4,[1]MEP!$AC$5:$AD$10,2))</f>
        <v/>
      </c>
      <c r="BF4" s="30" t="str">
        <f t="shared" ref="BF4:BF30" si="2">IF(BE4="LP","LP",IF(AND(BE4="P",AX4="proche"),"PF",IF(AND(BE4="P",AX4="éloigné"),"PE","AU")))</f>
        <v>AU</v>
      </c>
      <c r="BG4" s="168">
        <f t="shared" ref="BG4:BG30" si="3">IF($AW4&gt;0,IF(AND($BF4="LP",$AW4=1),$BB4,0),0)</f>
        <v>0</v>
      </c>
      <c r="BH4" s="168">
        <f t="shared" ref="BH4:BH30" si="4">IF($AW4&gt;0,IF(AND($BF4="PF",$AW4=1),$BB4,0),0)</f>
        <v>0</v>
      </c>
      <c r="BI4" s="168">
        <f t="shared" ref="BI4:BI30" si="5">IF($AW4&gt;0,IF(AND($BF4="PE",$AW4=1),$BB4,0),0)</f>
        <v>0</v>
      </c>
      <c r="BJ4" s="168">
        <f t="shared" ref="BJ4:BJ30" si="6">IF($AW4&gt;0,IF(AND($BF4="LP",$AW4=1),$AZ4,0),0)</f>
        <v>0</v>
      </c>
      <c r="BK4" s="168">
        <f t="shared" ref="BK4:BK30" si="7">IF($AW4&gt;0,IF(AND($BF4="PF",$AW4=1),$AZ4,0),0)</f>
        <v>0</v>
      </c>
      <c r="BL4" s="168">
        <f t="shared" ref="BL4:BL30" si="8">IF($AW4&gt;0,IF(AND($BF4="PE",$AW4=1),$AZ4,0),0)</f>
        <v>0</v>
      </c>
    </row>
    <row r="5" spans="1:64" x14ac:dyDescent="0.25">
      <c r="A5" s="14" t="s">
        <v>669</v>
      </c>
      <c r="B5" t="s">
        <v>557</v>
      </c>
      <c r="C5" s="172">
        <f t="shared" ref="C5:Z5" si="9">COUNTIF(C81:C90,3)</f>
        <v>0</v>
      </c>
      <c r="D5" s="172">
        <f t="shared" si="9"/>
        <v>0</v>
      </c>
      <c r="E5" s="172">
        <f t="shared" si="9"/>
        <v>0</v>
      </c>
      <c r="F5" s="172">
        <f t="shared" si="9"/>
        <v>0</v>
      </c>
      <c r="G5" s="172">
        <f t="shared" si="9"/>
        <v>0</v>
      </c>
      <c r="H5" s="172">
        <f t="shared" si="9"/>
        <v>0</v>
      </c>
      <c r="I5" s="172">
        <f t="shared" si="9"/>
        <v>0</v>
      </c>
      <c r="J5" s="172">
        <f t="shared" si="9"/>
        <v>0</v>
      </c>
      <c r="K5" s="172">
        <f t="shared" si="9"/>
        <v>0</v>
      </c>
      <c r="L5" s="172">
        <f t="shared" si="9"/>
        <v>0</v>
      </c>
      <c r="M5" s="172">
        <f t="shared" si="9"/>
        <v>0</v>
      </c>
      <c r="N5" s="172">
        <f t="shared" si="9"/>
        <v>0</v>
      </c>
      <c r="O5" s="172">
        <f t="shared" si="9"/>
        <v>0</v>
      </c>
      <c r="P5" s="172">
        <f t="shared" si="9"/>
        <v>0</v>
      </c>
      <c r="Q5" s="172">
        <f t="shared" si="9"/>
        <v>0</v>
      </c>
      <c r="R5" s="172">
        <f t="shared" si="9"/>
        <v>0</v>
      </c>
      <c r="S5" s="172">
        <f t="shared" si="9"/>
        <v>0</v>
      </c>
      <c r="T5" s="172">
        <f t="shared" si="9"/>
        <v>0</v>
      </c>
      <c r="U5" s="172">
        <f t="shared" si="9"/>
        <v>0</v>
      </c>
      <c r="V5" s="172">
        <f t="shared" si="9"/>
        <v>0</v>
      </c>
      <c r="W5" s="172">
        <f t="shared" si="9"/>
        <v>0</v>
      </c>
      <c r="X5" s="172">
        <f t="shared" si="9"/>
        <v>0</v>
      </c>
      <c r="Y5" s="172">
        <f t="shared" si="9"/>
        <v>0</v>
      </c>
      <c r="Z5" s="172">
        <f t="shared" si="9"/>
        <v>0</v>
      </c>
      <c r="AB5" s="32"/>
      <c r="AC5" s="5"/>
      <c r="AD5" s="282"/>
      <c r="AE5" s="282"/>
      <c r="AF5" s="282"/>
      <c r="AI5" s="40" t="s">
        <v>1423</v>
      </c>
      <c r="AJ5" s="30">
        <f>MAX(C203:Z203)</f>
        <v>0</v>
      </c>
      <c r="AO5" s="14" t="s">
        <v>670</v>
      </c>
      <c r="AP5" s="30">
        <f>BI31</f>
        <v>0</v>
      </c>
      <c r="AV5" s="30">
        <f>Parcellaire!A4</f>
        <v>0</v>
      </c>
      <c r="AW5" s="30">
        <f>Parcellaire!B4</f>
        <v>1</v>
      </c>
      <c r="AX5" s="30" t="str">
        <f>Parcellaire!D4</f>
        <v>proche</v>
      </c>
      <c r="AY5" s="30">
        <f>Parcellaire!F4</f>
        <v>88</v>
      </c>
      <c r="AZ5" s="30">
        <f>Parcellaire!G4</f>
        <v>4.75</v>
      </c>
      <c r="BA5" s="30">
        <f>ROUND(Parcellaire!S4,0)</f>
        <v>0</v>
      </c>
      <c r="BB5" s="30">
        <f>ROUND(Parcellaire!T4,0)</f>
        <v>0</v>
      </c>
      <c r="BC5" s="30">
        <f>ROUND(Parcellaire!U4,0)</f>
        <v>0</v>
      </c>
      <c r="BD5" s="30" t="str">
        <f>IF(AW5="",0,VLOOKUP(AY5,[1]MEP!$X$5:$AA$250,4))</f>
        <v>PT</v>
      </c>
      <c r="BE5" s="30" t="str">
        <f>IF(AW5=2,"",VLOOKUP(BD5,[1]MEP!$AC$5:$AD$10,2))</f>
        <v>P</v>
      </c>
      <c r="BF5" s="30" t="str">
        <f t="shared" si="2"/>
        <v>PF</v>
      </c>
      <c r="BG5" s="168">
        <f t="shared" si="3"/>
        <v>0</v>
      </c>
      <c r="BH5" s="168">
        <f t="shared" si="4"/>
        <v>0</v>
      </c>
      <c r="BI5" s="168">
        <f t="shared" si="5"/>
        <v>0</v>
      </c>
      <c r="BJ5" s="168">
        <f t="shared" si="6"/>
        <v>0</v>
      </c>
      <c r="BK5" s="168">
        <f t="shared" si="7"/>
        <v>4.75</v>
      </c>
      <c r="BL5" s="168">
        <f t="shared" si="8"/>
        <v>0</v>
      </c>
    </row>
    <row r="6" spans="1:64" x14ac:dyDescent="0.25">
      <c r="A6" s="14" t="s">
        <v>671</v>
      </c>
      <c r="B6" t="s">
        <v>557</v>
      </c>
      <c r="C6" s="172">
        <f>C19</f>
        <v>0</v>
      </c>
      <c r="D6" s="172">
        <f t="shared" ref="D6:Z6" si="10">D19</f>
        <v>0</v>
      </c>
      <c r="E6" s="172">
        <f t="shared" si="10"/>
        <v>0</v>
      </c>
      <c r="F6" s="172">
        <f t="shared" si="10"/>
        <v>0</v>
      </c>
      <c r="G6" s="172">
        <f t="shared" si="10"/>
        <v>0</v>
      </c>
      <c r="H6" s="172">
        <f t="shared" si="10"/>
        <v>0</v>
      </c>
      <c r="I6" s="172">
        <f t="shared" si="10"/>
        <v>0</v>
      </c>
      <c r="J6" s="172">
        <f t="shared" si="10"/>
        <v>0</v>
      </c>
      <c r="K6" s="172">
        <f t="shared" si="10"/>
        <v>0</v>
      </c>
      <c r="L6" s="172">
        <f t="shared" si="10"/>
        <v>0</v>
      </c>
      <c r="M6" s="172">
        <f t="shared" si="10"/>
        <v>0</v>
      </c>
      <c r="N6" s="172">
        <f t="shared" si="10"/>
        <v>0</v>
      </c>
      <c r="O6" s="172">
        <f t="shared" si="10"/>
        <v>0</v>
      </c>
      <c r="P6" s="172">
        <f t="shared" si="10"/>
        <v>0</v>
      </c>
      <c r="Q6" s="172">
        <f t="shared" si="10"/>
        <v>0</v>
      </c>
      <c r="R6" s="172">
        <f t="shared" si="10"/>
        <v>0</v>
      </c>
      <c r="S6" s="172">
        <f t="shared" si="10"/>
        <v>0</v>
      </c>
      <c r="T6" s="172">
        <f t="shared" si="10"/>
        <v>0</v>
      </c>
      <c r="U6" s="172">
        <f t="shared" si="10"/>
        <v>0</v>
      </c>
      <c r="V6" s="172">
        <f t="shared" si="10"/>
        <v>0</v>
      </c>
      <c r="W6" s="172">
        <f t="shared" si="10"/>
        <v>0</v>
      </c>
      <c r="X6" s="172">
        <f t="shared" si="10"/>
        <v>0</v>
      </c>
      <c r="Y6" s="172">
        <f t="shared" si="10"/>
        <v>0</v>
      </c>
      <c r="Z6" s="172">
        <f t="shared" si="10"/>
        <v>0</v>
      </c>
      <c r="AB6" s="5"/>
      <c r="AC6" s="32"/>
      <c r="AD6" s="36"/>
      <c r="AE6" s="36"/>
      <c r="AF6" s="36"/>
      <c r="AO6" s="14" t="s">
        <v>672</v>
      </c>
      <c r="AP6" s="30">
        <f>BH31</f>
        <v>4335</v>
      </c>
      <c r="AQ6">
        <f>BK31</f>
        <v>32.43</v>
      </c>
      <c r="AV6" s="30">
        <f>Parcellaire!A5</f>
        <v>6</v>
      </c>
      <c r="AW6" s="30">
        <f>Parcellaire!B5</f>
        <v>1</v>
      </c>
      <c r="AX6" s="30" t="str">
        <f>Parcellaire!D5</f>
        <v>proche</v>
      </c>
      <c r="AY6" s="30">
        <f>Parcellaire!F5</f>
        <v>78</v>
      </c>
      <c r="AZ6" s="30">
        <f>Parcellaire!G5</f>
        <v>0</v>
      </c>
      <c r="BA6" s="30">
        <f>ROUND(Parcellaire!S5,0)</f>
        <v>0</v>
      </c>
      <c r="BB6" s="30">
        <f>ROUND(Parcellaire!T5,0)</f>
        <v>0</v>
      </c>
      <c r="BC6" s="30">
        <f>ROUND(Parcellaire!U5,0)</f>
        <v>0</v>
      </c>
      <c r="BD6" s="30" t="str">
        <f>IF(AW6="",0,VLOOKUP(AY6,[1]MEP!$X$5:$AA$250,4))</f>
        <v>PP</v>
      </c>
      <c r="BE6" s="30" t="str">
        <f>IF(AW6=2,"",VLOOKUP(BD6,[1]MEP!$AC$5:$AD$10,2))</f>
        <v>P</v>
      </c>
      <c r="BF6" s="30" t="str">
        <f t="shared" si="2"/>
        <v>PF</v>
      </c>
      <c r="BG6" s="168">
        <f t="shared" si="3"/>
        <v>0</v>
      </c>
      <c r="BH6" s="168">
        <f t="shared" si="4"/>
        <v>0</v>
      </c>
      <c r="BI6" s="168">
        <f t="shared" si="5"/>
        <v>0</v>
      </c>
      <c r="BJ6" s="168">
        <f t="shared" si="6"/>
        <v>0</v>
      </c>
      <c r="BK6" s="168">
        <f t="shared" si="7"/>
        <v>0</v>
      </c>
      <c r="BL6" s="168">
        <f t="shared" si="8"/>
        <v>0</v>
      </c>
    </row>
    <row r="7" spans="1:64" x14ac:dyDescent="0.25">
      <c r="A7" s="14" t="s">
        <v>673</v>
      </c>
      <c r="B7" t="s">
        <v>557</v>
      </c>
      <c r="C7" s="172">
        <f>C21</f>
        <v>0</v>
      </c>
      <c r="D7" s="172">
        <f t="shared" ref="D7:Z7" si="11">D21</f>
        <v>0</v>
      </c>
      <c r="E7" s="172">
        <f t="shared" si="11"/>
        <v>0</v>
      </c>
      <c r="F7" s="172">
        <f t="shared" si="11"/>
        <v>0</v>
      </c>
      <c r="G7" s="172">
        <f t="shared" si="11"/>
        <v>0</v>
      </c>
      <c r="H7" s="172">
        <f t="shared" si="11"/>
        <v>0</v>
      </c>
      <c r="I7" s="172">
        <f t="shared" si="11"/>
        <v>0</v>
      </c>
      <c r="J7" s="172">
        <f t="shared" si="11"/>
        <v>0</v>
      </c>
      <c r="K7" s="172">
        <f t="shared" si="11"/>
        <v>0</v>
      </c>
      <c r="L7" s="172">
        <f t="shared" si="11"/>
        <v>0</v>
      </c>
      <c r="M7" s="172">
        <f t="shared" si="11"/>
        <v>0</v>
      </c>
      <c r="N7" s="172">
        <f t="shared" si="11"/>
        <v>0</v>
      </c>
      <c r="O7" s="172">
        <f t="shared" si="11"/>
        <v>0</v>
      </c>
      <c r="P7" s="172">
        <f t="shared" si="11"/>
        <v>0</v>
      </c>
      <c r="Q7" s="172">
        <f t="shared" si="11"/>
        <v>0</v>
      </c>
      <c r="R7" s="172">
        <f t="shared" si="11"/>
        <v>0</v>
      </c>
      <c r="S7" s="172">
        <f t="shared" si="11"/>
        <v>0</v>
      </c>
      <c r="T7" s="172">
        <f t="shared" si="11"/>
        <v>0</v>
      </c>
      <c r="U7" s="172">
        <f t="shared" si="11"/>
        <v>0</v>
      </c>
      <c r="V7" s="172">
        <f t="shared" si="11"/>
        <v>0</v>
      </c>
      <c r="W7" s="172">
        <f t="shared" si="11"/>
        <v>0</v>
      </c>
      <c r="X7" s="172">
        <f t="shared" si="11"/>
        <v>0</v>
      </c>
      <c r="Y7" s="172">
        <f t="shared" si="11"/>
        <v>0</v>
      </c>
      <c r="Z7" s="172">
        <f t="shared" si="11"/>
        <v>0</v>
      </c>
      <c r="AB7" s="5"/>
      <c r="AC7" s="5"/>
      <c r="AD7" s="36"/>
      <c r="AE7" s="36"/>
      <c r="AF7" s="36"/>
      <c r="AO7" s="14" t="s">
        <v>674</v>
      </c>
      <c r="AP7" s="30">
        <f>Scénario!K73*[1]Protect!$F$60</f>
        <v>0</v>
      </c>
      <c r="AV7" s="30">
        <f>Parcellaire!A6</f>
        <v>7</v>
      </c>
      <c r="AW7" s="30">
        <f>Parcellaire!B6</f>
        <v>1</v>
      </c>
      <c r="AX7" s="30" t="str">
        <f>Parcellaire!D6</f>
        <v>proche</v>
      </c>
      <c r="AY7" s="30">
        <f>Parcellaire!F6</f>
        <v>185</v>
      </c>
      <c r="AZ7" s="30">
        <f>Parcellaire!G6</f>
        <v>3.05</v>
      </c>
      <c r="BA7" s="30">
        <f>ROUND(Parcellaire!S6,0)</f>
        <v>0</v>
      </c>
      <c r="BB7" s="30">
        <f>ROUND(Parcellaire!T6,0)</f>
        <v>0</v>
      </c>
      <c r="BC7" s="30">
        <f>ROUND(Parcellaire!U6,0)</f>
        <v>0</v>
      </c>
      <c r="BD7" s="30" t="str">
        <f>IF(AW7="",0,VLOOKUP(AY7,[1]MEP!$X$5:$AA$250,4))</f>
        <v>PP</v>
      </c>
      <c r="BE7" s="30" t="str">
        <f>IF(AW7=2,"",VLOOKUP(BD7,[1]MEP!$AC$5:$AD$10,2))</f>
        <v>P</v>
      </c>
      <c r="BF7" s="30" t="str">
        <f t="shared" si="2"/>
        <v>PF</v>
      </c>
      <c r="BG7" s="168">
        <f t="shared" si="3"/>
        <v>0</v>
      </c>
      <c r="BH7" s="168">
        <f t="shared" si="4"/>
        <v>0</v>
      </c>
      <c r="BI7" s="168">
        <f t="shared" si="5"/>
        <v>0</v>
      </c>
      <c r="BJ7" s="168">
        <f t="shared" si="6"/>
        <v>0</v>
      </c>
      <c r="BK7" s="168">
        <f t="shared" si="7"/>
        <v>3.05</v>
      </c>
      <c r="BL7" s="168">
        <f t="shared" si="8"/>
        <v>0</v>
      </c>
    </row>
    <row r="8" spans="1:64" x14ac:dyDescent="0.25">
      <c r="A8" s="14" t="s">
        <v>675</v>
      </c>
      <c r="B8" t="s">
        <v>557</v>
      </c>
      <c r="C8" s="172">
        <f>(C3+C4)*[1]Protect!$B$12</f>
        <v>0</v>
      </c>
      <c r="D8" s="172">
        <f>(D3+D4)*[1]Protect!$B$12</f>
        <v>0</v>
      </c>
      <c r="E8" s="172">
        <f>(E3+E4)*[1]Protect!$B$12</f>
        <v>0</v>
      </c>
      <c r="F8" s="172">
        <f>(F3+F4)*[1]Protect!$B$12</f>
        <v>0</v>
      </c>
      <c r="G8" s="172">
        <f>(G3+G4)*[1]Protect!$B$12</f>
        <v>4</v>
      </c>
      <c r="H8" s="172">
        <f>(H3+H4)*[1]Protect!$B$12</f>
        <v>4</v>
      </c>
      <c r="I8" s="172">
        <f>(I3+I4)*[1]Protect!$B$12</f>
        <v>4</v>
      </c>
      <c r="J8" s="172">
        <f>(J3+J4)*[1]Protect!$B$12</f>
        <v>4</v>
      </c>
      <c r="K8" s="172">
        <f>(K3+K4)*[1]Protect!$B$12</f>
        <v>4</v>
      </c>
      <c r="L8" s="172">
        <f>(L3+L4)*[1]Protect!$B$12</f>
        <v>6</v>
      </c>
      <c r="M8" s="172">
        <f>(M3+M4)*[1]Protect!$B$12</f>
        <v>6</v>
      </c>
      <c r="N8" s="172">
        <f>(N3+N4)*[1]Protect!$B$12</f>
        <v>6</v>
      </c>
      <c r="O8" s="172">
        <f>(O3+O4)*[1]Protect!$B$12</f>
        <v>6</v>
      </c>
      <c r="P8" s="172">
        <f>(P3+P4)*[1]Protect!$B$12</f>
        <v>6</v>
      </c>
      <c r="Q8" s="172">
        <f>(Q3+Q4)*[1]Protect!$B$12</f>
        <v>6</v>
      </c>
      <c r="R8" s="172">
        <f>(R3+R4)*[1]Protect!$B$12</f>
        <v>6</v>
      </c>
      <c r="S8" s="172">
        <f>(S3+S4)*[1]Protect!$B$12</f>
        <v>6</v>
      </c>
      <c r="T8" s="172">
        <f>(T3+T4)*[1]Protect!$B$12</f>
        <v>6</v>
      </c>
      <c r="U8" s="172">
        <f>(U3+U4)*[1]Protect!$B$12</f>
        <v>6</v>
      </c>
      <c r="V8" s="172">
        <f>(V3+V4)*[1]Protect!$B$12</f>
        <v>6</v>
      </c>
      <c r="W8" s="172">
        <f>(W3+W4)*[1]Protect!$B$12</f>
        <v>4</v>
      </c>
      <c r="X8" s="172">
        <f>(X3+X4)*[1]Protect!$B$12</f>
        <v>0</v>
      </c>
      <c r="Y8" s="172">
        <f>(Y3+Y4)*[1]Protect!$B$12</f>
        <v>0</v>
      </c>
      <c r="Z8" s="172">
        <f>(Z3+Z4)*[1]Protect!$B$12</f>
        <v>0</v>
      </c>
      <c r="AB8" s="5"/>
      <c r="AC8" s="5"/>
      <c r="AD8" s="36"/>
      <c r="AE8" s="36"/>
      <c r="AF8" s="36"/>
      <c r="AI8" s="40" t="s">
        <v>676</v>
      </c>
      <c r="AJ8" s="30">
        <f>IF(Scénario!$K$87=5,2,IF(Scénario!$K$87&gt;0,MAX($C$214:$Z$214),0))</f>
        <v>0</v>
      </c>
      <c r="AO8" s="14"/>
      <c r="AV8" s="30">
        <f>Parcellaire!A7</f>
        <v>0</v>
      </c>
      <c r="AW8" s="30">
        <f>Parcellaire!B7</f>
        <v>1</v>
      </c>
      <c r="AX8" s="30" t="str">
        <f>Parcellaire!D7</f>
        <v>proche</v>
      </c>
      <c r="AY8" s="30">
        <f>Parcellaire!F7</f>
        <v>13</v>
      </c>
      <c r="AZ8" s="30">
        <f>Parcellaire!G7</f>
        <v>2</v>
      </c>
      <c r="BA8" s="30">
        <f>ROUND(Parcellaire!S7,0)</f>
        <v>0</v>
      </c>
      <c r="BB8" s="30">
        <f>ROUND(Parcellaire!T7,0)</f>
        <v>0</v>
      </c>
      <c r="BC8" s="30">
        <f>ROUND(Parcellaire!U7,0)</f>
        <v>0</v>
      </c>
      <c r="BD8" s="30" t="str">
        <f>IF(AW8="",0,VLOOKUP(AY8,[1]MEP!$X$5:$AA$250,4))</f>
        <v>PP</v>
      </c>
      <c r="BE8" s="30" t="str">
        <f>IF(AW8=2,"",VLOOKUP(BD8,[1]MEP!$AC$5:$AD$10,2))</f>
        <v>P</v>
      </c>
      <c r="BF8" s="30" t="str">
        <f t="shared" si="2"/>
        <v>PF</v>
      </c>
      <c r="BG8" s="168">
        <f t="shared" si="3"/>
        <v>0</v>
      </c>
      <c r="BH8" s="168">
        <f t="shared" si="4"/>
        <v>0</v>
      </c>
      <c r="BI8" s="168">
        <f t="shared" si="5"/>
        <v>0</v>
      </c>
      <c r="BJ8" s="168">
        <f t="shared" si="6"/>
        <v>0</v>
      </c>
      <c r="BK8" s="168">
        <f t="shared" si="7"/>
        <v>2</v>
      </c>
      <c r="BL8" s="168">
        <f t="shared" si="8"/>
        <v>0</v>
      </c>
    </row>
    <row r="9" spans="1:64" x14ac:dyDescent="0.25">
      <c r="A9" s="14" t="s">
        <v>677</v>
      </c>
      <c r="B9" t="s">
        <v>557</v>
      </c>
      <c r="C9" s="172">
        <f>C5*[1]Protect!$B$13</f>
        <v>0</v>
      </c>
      <c r="D9" s="172">
        <f>D5*[1]Protect!$B$13</f>
        <v>0</v>
      </c>
      <c r="E9" s="172">
        <f>E5*[1]Protect!$B$13</f>
        <v>0</v>
      </c>
      <c r="F9" s="172">
        <f>F5*[1]Protect!$B$13</f>
        <v>0</v>
      </c>
      <c r="G9" s="172">
        <f>G5*[1]Protect!$B$13</f>
        <v>0</v>
      </c>
      <c r="H9" s="172">
        <f>H5*[1]Protect!$B$13</f>
        <v>0</v>
      </c>
      <c r="I9" s="172">
        <f>I5*[1]Protect!$B$13</f>
        <v>0</v>
      </c>
      <c r="J9" s="172">
        <f>J5*[1]Protect!$B$13</f>
        <v>0</v>
      </c>
      <c r="K9" s="172">
        <f>K5*[1]Protect!$B$13</f>
        <v>0</v>
      </c>
      <c r="L9" s="172">
        <f>L5*[1]Protect!$B$13</f>
        <v>0</v>
      </c>
      <c r="M9" s="172">
        <f>M5*[1]Protect!$B$13</f>
        <v>0</v>
      </c>
      <c r="N9" s="172">
        <f>N5*[1]Protect!$B$13</f>
        <v>0</v>
      </c>
      <c r="O9" s="172">
        <f>O5*[1]Protect!$B$13</f>
        <v>0</v>
      </c>
      <c r="P9" s="172">
        <f>P5*[1]Protect!$B$13</f>
        <v>0</v>
      </c>
      <c r="Q9" s="172">
        <f>Q5*[1]Protect!$B$13</f>
        <v>0</v>
      </c>
      <c r="R9" s="172">
        <f>R5*[1]Protect!$B$13</f>
        <v>0</v>
      </c>
      <c r="S9" s="172">
        <f>S5*[1]Protect!$B$13</f>
        <v>0</v>
      </c>
      <c r="T9" s="172">
        <f>T5*[1]Protect!$B$13</f>
        <v>0</v>
      </c>
      <c r="U9" s="172">
        <f>U5*[1]Protect!$B$13</f>
        <v>0</v>
      </c>
      <c r="V9" s="172">
        <f>V5*[1]Protect!$B$13</f>
        <v>0</v>
      </c>
      <c r="W9" s="172">
        <f>W5*[1]Protect!$B$13</f>
        <v>0</v>
      </c>
      <c r="X9" s="172">
        <f>X5*[1]Protect!$B$13</f>
        <v>0</v>
      </c>
      <c r="Y9" s="172">
        <f>Y5*[1]Protect!$B$13</f>
        <v>0</v>
      </c>
      <c r="Z9" s="172">
        <f>Z5*[1]Protect!$B$13</f>
        <v>0</v>
      </c>
      <c r="AB9" s="5"/>
      <c r="AC9" s="5"/>
      <c r="AD9" s="5"/>
      <c r="AE9" s="5"/>
      <c r="AF9" s="5"/>
      <c r="AV9" s="30">
        <f>Parcellaire!A8</f>
        <v>11</v>
      </c>
      <c r="AW9" s="30">
        <f>Parcellaire!B8</f>
        <v>1</v>
      </c>
      <c r="AX9" s="30" t="str">
        <f>Parcellaire!D8</f>
        <v>proche</v>
      </c>
      <c r="AY9" s="30">
        <f>Parcellaire!F8</f>
        <v>187</v>
      </c>
      <c r="AZ9" s="30">
        <f>Parcellaire!G8</f>
        <v>4</v>
      </c>
      <c r="BA9" s="30">
        <f>ROUND(Parcellaire!S8,0)</f>
        <v>0</v>
      </c>
      <c r="BB9" s="30">
        <f>ROUND(Parcellaire!T8,0)</f>
        <v>731</v>
      </c>
      <c r="BC9" s="30">
        <f>ROUND(Parcellaire!U8,0)</f>
        <v>487</v>
      </c>
      <c r="BD9" s="30" t="str">
        <f>IF(AW9="",0,VLOOKUP(AY9,[1]MEP!$X$5:$AA$250,4))</f>
        <v>PP</v>
      </c>
      <c r="BE9" s="30" t="str">
        <f>IF(AW9=2,"",VLOOKUP(BD9,[1]MEP!$AC$5:$AD$10,2))</f>
        <v>P</v>
      </c>
      <c r="BF9" s="30" t="str">
        <f t="shared" si="2"/>
        <v>PF</v>
      </c>
      <c r="BG9" s="168">
        <f t="shared" si="3"/>
        <v>0</v>
      </c>
      <c r="BH9" s="168">
        <f t="shared" si="4"/>
        <v>731</v>
      </c>
      <c r="BI9" s="168">
        <f t="shared" si="5"/>
        <v>0</v>
      </c>
      <c r="BJ9" s="168">
        <f t="shared" si="6"/>
        <v>0</v>
      </c>
      <c r="BK9" s="168">
        <f t="shared" si="7"/>
        <v>4</v>
      </c>
      <c r="BL9" s="168">
        <f t="shared" si="8"/>
        <v>0</v>
      </c>
    </row>
    <row r="10" spans="1:64" x14ac:dyDescent="0.25">
      <c r="A10" s="14" t="s">
        <v>678</v>
      </c>
      <c r="B10" t="s">
        <v>557</v>
      </c>
      <c r="C10" s="172">
        <f>C6*[1]Protect!$B$14</f>
        <v>0</v>
      </c>
      <c r="D10" s="172">
        <f>D6*[1]Protect!$B$14</f>
        <v>0</v>
      </c>
      <c r="E10" s="172">
        <f>E6*[1]Protect!$B$14</f>
        <v>0</v>
      </c>
      <c r="F10" s="172">
        <f>F6*[1]Protect!$B$14</f>
        <v>0</v>
      </c>
      <c r="G10" s="172">
        <f>G6*[1]Protect!$B$14</f>
        <v>0</v>
      </c>
      <c r="H10" s="172">
        <f>H6*[1]Protect!$B$14</f>
        <v>0</v>
      </c>
      <c r="I10" s="172">
        <f>I6*[1]Protect!$B$14</f>
        <v>0</v>
      </c>
      <c r="J10" s="172">
        <f>J6*[1]Protect!$B$14</f>
        <v>0</v>
      </c>
      <c r="K10" s="172">
        <f>K6*[1]Protect!$B$14</f>
        <v>0</v>
      </c>
      <c r="L10" s="172">
        <f>L6*[1]Protect!$B$14</f>
        <v>0</v>
      </c>
      <c r="M10" s="172">
        <f>M6*[1]Protect!$B$14</f>
        <v>0</v>
      </c>
      <c r="N10" s="172">
        <f>N6*[1]Protect!$B$14</f>
        <v>0</v>
      </c>
      <c r="O10" s="172">
        <f>O6*[1]Protect!$B$14</f>
        <v>0</v>
      </c>
      <c r="P10" s="172">
        <f>P6*[1]Protect!$B$14</f>
        <v>0</v>
      </c>
      <c r="Q10" s="172">
        <f>Q6*[1]Protect!$B$14</f>
        <v>0</v>
      </c>
      <c r="R10" s="172">
        <f>R6*[1]Protect!$B$14</f>
        <v>0</v>
      </c>
      <c r="S10" s="172">
        <f>S6*[1]Protect!$B$14</f>
        <v>0</v>
      </c>
      <c r="T10" s="172">
        <f>T6*[1]Protect!$B$14</f>
        <v>0</v>
      </c>
      <c r="U10" s="172">
        <f>U6*[1]Protect!$B$14</f>
        <v>0</v>
      </c>
      <c r="V10" s="172">
        <f>V6*[1]Protect!$B$14</f>
        <v>0</v>
      </c>
      <c r="W10" s="172">
        <f>W6*[1]Protect!$B$14</f>
        <v>0</v>
      </c>
      <c r="X10" s="172">
        <f>X6*[1]Protect!$B$14</f>
        <v>0</v>
      </c>
      <c r="Y10" s="172">
        <f>Y6*[1]Protect!$B$14</f>
        <v>0</v>
      </c>
      <c r="Z10" s="172">
        <f>Z6*[1]Protect!$B$14</f>
        <v>0</v>
      </c>
      <c r="AV10" s="30">
        <f>Parcellaire!A9</f>
        <v>0</v>
      </c>
      <c r="AW10" s="30">
        <f>Parcellaire!B9</f>
        <v>1</v>
      </c>
      <c r="AX10" s="30" t="str">
        <f>Parcellaire!D9</f>
        <v>proche</v>
      </c>
      <c r="AY10" s="30">
        <f>Parcellaire!F9</f>
        <v>185</v>
      </c>
      <c r="AZ10" s="30">
        <f>Parcellaire!G9</f>
        <v>0.45</v>
      </c>
      <c r="BA10" s="30">
        <f>ROUND(Parcellaire!S9,0)</f>
        <v>0</v>
      </c>
      <c r="BB10" s="30">
        <f>ROUND(Parcellaire!T9,0)</f>
        <v>0</v>
      </c>
      <c r="BC10" s="30">
        <f>ROUND(Parcellaire!U9,0)</f>
        <v>0</v>
      </c>
      <c r="BD10" s="30" t="str">
        <f>IF(AW10="",0,VLOOKUP(AY10,[1]MEP!$X$5:$AA$250,4))</f>
        <v>PP</v>
      </c>
      <c r="BE10" s="30" t="str">
        <f>IF(AW10=2,"",VLOOKUP(BD10,[1]MEP!$AC$5:$AD$10,2))</f>
        <v>P</v>
      </c>
      <c r="BF10" s="30" t="str">
        <f t="shared" si="2"/>
        <v>PF</v>
      </c>
      <c r="BG10" s="168">
        <f t="shared" si="3"/>
        <v>0</v>
      </c>
      <c r="BH10" s="168">
        <f t="shared" si="4"/>
        <v>0</v>
      </c>
      <c r="BI10" s="168">
        <f t="shared" si="5"/>
        <v>0</v>
      </c>
      <c r="BJ10" s="168">
        <f t="shared" si="6"/>
        <v>0</v>
      </c>
      <c r="BK10" s="168">
        <f t="shared" si="7"/>
        <v>0.45</v>
      </c>
      <c r="BL10" s="168">
        <f t="shared" si="8"/>
        <v>0</v>
      </c>
    </row>
    <row r="11" spans="1:64" x14ac:dyDescent="0.25">
      <c r="A11" s="14" t="s">
        <v>1367</v>
      </c>
      <c r="B11" t="s">
        <v>557</v>
      </c>
      <c r="C11" s="172">
        <f t="shared" ref="C11:Z11" si="12">SUM(C8:C10)</f>
        <v>0</v>
      </c>
      <c r="D11" s="172">
        <f t="shared" si="12"/>
        <v>0</v>
      </c>
      <c r="E11" s="172">
        <f t="shared" si="12"/>
        <v>0</v>
      </c>
      <c r="F11" s="172">
        <f t="shared" si="12"/>
        <v>0</v>
      </c>
      <c r="G11" s="172">
        <f t="shared" si="12"/>
        <v>4</v>
      </c>
      <c r="H11" s="172">
        <f t="shared" si="12"/>
        <v>4</v>
      </c>
      <c r="I11" s="172">
        <f t="shared" si="12"/>
        <v>4</v>
      </c>
      <c r="J11" s="172">
        <f t="shared" si="12"/>
        <v>4</v>
      </c>
      <c r="K11" s="172">
        <f t="shared" si="12"/>
        <v>4</v>
      </c>
      <c r="L11" s="172">
        <f t="shared" si="12"/>
        <v>6</v>
      </c>
      <c r="M11" s="172">
        <f t="shared" si="12"/>
        <v>6</v>
      </c>
      <c r="N11" s="172">
        <f t="shared" si="12"/>
        <v>6</v>
      </c>
      <c r="O11" s="172">
        <f t="shared" si="12"/>
        <v>6</v>
      </c>
      <c r="P11" s="172">
        <f t="shared" si="12"/>
        <v>6</v>
      </c>
      <c r="Q11" s="172">
        <f t="shared" si="12"/>
        <v>6</v>
      </c>
      <c r="R11" s="172">
        <f t="shared" si="12"/>
        <v>6</v>
      </c>
      <c r="S11" s="172">
        <f t="shared" si="12"/>
        <v>6</v>
      </c>
      <c r="T11" s="172">
        <f t="shared" si="12"/>
        <v>6</v>
      </c>
      <c r="U11" s="172">
        <f t="shared" si="12"/>
        <v>6</v>
      </c>
      <c r="V11" s="172">
        <f t="shared" si="12"/>
        <v>6</v>
      </c>
      <c r="W11" s="172">
        <f t="shared" si="12"/>
        <v>4</v>
      </c>
      <c r="X11" s="172">
        <f t="shared" si="12"/>
        <v>0</v>
      </c>
      <c r="Y11" s="172">
        <f t="shared" si="12"/>
        <v>0</v>
      </c>
      <c r="Z11" s="172">
        <f t="shared" si="12"/>
        <v>0</v>
      </c>
      <c r="AB11" s="2" t="s">
        <v>680</v>
      </c>
      <c r="AC11" s="14"/>
      <c r="AV11" s="30">
        <f>Parcellaire!A10</f>
        <v>0</v>
      </c>
      <c r="AW11" s="30">
        <f>Parcellaire!B10</f>
        <v>1</v>
      </c>
      <c r="AX11" s="30" t="str">
        <f>Parcellaire!D10</f>
        <v>proche</v>
      </c>
      <c r="AY11" s="30">
        <f>Parcellaire!F10</f>
        <v>13</v>
      </c>
      <c r="AZ11" s="30">
        <f>Parcellaire!G10</f>
        <v>1.42</v>
      </c>
      <c r="BA11" s="30">
        <f>ROUND(Parcellaire!S10,0)</f>
        <v>0</v>
      </c>
      <c r="BB11" s="30">
        <f>ROUND(Parcellaire!T10,0)</f>
        <v>0</v>
      </c>
      <c r="BC11" s="30">
        <f>ROUND(Parcellaire!U10,0)</f>
        <v>0</v>
      </c>
      <c r="BD11" s="30" t="str">
        <f>IF(AW11="",0,VLOOKUP(AY11,[1]MEP!$X$5:$AA$250,4))</f>
        <v>PP</v>
      </c>
      <c r="BE11" s="30" t="str">
        <f>IF(AW11=2,"",VLOOKUP(BD11,[1]MEP!$AC$5:$AD$10,2))</f>
        <v>P</v>
      </c>
      <c r="BF11" s="30" t="str">
        <f t="shared" si="2"/>
        <v>PF</v>
      </c>
      <c r="BG11" s="168">
        <f t="shared" si="3"/>
        <v>0</v>
      </c>
      <c r="BH11" s="168">
        <f t="shared" si="4"/>
        <v>0</v>
      </c>
      <c r="BI11" s="168">
        <f t="shared" si="5"/>
        <v>0</v>
      </c>
      <c r="BJ11" s="168">
        <f t="shared" si="6"/>
        <v>0</v>
      </c>
      <c r="BK11" s="168">
        <f t="shared" si="7"/>
        <v>1.42</v>
      </c>
      <c r="BL11" s="168">
        <f t="shared" si="8"/>
        <v>0</v>
      </c>
    </row>
    <row r="12" spans="1:64" x14ac:dyDescent="0.25">
      <c r="A12" s="14" t="s">
        <v>679</v>
      </c>
      <c r="B12" t="s">
        <v>557</v>
      </c>
      <c r="C12" s="172">
        <f>C7*[1]Protect!$B$15</f>
        <v>0</v>
      </c>
      <c r="D12" s="172">
        <f>D7*[1]Protect!$B$15</f>
        <v>0</v>
      </c>
      <c r="E12" s="172">
        <f>E7*[1]Protect!$B$15</f>
        <v>0</v>
      </c>
      <c r="F12" s="172">
        <f>F7*[1]Protect!$B$15</f>
        <v>0</v>
      </c>
      <c r="G12" s="172">
        <f>G7*[1]Protect!$B$15</f>
        <v>0</v>
      </c>
      <c r="H12" s="172">
        <f>H7*[1]Protect!$B$15</f>
        <v>0</v>
      </c>
      <c r="I12" s="172">
        <f>I7*[1]Protect!$B$15</f>
        <v>0</v>
      </c>
      <c r="J12" s="172">
        <f>J7*[1]Protect!$B$15</f>
        <v>0</v>
      </c>
      <c r="K12" s="172">
        <f>K7*[1]Protect!$B$15</f>
        <v>0</v>
      </c>
      <c r="L12" s="172">
        <f>L7*[1]Protect!$B$15</f>
        <v>0</v>
      </c>
      <c r="M12" s="172">
        <f>M7*[1]Protect!$B$15</f>
        <v>0</v>
      </c>
      <c r="N12" s="172">
        <f>N7*[1]Protect!$B$15</f>
        <v>0</v>
      </c>
      <c r="O12" s="172">
        <f>O7*[1]Protect!$B$15</f>
        <v>0</v>
      </c>
      <c r="P12" s="172">
        <f>P7*[1]Protect!$B$15</f>
        <v>0</v>
      </c>
      <c r="Q12" s="172">
        <f>Q7*[1]Protect!$B$15</f>
        <v>0</v>
      </c>
      <c r="R12" s="172">
        <f>R7*[1]Protect!$B$15</f>
        <v>0</v>
      </c>
      <c r="S12" s="172">
        <f>S7*[1]Protect!$B$15</f>
        <v>0</v>
      </c>
      <c r="T12" s="172">
        <f>T7*[1]Protect!$B$15</f>
        <v>0</v>
      </c>
      <c r="U12" s="172">
        <f>U7*[1]Protect!$B$15</f>
        <v>0</v>
      </c>
      <c r="V12" s="172">
        <f>V7*[1]Protect!$B$15</f>
        <v>0</v>
      </c>
      <c r="W12" s="172">
        <f>W7*[1]Protect!$B$15</f>
        <v>0</v>
      </c>
      <c r="X12" s="172">
        <f>X7*[1]Protect!$B$15</f>
        <v>0</v>
      </c>
      <c r="Y12" s="172">
        <f>Y7*[1]Protect!$B$15</f>
        <v>0</v>
      </c>
      <c r="Z12" s="172">
        <f>Z7*[1]Protect!$B$15</f>
        <v>0</v>
      </c>
      <c r="AB12" t="s">
        <v>1366</v>
      </c>
      <c r="AV12" s="30">
        <f>Parcellaire!A11</f>
        <v>15</v>
      </c>
      <c r="AW12" s="30">
        <f>Parcellaire!B11</f>
        <v>1</v>
      </c>
      <c r="AX12" s="30" t="str">
        <f>Parcellaire!D11</f>
        <v>proche</v>
      </c>
      <c r="AY12" s="30">
        <f>Parcellaire!F11</f>
        <v>187</v>
      </c>
      <c r="AZ12" s="30">
        <f>Parcellaire!G11</f>
        <v>1.2</v>
      </c>
      <c r="BA12" s="30">
        <f>ROUND(Parcellaire!S11,0)</f>
        <v>0</v>
      </c>
      <c r="BB12" s="30">
        <f>ROUND(Parcellaire!T11,0)</f>
        <v>489</v>
      </c>
      <c r="BC12" s="30">
        <f>ROUND(Parcellaire!U11,0)</f>
        <v>89</v>
      </c>
      <c r="BD12" s="30" t="str">
        <f>IF(AW12="",0,VLOOKUP(AY12,[1]MEP!$X$5:$AA$250,4))</f>
        <v>PP</v>
      </c>
      <c r="BE12" s="30" t="str">
        <f>IF(AW12=2,"",VLOOKUP(BD12,[1]MEP!$AC$5:$AD$10,2))</f>
        <v>P</v>
      </c>
      <c r="BF12" s="30" t="str">
        <f t="shared" si="2"/>
        <v>PF</v>
      </c>
      <c r="BG12" s="168">
        <f t="shared" si="3"/>
        <v>0</v>
      </c>
      <c r="BH12" s="168">
        <f t="shared" si="4"/>
        <v>489</v>
      </c>
      <c r="BI12" s="168">
        <f t="shared" si="5"/>
        <v>0</v>
      </c>
      <c r="BJ12" s="168">
        <f t="shared" si="6"/>
        <v>0</v>
      </c>
      <c r="BK12" s="168">
        <f t="shared" si="7"/>
        <v>1.2</v>
      </c>
      <c r="BL12" s="168">
        <f t="shared" si="8"/>
        <v>0</v>
      </c>
    </row>
    <row r="13" spans="1:64" x14ac:dyDescent="0.25">
      <c r="A13" s="14" t="s">
        <v>681</v>
      </c>
      <c r="B13" t="s">
        <v>557</v>
      </c>
      <c r="C13" s="172">
        <f>C11+C12</f>
        <v>0</v>
      </c>
      <c r="D13" s="172">
        <f t="shared" ref="D13:Z13" si="13">D11+D12</f>
        <v>0</v>
      </c>
      <c r="E13" s="172">
        <f t="shared" si="13"/>
        <v>0</v>
      </c>
      <c r="F13" s="172">
        <f t="shared" si="13"/>
        <v>0</v>
      </c>
      <c r="G13" s="172">
        <f t="shared" si="13"/>
        <v>4</v>
      </c>
      <c r="H13" s="172">
        <f t="shared" si="13"/>
        <v>4</v>
      </c>
      <c r="I13" s="172">
        <f t="shared" si="13"/>
        <v>4</v>
      </c>
      <c r="J13" s="172">
        <f t="shared" si="13"/>
        <v>4</v>
      </c>
      <c r="K13" s="172">
        <f t="shared" si="13"/>
        <v>4</v>
      </c>
      <c r="L13" s="172">
        <f t="shared" si="13"/>
        <v>6</v>
      </c>
      <c r="M13" s="172">
        <f t="shared" si="13"/>
        <v>6</v>
      </c>
      <c r="N13" s="172">
        <f t="shared" si="13"/>
        <v>6</v>
      </c>
      <c r="O13" s="172">
        <f t="shared" si="13"/>
        <v>6</v>
      </c>
      <c r="P13" s="172">
        <f t="shared" si="13"/>
        <v>6</v>
      </c>
      <c r="Q13" s="172">
        <f t="shared" si="13"/>
        <v>6</v>
      </c>
      <c r="R13" s="172">
        <f t="shared" si="13"/>
        <v>6</v>
      </c>
      <c r="S13" s="172">
        <f t="shared" si="13"/>
        <v>6</v>
      </c>
      <c r="T13" s="172">
        <f t="shared" si="13"/>
        <v>6</v>
      </c>
      <c r="U13" s="172">
        <f t="shared" si="13"/>
        <v>6</v>
      </c>
      <c r="V13" s="172">
        <f t="shared" si="13"/>
        <v>6</v>
      </c>
      <c r="W13" s="172">
        <f t="shared" si="13"/>
        <v>4</v>
      </c>
      <c r="X13" s="172">
        <f t="shared" si="13"/>
        <v>0</v>
      </c>
      <c r="Y13" s="172">
        <f t="shared" si="13"/>
        <v>0</v>
      </c>
      <c r="Z13" s="172">
        <f t="shared" si="13"/>
        <v>0</v>
      </c>
      <c r="AC13" s="14" t="s">
        <v>683</v>
      </c>
      <c r="AD13" s="30">
        <f>IF(AND(Troupeau!B3="OL",Scénario!K88=2),MAX(C3:Z4),0)</f>
        <v>0</v>
      </c>
      <c r="AV13" s="30">
        <f>Parcellaire!A12</f>
        <v>0</v>
      </c>
      <c r="AW13" s="30">
        <f>Parcellaire!B12</f>
        <v>1</v>
      </c>
      <c r="AX13" s="30" t="str">
        <f>Parcellaire!D12</f>
        <v>proche</v>
      </c>
      <c r="AY13" s="30">
        <f>Parcellaire!F12</f>
        <v>78</v>
      </c>
      <c r="AZ13" s="30">
        <f>Parcellaire!G12</f>
        <v>1.81</v>
      </c>
      <c r="BA13" s="30">
        <f>ROUND(Parcellaire!S12,0)</f>
        <v>0</v>
      </c>
      <c r="BB13" s="30">
        <f>ROUND(Parcellaire!T12,0)</f>
        <v>0</v>
      </c>
      <c r="BC13" s="30">
        <f>ROUND(Parcellaire!U12,0)</f>
        <v>0</v>
      </c>
      <c r="BD13" s="30" t="str">
        <f>IF(AW13="",0,VLOOKUP(AY13,[1]MEP!$X$5:$AA$250,4))</f>
        <v>PP</v>
      </c>
      <c r="BE13" s="30" t="str">
        <f>IF(AW13=2,"",VLOOKUP(BD13,[1]MEP!$AC$5:$AD$10,2))</f>
        <v>P</v>
      </c>
      <c r="BF13" s="30" t="str">
        <f t="shared" si="2"/>
        <v>PF</v>
      </c>
      <c r="BG13" s="168">
        <f t="shared" si="3"/>
        <v>0</v>
      </c>
      <c r="BH13" s="168">
        <f t="shared" si="4"/>
        <v>0</v>
      </c>
      <c r="BI13" s="168">
        <f t="shared" si="5"/>
        <v>0</v>
      </c>
      <c r="BJ13" s="168">
        <f t="shared" si="6"/>
        <v>0</v>
      </c>
      <c r="BK13" s="168">
        <f t="shared" si="7"/>
        <v>1.81</v>
      </c>
      <c r="BL13" s="168">
        <f t="shared" si="8"/>
        <v>0</v>
      </c>
    </row>
    <row r="14" spans="1:64" x14ac:dyDescent="0.25">
      <c r="A14" s="43" t="s">
        <v>682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C14" s="14" t="s">
        <v>685</v>
      </c>
      <c r="AD14" s="30">
        <f>IF(AD13=0,0,AD13+1)</f>
        <v>0</v>
      </c>
      <c r="AV14" s="30">
        <f>Parcellaire!A13</f>
        <v>17</v>
      </c>
      <c r="AW14" s="30">
        <f>Parcellaire!B13</f>
        <v>1</v>
      </c>
      <c r="AX14" s="30" t="str">
        <f>Parcellaire!D13</f>
        <v>proche</v>
      </c>
      <c r="AY14" s="30">
        <f>Parcellaire!F13</f>
        <v>88</v>
      </c>
      <c r="AZ14" s="30">
        <f>Parcellaire!G13</f>
        <v>0</v>
      </c>
      <c r="BA14" s="30">
        <f>ROUND(Parcellaire!S13,0)</f>
        <v>0</v>
      </c>
      <c r="BB14" s="30">
        <f>ROUND(Parcellaire!T13,0)</f>
        <v>0</v>
      </c>
      <c r="BC14" s="30">
        <f>ROUND(Parcellaire!U13,0)</f>
        <v>0</v>
      </c>
      <c r="BD14" s="30" t="str">
        <f>IF(AW14="",0,VLOOKUP(AY14,[1]MEP!$X$5:$AA$250,4))</f>
        <v>PT</v>
      </c>
      <c r="BE14" s="30" t="str">
        <f>IF(AW14=2,"",VLOOKUP(BD14,[1]MEP!$AC$5:$AD$10,2))</f>
        <v>P</v>
      </c>
      <c r="BF14" s="30" t="str">
        <f t="shared" si="2"/>
        <v>PF</v>
      </c>
      <c r="BG14" s="168">
        <f t="shared" si="3"/>
        <v>0</v>
      </c>
      <c r="BH14" s="168">
        <f t="shared" si="4"/>
        <v>0</v>
      </c>
      <c r="BI14" s="168">
        <f t="shared" si="5"/>
        <v>0</v>
      </c>
      <c r="BJ14" s="168">
        <f t="shared" si="6"/>
        <v>0</v>
      </c>
      <c r="BK14" s="168">
        <f t="shared" si="7"/>
        <v>0</v>
      </c>
      <c r="BL14" s="168">
        <f t="shared" si="8"/>
        <v>0</v>
      </c>
    </row>
    <row r="15" spans="1:64" x14ac:dyDescent="0.25">
      <c r="A15" s="173" t="s">
        <v>684</v>
      </c>
      <c r="B15" t="s">
        <v>557</v>
      </c>
      <c r="C15" s="168">
        <f>COUNTIF(C68:C77,0)</f>
        <v>0</v>
      </c>
      <c r="D15" s="168">
        <f t="shared" ref="D15:Z15" si="14">COUNTIF(D68:D77,0)</f>
        <v>0</v>
      </c>
      <c r="E15" s="168">
        <f t="shared" si="14"/>
        <v>0</v>
      </c>
      <c r="F15" s="168">
        <f t="shared" si="14"/>
        <v>0</v>
      </c>
      <c r="G15" s="168">
        <f t="shared" si="14"/>
        <v>1</v>
      </c>
      <c r="H15" s="168">
        <f t="shared" si="14"/>
        <v>1</v>
      </c>
      <c r="I15" s="168">
        <f t="shared" si="14"/>
        <v>2</v>
      </c>
      <c r="J15" s="168">
        <f t="shared" si="14"/>
        <v>2</v>
      </c>
      <c r="K15" s="168">
        <f t="shared" si="14"/>
        <v>2</v>
      </c>
      <c r="L15" s="168">
        <f t="shared" si="14"/>
        <v>2</v>
      </c>
      <c r="M15" s="168">
        <f t="shared" si="14"/>
        <v>2</v>
      </c>
      <c r="N15" s="168">
        <f t="shared" si="14"/>
        <v>2</v>
      </c>
      <c r="O15" s="168">
        <f t="shared" si="14"/>
        <v>2</v>
      </c>
      <c r="P15" s="168">
        <f t="shared" si="14"/>
        <v>2</v>
      </c>
      <c r="Q15" s="168">
        <f t="shared" si="14"/>
        <v>2</v>
      </c>
      <c r="R15" s="168">
        <f t="shared" si="14"/>
        <v>2</v>
      </c>
      <c r="S15" s="168">
        <f t="shared" si="14"/>
        <v>2</v>
      </c>
      <c r="T15" s="168">
        <f t="shared" si="14"/>
        <v>2</v>
      </c>
      <c r="U15" s="168">
        <f t="shared" si="14"/>
        <v>2</v>
      </c>
      <c r="V15" s="168">
        <f t="shared" si="14"/>
        <v>2</v>
      </c>
      <c r="W15" s="168">
        <f t="shared" si="14"/>
        <v>0</v>
      </c>
      <c r="X15" s="168">
        <f t="shared" si="14"/>
        <v>0</v>
      </c>
      <c r="Y15" s="168">
        <f t="shared" si="14"/>
        <v>0</v>
      </c>
      <c r="Z15" s="168">
        <f t="shared" si="14"/>
        <v>0</v>
      </c>
      <c r="AV15" s="30">
        <f>Parcellaire!A14</f>
        <v>0</v>
      </c>
      <c r="AW15" s="30">
        <f>Parcellaire!B14</f>
        <v>1</v>
      </c>
      <c r="AX15" s="30" t="str">
        <f>Parcellaire!D14</f>
        <v>proche</v>
      </c>
      <c r="AY15" s="30">
        <f>Parcellaire!F14</f>
        <v>187</v>
      </c>
      <c r="AZ15" s="30">
        <f>Parcellaire!G14</f>
        <v>0.8</v>
      </c>
      <c r="BA15" s="30">
        <f>ROUND(Parcellaire!S14,0)</f>
        <v>0</v>
      </c>
      <c r="BB15" s="30">
        <f>ROUND(Parcellaire!T14,0)</f>
        <v>0</v>
      </c>
      <c r="BC15" s="30">
        <f>ROUND(Parcellaire!U14,0)</f>
        <v>0</v>
      </c>
      <c r="BD15" s="30" t="str">
        <f>IF(AW15="",0,VLOOKUP(AY15,[1]MEP!$X$5:$AA$250,4))</f>
        <v>PP</v>
      </c>
      <c r="BE15" s="30" t="str">
        <f>IF(AW15=2,"",VLOOKUP(BD15,[1]MEP!$AC$5:$AD$10,2))</f>
        <v>P</v>
      </c>
      <c r="BF15" s="30" t="str">
        <f t="shared" si="2"/>
        <v>PF</v>
      </c>
      <c r="BG15" s="168">
        <f t="shared" si="3"/>
        <v>0</v>
      </c>
      <c r="BH15" s="168">
        <f t="shared" si="4"/>
        <v>0</v>
      </c>
      <c r="BI15" s="168">
        <f t="shared" si="5"/>
        <v>0</v>
      </c>
      <c r="BJ15" s="168">
        <f t="shared" si="6"/>
        <v>0</v>
      </c>
      <c r="BK15" s="168">
        <f t="shared" si="7"/>
        <v>0.8</v>
      </c>
      <c r="BL15" s="168">
        <f t="shared" si="8"/>
        <v>0</v>
      </c>
    </row>
    <row r="16" spans="1:64" x14ac:dyDescent="0.25">
      <c r="A16" s="173" t="s">
        <v>686</v>
      </c>
      <c r="B16" t="s">
        <v>557</v>
      </c>
      <c r="C16" s="168">
        <f t="shared" ref="C16:Z16" si="15">COUNTIF(C68:C77,1)</f>
        <v>5</v>
      </c>
      <c r="D16" s="168">
        <f t="shared" si="15"/>
        <v>5</v>
      </c>
      <c r="E16" s="168">
        <f t="shared" si="15"/>
        <v>5</v>
      </c>
      <c r="F16" s="168">
        <f t="shared" si="15"/>
        <v>5</v>
      </c>
      <c r="G16" s="168">
        <f t="shared" si="15"/>
        <v>3</v>
      </c>
      <c r="H16" s="168">
        <f t="shared" si="15"/>
        <v>3</v>
      </c>
      <c r="I16" s="168">
        <f t="shared" si="15"/>
        <v>3</v>
      </c>
      <c r="J16" s="168">
        <f t="shared" si="15"/>
        <v>3</v>
      </c>
      <c r="K16" s="168">
        <f t="shared" si="15"/>
        <v>3</v>
      </c>
      <c r="L16" s="168">
        <f t="shared" si="15"/>
        <v>2</v>
      </c>
      <c r="M16" s="168">
        <f t="shared" si="15"/>
        <v>2</v>
      </c>
      <c r="N16" s="168">
        <f t="shared" si="15"/>
        <v>2</v>
      </c>
      <c r="O16" s="168">
        <f t="shared" si="15"/>
        <v>2</v>
      </c>
      <c r="P16" s="168">
        <f t="shared" si="15"/>
        <v>2</v>
      </c>
      <c r="Q16" s="168">
        <f t="shared" si="15"/>
        <v>2</v>
      </c>
      <c r="R16" s="168">
        <f t="shared" si="15"/>
        <v>2</v>
      </c>
      <c r="S16" s="168">
        <f t="shared" si="15"/>
        <v>2</v>
      </c>
      <c r="T16" s="168">
        <f t="shared" si="15"/>
        <v>2</v>
      </c>
      <c r="U16" s="168">
        <f t="shared" si="15"/>
        <v>2</v>
      </c>
      <c r="V16" s="168">
        <f t="shared" si="15"/>
        <v>2</v>
      </c>
      <c r="W16" s="168">
        <f t="shared" si="15"/>
        <v>3</v>
      </c>
      <c r="X16" s="168">
        <f t="shared" si="15"/>
        <v>5</v>
      </c>
      <c r="Y16" s="168">
        <f t="shared" si="15"/>
        <v>5</v>
      </c>
      <c r="Z16" s="168">
        <f t="shared" si="15"/>
        <v>5</v>
      </c>
      <c r="AB16" s="14"/>
      <c r="AV16" s="30">
        <f>Parcellaire!A15</f>
        <v>23</v>
      </c>
      <c r="AW16" s="30">
        <f>Parcellaire!B15</f>
        <v>1</v>
      </c>
      <c r="AX16" s="30" t="str">
        <f>Parcellaire!D15</f>
        <v>proche</v>
      </c>
      <c r="AY16" s="30">
        <f>Parcellaire!F15</f>
        <v>14</v>
      </c>
      <c r="AZ16" s="30">
        <f>Parcellaire!G15</f>
        <v>1.94</v>
      </c>
      <c r="BA16" s="30">
        <f>ROUND(Parcellaire!S15,0)</f>
        <v>0</v>
      </c>
      <c r="BB16" s="30">
        <f>ROUND(Parcellaire!T15,0)</f>
        <v>620</v>
      </c>
      <c r="BC16" s="30">
        <f>ROUND(Parcellaire!U15,0)</f>
        <v>0</v>
      </c>
      <c r="BD16" s="30" t="str">
        <f>IF(AW16="",0,VLOOKUP(AY16,[1]MEP!$X$5:$AA$250,4))</f>
        <v>PP</v>
      </c>
      <c r="BE16" s="30" t="str">
        <f>IF(AW16=2,"",VLOOKUP(BD16,[1]MEP!$AC$5:$AD$10,2))</f>
        <v>P</v>
      </c>
      <c r="BF16" s="30" t="str">
        <f t="shared" si="2"/>
        <v>PF</v>
      </c>
      <c r="BG16" s="168">
        <f t="shared" si="3"/>
        <v>0</v>
      </c>
      <c r="BH16" s="168">
        <f t="shared" si="4"/>
        <v>620</v>
      </c>
      <c r="BI16" s="168">
        <f t="shared" si="5"/>
        <v>0</v>
      </c>
      <c r="BJ16" s="168">
        <f t="shared" si="6"/>
        <v>0</v>
      </c>
      <c r="BK16" s="168">
        <f t="shared" si="7"/>
        <v>1.94</v>
      </c>
      <c r="BL16" s="168">
        <f t="shared" si="8"/>
        <v>0</v>
      </c>
    </row>
    <row r="17" spans="1:64" x14ac:dyDescent="0.25">
      <c r="A17" s="173" t="s">
        <v>687</v>
      </c>
      <c r="B17" t="s">
        <v>557</v>
      </c>
      <c r="C17" s="168">
        <f t="shared" ref="C17:Z17" si="16">COUNTIF(C68:C77,0.5)</f>
        <v>0</v>
      </c>
      <c r="D17" s="168">
        <f t="shared" si="16"/>
        <v>0</v>
      </c>
      <c r="E17" s="168">
        <f t="shared" si="16"/>
        <v>0</v>
      </c>
      <c r="F17" s="168">
        <f t="shared" si="16"/>
        <v>0</v>
      </c>
      <c r="G17" s="168">
        <f t="shared" si="16"/>
        <v>1</v>
      </c>
      <c r="H17" s="168">
        <f t="shared" si="16"/>
        <v>1</v>
      </c>
      <c r="I17" s="168">
        <f t="shared" si="16"/>
        <v>0</v>
      </c>
      <c r="J17" s="168">
        <f t="shared" si="16"/>
        <v>0</v>
      </c>
      <c r="K17" s="168">
        <f t="shared" si="16"/>
        <v>0</v>
      </c>
      <c r="L17" s="168">
        <f t="shared" si="16"/>
        <v>1</v>
      </c>
      <c r="M17" s="168">
        <f t="shared" si="16"/>
        <v>1</v>
      </c>
      <c r="N17" s="168">
        <f t="shared" si="16"/>
        <v>1</v>
      </c>
      <c r="O17" s="168">
        <f t="shared" si="16"/>
        <v>1</v>
      </c>
      <c r="P17" s="168">
        <f t="shared" si="16"/>
        <v>1</v>
      </c>
      <c r="Q17" s="168">
        <f t="shared" si="16"/>
        <v>1</v>
      </c>
      <c r="R17" s="168">
        <f t="shared" si="16"/>
        <v>1</v>
      </c>
      <c r="S17" s="168">
        <f t="shared" si="16"/>
        <v>1</v>
      </c>
      <c r="T17" s="168">
        <f t="shared" si="16"/>
        <v>1</v>
      </c>
      <c r="U17" s="168">
        <f t="shared" si="16"/>
        <v>1</v>
      </c>
      <c r="V17" s="168">
        <f t="shared" si="16"/>
        <v>1</v>
      </c>
      <c r="W17" s="168">
        <f t="shared" si="16"/>
        <v>2</v>
      </c>
      <c r="X17" s="168">
        <f t="shared" si="16"/>
        <v>0</v>
      </c>
      <c r="Y17" s="168">
        <f t="shared" si="16"/>
        <v>0</v>
      </c>
      <c r="Z17" s="168">
        <f t="shared" si="16"/>
        <v>0</v>
      </c>
      <c r="AB17" s="2" t="s">
        <v>689</v>
      </c>
      <c r="AD17" s="102" t="s">
        <v>690</v>
      </c>
      <c r="AE17" s="81"/>
      <c r="AF17" s="81"/>
      <c r="AH17" s="2" t="s">
        <v>691</v>
      </c>
      <c r="AK17" t="s">
        <v>692</v>
      </c>
      <c r="AV17" s="30">
        <f>Parcellaire!A16</f>
        <v>24</v>
      </c>
      <c r="AW17" s="30">
        <f>Parcellaire!B16</f>
        <v>1</v>
      </c>
      <c r="AX17" s="30" t="str">
        <f>Parcellaire!D16</f>
        <v>proche</v>
      </c>
      <c r="AY17" s="30">
        <f>Parcellaire!F16</f>
        <v>185</v>
      </c>
      <c r="AZ17" s="30">
        <f>Parcellaire!G16</f>
        <v>0.77</v>
      </c>
      <c r="BA17" s="30">
        <f>ROUND(Parcellaire!S16,0)</f>
        <v>0</v>
      </c>
      <c r="BB17" s="30">
        <f>ROUND(Parcellaire!T16,0)</f>
        <v>392</v>
      </c>
      <c r="BC17" s="30">
        <f>ROUND(Parcellaire!U16,0)</f>
        <v>71</v>
      </c>
      <c r="BD17" s="30" t="str">
        <f>IF(AW17="",0,VLOOKUP(AY17,[1]MEP!$X$5:$AA$250,4))</f>
        <v>PP</v>
      </c>
      <c r="BE17" s="30" t="str">
        <f>IF(AW17=2,"",VLOOKUP(BD17,[1]MEP!$AC$5:$AD$10,2))</f>
        <v>P</v>
      </c>
      <c r="BF17" s="30" t="str">
        <f t="shared" si="2"/>
        <v>PF</v>
      </c>
      <c r="BG17" s="168">
        <f t="shared" si="3"/>
        <v>0</v>
      </c>
      <c r="BH17" s="168">
        <f t="shared" si="4"/>
        <v>392</v>
      </c>
      <c r="BI17" s="168">
        <f t="shared" si="5"/>
        <v>0</v>
      </c>
      <c r="BJ17" s="168">
        <f t="shared" si="6"/>
        <v>0</v>
      </c>
      <c r="BK17" s="168">
        <f t="shared" si="7"/>
        <v>0.77</v>
      </c>
      <c r="BL17" s="168">
        <f t="shared" si="8"/>
        <v>0</v>
      </c>
    </row>
    <row r="18" spans="1:64" x14ac:dyDescent="0.25">
      <c r="A18" s="173" t="s">
        <v>688</v>
      </c>
      <c r="B18" t="s">
        <v>557</v>
      </c>
      <c r="C18" s="62">
        <f>IF(AND(C15=0,(C16+C17)&gt;0),1,IF(AND(C15&gt;0,(C16+C17)&gt;0),C15+1,C15))</f>
        <v>1</v>
      </c>
      <c r="D18" s="62">
        <f t="shared" ref="D18:Z18" si="17">IF(AND(D15=0,(D16+D17)&gt;0),1,IF(AND(D15&gt;0,(D16+D17)&gt;0),D15+1,D15))</f>
        <v>1</v>
      </c>
      <c r="E18" s="62">
        <f t="shared" si="17"/>
        <v>1</v>
      </c>
      <c r="F18" s="62">
        <f t="shared" si="17"/>
        <v>1</v>
      </c>
      <c r="G18" s="62">
        <f t="shared" si="17"/>
        <v>2</v>
      </c>
      <c r="H18" s="62">
        <f t="shared" si="17"/>
        <v>2</v>
      </c>
      <c r="I18" s="62">
        <f t="shared" si="17"/>
        <v>3</v>
      </c>
      <c r="J18" s="62">
        <f t="shared" si="17"/>
        <v>3</v>
      </c>
      <c r="K18" s="62">
        <f t="shared" si="17"/>
        <v>3</v>
      </c>
      <c r="L18" s="62">
        <f t="shared" si="17"/>
        <v>3</v>
      </c>
      <c r="M18" s="62">
        <f t="shared" si="17"/>
        <v>3</v>
      </c>
      <c r="N18" s="62">
        <f t="shared" si="17"/>
        <v>3</v>
      </c>
      <c r="O18" s="62">
        <f t="shared" si="17"/>
        <v>3</v>
      </c>
      <c r="P18" s="62">
        <f t="shared" si="17"/>
        <v>3</v>
      </c>
      <c r="Q18" s="62">
        <f t="shared" si="17"/>
        <v>3</v>
      </c>
      <c r="R18" s="62">
        <f t="shared" si="17"/>
        <v>3</v>
      </c>
      <c r="S18" s="62">
        <f t="shared" si="17"/>
        <v>3</v>
      </c>
      <c r="T18" s="62">
        <f t="shared" si="17"/>
        <v>3</v>
      </c>
      <c r="U18" s="62">
        <f t="shared" si="17"/>
        <v>3</v>
      </c>
      <c r="V18" s="62">
        <f t="shared" si="17"/>
        <v>3</v>
      </c>
      <c r="W18" s="62">
        <f t="shared" si="17"/>
        <v>1</v>
      </c>
      <c r="X18" s="62">
        <f t="shared" si="17"/>
        <v>1</v>
      </c>
      <c r="Y18" s="62">
        <f t="shared" si="17"/>
        <v>1</v>
      </c>
      <c r="Z18" s="62">
        <f t="shared" si="17"/>
        <v>1</v>
      </c>
      <c r="AB18" s="22" t="s">
        <v>694</v>
      </c>
      <c r="AD18" s="120" t="s">
        <v>495</v>
      </c>
      <c r="AE18" s="81" t="s">
        <v>695</v>
      </c>
      <c r="AF18" s="120" t="s">
        <v>696</v>
      </c>
      <c r="AK18" t="s">
        <v>697</v>
      </c>
      <c r="AV18" s="30">
        <f>Parcellaire!A17</f>
        <v>0</v>
      </c>
      <c r="AW18" s="30">
        <f>Parcellaire!B17</f>
        <v>1</v>
      </c>
      <c r="AX18" s="30" t="str">
        <f>Parcellaire!D17</f>
        <v>proche</v>
      </c>
      <c r="AY18" s="30">
        <f>Parcellaire!F17</f>
        <v>78</v>
      </c>
      <c r="AZ18" s="30">
        <f>Parcellaire!G17</f>
        <v>3.6</v>
      </c>
      <c r="BA18" s="30">
        <f>ROUND(Parcellaire!S17,0)</f>
        <v>0</v>
      </c>
      <c r="BB18" s="30">
        <f>ROUND(Parcellaire!T17,0)</f>
        <v>0</v>
      </c>
      <c r="BC18" s="30">
        <f>ROUND(Parcellaire!U17,0)</f>
        <v>0</v>
      </c>
      <c r="BD18" s="30" t="str">
        <f>IF(AW18="",0,VLOOKUP(AY18,[1]MEP!$X$5:$AA$250,4))</f>
        <v>PP</v>
      </c>
      <c r="BE18" s="30" t="str">
        <f>IF(AW18=2,"",VLOOKUP(BD18,[1]MEP!$AC$5:$AD$10,2))</f>
        <v>P</v>
      </c>
      <c r="BF18" s="30" t="str">
        <f t="shared" si="2"/>
        <v>PF</v>
      </c>
      <c r="BG18" s="168">
        <f t="shared" si="3"/>
        <v>0</v>
      </c>
      <c r="BH18" s="168">
        <f t="shared" si="4"/>
        <v>0</v>
      </c>
      <c r="BI18" s="168">
        <f t="shared" si="5"/>
        <v>0</v>
      </c>
      <c r="BJ18" s="168">
        <f t="shared" si="6"/>
        <v>0</v>
      </c>
      <c r="BK18" s="168">
        <f t="shared" si="7"/>
        <v>3.6</v>
      </c>
      <c r="BL18" s="168">
        <f t="shared" si="8"/>
        <v>0</v>
      </c>
    </row>
    <row r="19" spans="1:64" x14ac:dyDescent="0.25">
      <c r="A19" s="173" t="s">
        <v>693</v>
      </c>
      <c r="B19" t="s">
        <v>557</v>
      </c>
      <c r="C19" s="62">
        <f>IF(COUNTIF(C81:C90,4)&gt;0,1,0)</f>
        <v>0</v>
      </c>
      <c r="D19" s="62">
        <f t="shared" ref="D19:Z19" si="18">IF(COUNTIF(D81:D90,4)&gt;0,1,0)</f>
        <v>0</v>
      </c>
      <c r="E19" s="62">
        <f t="shared" si="18"/>
        <v>0</v>
      </c>
      <c r="F19" s="62">
        <f t="shared" si="18"/>
        <v>0</v>
      </c>
      <c r="G19" s="62">
        <f t="shared" si="18"/>
        <v>0</v>
      </c>
      <c r="H19" s="62">
        <f t="shared" si="18"/>
        <v>0</v>
      </c>
      <c r="I19" s="62">
        <f t="shared" si="18"/>
        <v>0</v>
      </c>
      <c r="J19" s="62">
        <f t="shared" si="18"/>
        <v>0</v>
      </c>
      <c r="K19" s="62">
        <f t="shared" si="18"/>
        <v>0</v>
      </c>
      <c r="L19" s="62">
        <f t="shared" si="18"/>
        <v>0</v>
      </c>
      <c r="M19" s="62">
        <f t="shared" si="18"/>
        <v>0</v>
      </c>
      <c r="N19" s="62">
        <f t="shared" si="18"/>
        <v>0</v>
      </c>
      <c r="O19" s="62">
        <f t="shared" si="18"/>
        <v>0</v>
      </c>
      <c r="P19" s="62">
        <f t="shared" si="18"/>
        <v>0</v>
      </c>
      <c r="Q19" s="62">
        <f t="shared" si="18"/>
        <v>0</v>
      </c>
      <c r="R19" s="62">
        <f t="shared" si="18"/>
        <v>0</v>
      </c>
      <c r="S19" s="62">
        <f t="shared" si="18"/>
        <v>0</v>
      </c>
      <c r="T19" s="62">
        <f t="shared" si="18"/>
        <v>0</v>
      </c>
      <c r="U19" s="62">
        <f t="shared" si="18"/>
        <v>0</v>
      </c>
      <c r="V19" s="62">
        <f t="shared" si="18"/>
        <v>0</v>
      </c>
      <c r="W19" s="62">
        <f t="shared" si="18"/>
        <v>0</v>
      </c>
      <c r="X19" s="62">
        <f t="shared" si="18"/>
        <v>0</v>
      </c>
      <c r="Y19" s="62">
        <f t="shared" si="18"/>
        <v>0</v>
      </c>
      <c r="Z19" s="62">
        <f t="shared" si="18"/>
        <v>0</v>
      </c>
      <c r="AC19" s="14" t="s">
        <v>699</v>
      </c>
      <c r="AD19" s="64">
        <f>IF(AND(Scénario!K88=2,SUM(Protection!C5:Z5)&gt;0,Troupeau!B3="OL"),Protection!AP3,0)</f>
        <v>0</v>
      </c>
      <c r="AE19" s="64">
        <v>0</v>
      </c>
      <c r="AF19" s="64">
        <f>SUM(AD19:AE19)</f>
        <v>0</v>
      </c>
      <c r="AH19" s="30">
        <v>0</v>
      </c>
      <c r="AJ19" s="14" t="s">
        <v>690</v>
      </c>
      <c r="AK19" s="165" t="s">
        <v>700</v>
      </c>
      <c r="AV19" s="30">
        <f>Parcellaire!A18</f>
        <v>26</v>
      </c>
      <c r="AW19" s="30">
        <f>Parcellaire!B18</f>
        <v>1</v>
      </c>
      <c r="AX19" s="30" t="str">
        <f>Parcellaire!D18</f>
        <v>proche</v>
      </c>
      <c r="AY19" s="30">
        <f>Parcellaire!F18</f>
        <v>185</v>
      </c>
      <c r="AZ19" s="30">
        <f>Parcellaire!G18</f>
        <v>2.13</v>
      </c>
      <c r="BA19" s="30">
        <f>ROUND(Parcellaire!S18,0)</f>
        <v>0</v>
      </c>
      <c r="BB19" s="30">
        <f>ROUND(Parcellaire!T18,0)</f>
        <v>711</v>
      </c>
      <c r="BC19" s="30">
        <f>ROUND(Parcellaire!U18,0)</f>
        <v>0</v>
      </c>
      <c r="BD19" s="30" t="str">
        <f>IF(AW19="",0,VLOOKUP(AY19,[1]MEP!$X$5:$AA$250,4))</f>
        <v>PP</v>
      </c>
      <c r="BE19" s="30" t="str">
        <f>IF(AW19=2,"",VLOOKUP(BD19,[1]MEP!$AC$5:$AD$10,2))</f>
        <v>P</v>
      </c>
      <c r="BF19" s="30" t="str">
        <f t="shared" si="2"/>
        <v>PF</v>
      </c>
      <c r="BG19" s="168">
        <f t="shared" si="3"/>
        <v>0</v>
      </c>
      <c r="BH19" s="168">
        <f t="shared" si="4"/>
        <v>711</v>
      </c>
      <c r="BI19" s="168">
        <f t="shared" si="5"/>
        <v>0</v>
      </c>
      <c r="BJ19" s="168">
        <f t="shared" si="6"/>
        <v>0</v>
      </c>
      <c r="BK19" s="168">
        <f t="shared" si="7"/>
        <v>2.13</v>
      </c>
      <c r="BL19" s="168">
        <f t="shared" si="8"/>
        <v>0</v>
      </c>
    </row>
    <row r="20" spans="1:64" x14ac:dyDescent="0.25">
      <c r="A20" s="173" t="s">
        <v>698</v>
      </c>
      <c r="B20" t="s">
        <v>557</v>
      </c>
      <c r="C20" s="168">
        <f>COUNTIF(C81:C90,5)</f>
        <v>0</v>
      </c>
      <c r="D20" s="168">
        <f t="shared" ref="D20:Z20" si="19">COUNTIF(D81:D90,5)</f>
        <v>0</v>
      </c>
      <c r="E20" s="168">
        <f t="shared" si="19"/>
        <v>0</v>
      </c>
      <c r="F20" s="168">
        <f t="shared" si="19"/>
        <v>0</v>
      </c>
      <c r="G20" s="168">
        <f t="shared" si="19"/>
        <v>0</v>
      </c>
      <c r="H20" s="168">
        <f t="shared" si="19"/>
        <v>0</v>
      </c>
      <c r="I20" s="168">
        <f t="shared" si="19"/>
        <v>0</v>
      </c>
      <c r="J20" s="168">
        <f t="shared" si="19"/>
        <v>0</v>
      </c>
      <c r="K20" s="168">
        <f t="shared" si="19"/>
        <v>0</v>
      </c>
      <c r="L20" s="168">
        <f t="shared" si="19"/>
        <v>0</v>
      </c>
      <c r="M20" s="168">
        <f t="shared" si="19"/>
        <v>0</v>
      </c>
      <c r="N20" s="168">
        <f t="shared" si="19"/>
        <v>0</v>
      </c>
      <c r="O20" s="168">
        <f t="shared" si="19"/>
        <v>0</v>
      </c>
      <c r="P20" s="168">
        <f t="shared" si="19"/>
        <v>0</v>
      </c>
      <c r="Q20" s="168">
        <f t="shared" si="19"/>
        <v>0</v>
      </c>
      <c r="R20" s="168">
        <f t="shared" si="19"/>
        <v>0</v>
      </c>
      <c r="S20" s="168">
        <f t="shared" si="19"/>
        <v>0</v>
      </c>
      <c r="T20" s="168">
        <f t="shared" si="19"/>
        <v>0</v>
      </c>
      <c r="U20" s="168">
        <f t="shared" si="19"/>
        <v>0</v>
      </c>
      <c r="V20" s="168">
        <f t="shared" si="19"/>
        <v>0</v>
      </c>
      <c r="W20" s="168">
        <f t="shared" si="19"/>
        <v>0</v>
      </c>
      <c r="X20" s="168">
        <f t="shared" si="19"/>
        <v>0</v>
      </c>
      <c r="Y20" s="168">
        <f t="shared" si="19"/>
        <v>0</v>
      </c>
      <c r="Z20" s="168">
        <f t="shared" si="19"/>
        <v>0</v>
      </c>
      <c r="AC20" s="14" t="s">
        <v>702</v>
      </c>
      <c r="AD20" s="64">
        <f>IF(AND(Troupeau!B3="OL",Scénario!K88=1),Protection!AP4,0)</f>
        <v>0</v>
      </c>
      <c r="AE20" s="64">
        <v>0</v>
      </c>
      <c r="AF20" s="64">
        <f>SUM(AD20:AE20)</f>
        <v>0</v>
      </c>
      <c r="AH20" s="30">
        <v>0</v>
      </c>
      <c r="AJ20" s="14" t="s">
        <v>703</v>
      </c>
      <c r="AK20" s="64">
        <f>IF(OR(Scénario!K87=1,Scénario!K87=2),AF19,0)</f>
        <v>0</v>
      </c>
      <c r="AV20" s="30">
        <f>Parcellaire!A19</f>
        <v>0</v>
      </c>
      <c r="AW20" s="30">
        <f>Parcellaire!B19</f>
        <v>1</v>
      </c>
      <c r="AX20" s="30" t="str">
        <f>Parcellaire!D19</f>
        <v>proche</v>
      </c>
      <c r="AY20" s="30">
        <f>Parcellaire!F19</f>
        <v>185</v>
      </c>
      <c r="AZ20" s="30">
        <f>Parcellaire!G19</f>
        <v>0</v>
      </c>
      <c r="BA20" s="30">
        <f>ROUND(Parcellaire!S19,0)</f>
        <v>0</v>
      </c>
      <c r="BB20" s="30">
        <f>ROUND(Parcellaire!T19,0)</f>
        <v>0</v>
      </c>
      <c r="BC20" s="30">
        <f>ROUND(Parcellaire!U19,0)</f>
        <v>0</v>
      </c>
      <c r="BD20" s="30" t="str">
        <f>IF(AW20="",0,VLOOKUP(AY20,[1]MEP!$X$5:$AA$250,4))</f>
        <v>PP</v>
      </c>
      <c r="BE20" s="30" t="str">
        <f>IF(AW20=2,"",VLOOKUP(BD20,[1]MEP!$AC$5:$AD$10,2))</f>
        <v>P</v>
      </c>
      <c r="BF20" s="30" t="str">
        <f t="shared" si="2"/>
        <v>PF</v>
      </c>
      <c r="BG20" s="168">
        <f t="shared" si="3"/>
        <v>0</v>
      </c>
      <c r="BH20" s="168">
        <f t="shared" si="4"/>
        <v>0</v>
      </c>
      <c r="BI20" s="168">
        <f t="shared" si="5"/>
        <v>0</v>
      </c>
      <c r="BJ20" s="168">
        <f t="shared" si="6"/>
        <v>0</v>
      </c>
      <c r="BK20" s="168">
        <f t="shared" si="7"/>
        <v>0</v>
      </c>
      <c r="BL20" s="168">
        <f t="shared" si="8"/>
        <v>0</v>
      </c>
    </row>
    <row r="21" spans="1:64" x14ac:dyDescent="0.25">
      <c r="A21" s="173" t="s">
        <v>701</v>
      </c>
      <c r="B21" t="s">
        <v>557</v>
      </c>
      <c r="C21" s="62">
        <f>IF(Protection!C20&gt;0,Scénario!$K$58,0)</f>
        <v>0</v>
      </c>
      <c r="D21" s="62">
        <f>IF(Protection!D20&gt;0,Scénario!$K$58,0)</f>
        <v>0</v>
      </c>
      <c r="E21" s="62">
        <f>IF(Protection!E20&gt;0,Scénario!$K$58,0)</f>
        <v>0</v>
      </c>
      <c r="F21" s="62">
        <f>IF(Protection!F20&gt;0,Scénario!$K$58,0)</f>
        <v>0</v>
      </c>
      <c r="G21" s="62">
        <f>IF(Protection!G20&gt;0,Scénario!$K$58,0)</f>
        <v>0</v>
      </c>
      <c r="H21" s="62">
        <f>IF(Protection!H20&gt;0,Scénario!$K$58,0)</f>
        <v>0</v>
      </c>
      <c r="I21" s="62">
        <f>IF(Protection!I20&gt;0,Scénario!$K$58,0)</f>
        <v>0</v>
      </c>
      <c r="J21" s="62">
        <f>IF(Protection!J20&gt;0,Scénario!$K$58,0)</f>
        <v>0</v>
      </c>
      <c r="K21" s="62">
        <f>IF(Protection!K20&gt;0,Scénario!$K$58,0)</f>
        <v>0</v>
      </c>
      <c r="L21" s="62">
        <f>IF(Protection!L20&gt;0,Scénario!$K$58,0)</f>
        <v>0</v>
      </c>
      <c r="M21" s="62">
        <f>IF(Protection!M20&gt;0,Scénario!$K$58,0)</f>
        <v>0</v>
      </c>
      <c r="N21" s="62">
        <f>IF(Protection!N20&gt;0,Scénario!$K$58,0)</f>
        <v>0</v>
      </c>
      <c r="O21" s="62">
        <f>IF(Protection!O20&gt;0,Scénario!$K$58,0)</f>
        <v>0</v>
      </c>
      <c r="P21" s="62">
        <f>IF(Protection!P20&gt;0,Scénario!$K$58,0)</f>
        <v>0</v>
      </c>
      <c r="Q21" s="62">
        <f>IF(Protection!Q20&gt;0,Scénario!$K$58,0)</f>
        <v>0</v>
      </c>
      <c r="R21" s="62">
        <f>IF(Protection!R20&gt;0,Scénario!$K$58,0)</f>
        <v>0</v>
      </c>
      <c r="S21" s="62">
        <f>IF(Protection!S20&gt;0,Scénario!$K$58,0)</f>
        <v>0</v>
      </c>
      <c r="T21" s="62">
        <f>IF(Protection!T20&gt;0,Scénario!$K$58,0)</f>
        <v>0</v>
      </c>
      <c r="U21" s="62">
        <f>IF(Protection!U20&gt;0,Scénario!$K$58,0)</f>
        <v>0</v>
      </c>
      <c r="V21" s="62">
        <f>IF(Protection!V20&gt;0,Scénario!$K$58,0)</f>
        <v>0</v>
      </c>
      <c r="W21" s="62">
        <f>IF(Protection!W20&gt;0,Scénario!$K$58,0)</f>
        <v>0</v>
      </c>
      <c r="X21" s="62">
        <f>IF(Protection!X20&gt;0,Scénario!$K$58,0)</f>
        <v>0</v>
      </c>
      <c r="Y21" s="62">
        <f>IF(Protection!Y20&gt;0,Scénario!$K$58,0)</f>
        <v>0</v>
      </c>
      <c r="Z21" s="62">
        <f>IF(Protection!Z20&gt;0,Scénario!$K$58,0)</f>
        <v>0</v>
      </c>
      <c r="AB21" s="174" t="s">
        <v>705</v>
      </c>
      <c r="AC21" s="14"/>
      <c r="AD21" s="64"/>
      <c r="AE21" s="64"/>
      <c r="AF21" s="64"/>
      <c r="AJ21" s="14" t="s">
        <v>706</v>
      </c>
      <c r="AK21" s="64">
        <f>IF(OR(Scénario!K87=1,Scénario!K87=2),Protection!AF20,IF(OR(Scénario!K87=3,Scénario!K87=4),Protection!AF22,0))</f>
        <v>0</v>
      </c>
      <c r="AV21" s="30">
        <f>Parcellaire!A20</f>
        <v>29</v>
      </c>
      <c r="AW21" s="30">
        <f>Parcellaire!B20</f>
        <v>1</v>
      </c>
      <c r="AX21" s="30" t="str">
        <f>Parcellaire!D20</f>
        <v>proche</v>
      </c>
      <c r="AY21" s="30">
        <f>Parcellaire!F20</f>
        <v>185</v>
      </c>
      <c r="AZ21" s="30">
        <f>Parcellaire!G20</f>
        <v>1.61</v>
      </c>
      <c r="BA21" s="30">
        <f>ROUND(Parcellaire!S20,0)</f>
        <v>0</v>
      </c>
      <c r="BB21" s="30">
        <f>ROUND(Parcellaire!T20,0)</f>
        <v>541</v>
      </c>
      <c r="BC21" s="30">
        <f>ROUND(Parcellaire!U20,0)</f>
        <v>98</v>
      </c>
      <c r="BD21" s="30" t="str">
        <f>IF(AW21="",0,VLOOKUP(AY21,[1]MEP!$X$5:$AA$250,4))</f>
        <v>PP</v>
      </c>
      <c r="BE21" s="30" t="str">
        <f>IF(AW21=2,"",VLOOKUP(BD21,[1]MEP!$AC$5:$AD$10,2))</f>
        <v>P</v>
      </c>
      <c r="BF21" s="30" t="str">
        <f t="shared" si="2"/>
        <v>PF</v>
      </c>
      <c r="BG21" s="168">
        <f t="shared" si="3"/>
        <v>0</v>
      </c>
      <c r="BH21" s="168">
        <f t="shared" si="4"/>
        <v>541</v>
      </c>
      <c r="BI21" s="168">
        <f t="shared" si="5"/>
        <v>0</v>
      </c>
      <c r="BJ21" s="168">
        <f t="shared" si="6"/>
        <v>0</v>
      </c>
      <c r="BK21" s="168">
        <f t="shared" si="7"/>
        <v>1.61</v>
      </c>
      <c r="BL21" s="168">
        <f t="shared" si="8"/>
        <v>0</v>
      </c>
    </row>
    <row r="22" spans="1:64" x14ac:dyDescent="0.25">
      <c r="A22" s="173" t="s">
        <v>704</v>
      </c>
      <c r="B22" t="s">
        <v>557</v>
      </c>
      <c r="C22" s="62">
        <f>C18+C19+C21</f>
        <v>1</v>
      </c>
      <c r="D22" s="62">
        <f t="shared" ref="D22:Z22" si="20">D18+D19+D21</f>
        <v>1</v>
      </c>
      <c r="E22" s="62">
        <f t="shared" si="20"/>
        <v>1</v>
      </c>
      <c r="F22" s="62">
        <f t="shared" si="20"/>
        <v>1</v>
      </c>
      <c r="G22" s="62">
        <f t="shared" si="20"/>
        <v>2</v>
      </c>
      <c r="H22" s="62">
        <f t="shared" si="20"/>
        <v>2</v>
      </c>
      <c r="I22" s="62">
        <f t="shared" si="20"/>
        <v>3</v>
      </c>
      <c r="J22" s="62">
        <f t="shared" si="20"/>
        <v>3</v>
      </c>
      <c r="K22" s="62">
        <f t="shared" si="20"/>
        <v>3</v>
      </c>
      <c r="L22" s="62">
        <f t="shared" si="20"/>
        <v>3</v>
      </c>
      <c r="M22" s="62">
        <f t="shared" si="20"/>
        <v>3</v>
      </c>
      <c r="N22" s="62">
        <f t="shared" si="20"/>
        <v>3</v>
      </c>
      <c r="O22" s="62">
        <f t="shared" si="20"/>
        <v>3</v>
      </c>
      <c r="P22" s="62">
        <f t="shared" si="20"/>
        <v>3</v>
      </c>
      <c r="Q22" s="62">
        <f t="shared" si="20"/>
        <v>3</v>
      </c>
      <c r="R22" s="62">
        <f t="shared" si="20"/>
        <v>3</v>
      </c>
      <c r="S22" s="62">
        <f t="shared" si="20"/>
        <v>3</v>
      </c>
      <c r="T22" s="62">
        <f t="shared" si="20"/>
        <v>3</v>
      </c>
      <c r="U22" s="62">
        <f t="shared" si="20"/>
        <v>3</v>
      </c>
      <c r="V22" s="62">
        <f t="shared" si="20"/>
        <v>3</v>
      </c>
      <c r="W22" s="62">
        <f t="shared" si="20"/>
        <v>1</v>
      </c>
      <c r="X22" s="62">
        <f t="shared" si="20"/>
        <v>1</v>
      </c>
      <c r="Y22" s="62">
        <f t="shared" si="20"/>
        <v>1</v>
      </c>
      <c r="Z22" s="62">
        <f t="shared" si="20"/>
        <v>1</v>
      </c>
      <c r="AC22" s="14" t="s">
        <v>702</v>
      </c>
      <c r="AD22" s="64">
        <f>IF(AND(Scénario!K88=1,Troupeau!B3="OL"),Protection!AP6,0)</f>
        <v>0</v>
      </c>
      <c r="AE22" s="64">
        <f>IF(AND(LEFT(Scénario!K12,2)="OL",Troupeau!C3&lt;&gt;"",Scénario!K91=1),Protection!AP5+Protection!AP3,0)</f>
        <v>0</v>
      </c>
      <c r="AF22" s="64">
        <f>SUM(AD22:AE22)</f>
        <v>0</v>
      </c>
      <c r="AH22" s="30">
        <f>IF(AND(Troupeau!B3&lt;&gt;"OL",Scénario!K91=1),AP4,0)</f>
        <v>0</v>
      </c>
      <c r="AJ22" s="14" t="s">
        <v>691</v>
      </c>
      <c r="AK22" s="64">
        <f>IF(OR(Scénario!K87=3,Scénario!K87=4),Protection!AH22,0)</f>
        <v>0</v>
      </c>
      <c r="AV22" s="30">
        <f>Parcellaire!A21</f>
        <v>30</v>
      </c>
      <c r="AW22" s="30">
        <f>Parcellaire!B21</f>
        <v>1</v>
      </c>
      <c r="AX22" s="30" t="str">
        <f>Parcellaire!D21</f>
        <v>proche</v>
      </c>
      <c r="AY22" s="30">
        <f>Parcellaire!F21</f>
        <v>185</v>
      </c>
      <c r="AZ22" s="30">
        <f>Parcellaire!G21</f>
        <v>1.4</v>
      </c>
      <c r="BA22" s="30">
        <f>ROUND(Parcellaire!S21,0)</f>
        <v>0</v>
      </c>
      <c r="BB22" s="30">
        <f>ROUND(Parcellaire!T21,0)</f>
        <v>351</v>
      </c>
      <c r="BC22" s="30">
        <f>ROUND(Parcellaire!U21,0)</f>
        <v>351</v>
      </c>
      <c r="BD22" s="30" t="str">
        <f>IF(AW22="",0,VLOOKUP(AY22,[1]MEP!$X$5:$AA$250,4))</f>
        <v>PP</v>
      </c>
      <c r="BE22" s="30" t="str">
        <f>IF(AW22=2,"",VLOOKUP(BD22,[1]MEP!$AC$5:$AD$10,2))</f>
        <v>P</v>
      </c>
      <c r="BF22" s="30" t="str">
        <f t="shared" si="2"/>
        <v>PF</v>
      </c>
      <c r="BG22" s="168">
        <f t="shared" si="3"/>
        <v>0</v>
      </c>
      <c r="BH22" s="168">
        <f t="shared" si="4"/>
        <v>351</v>
      </c>
      <c r="BI22" s="168">
        <f t="shared" si="5"/>
        <v>0</v>
      </c>
      <c r="BJ22" s="168">
        <f t="shared" si="6"/>
        <v>0</v>
      </c>
      <c r="BK22" s="168">
        <f t="shared" si="7"/>
        <v>1.4</v>
      </c>
      <c r="BL22" s="168">
        <f t="shared" si="8"/>
        <v>0</v>
      </c>
    </row>
    <row r="23" spans="1:64" x14ac:dyDescent="0.25">
      <c r="A23" s="173"/>
      <c r="AC23" s="14"/>
      <c r="AV23" s="30">
        <f>Parcellaire!A22</f>
        <v>0</v>
      </c>
      <c r="AW23" s="30">
        <f>Parcellaire!B22</f>
        <v>0</v>
      </c>
      <c r="AX23" s="30">
        <f>Parcellaire!D22</f>
        <v>0</v>
      </c>
      <c r="AY23" s="30">
        <f>Parcellaire!F22</f>
        <v>0</v>
      </c>
      <c r="AZ23" s="30">
        <f>Parcellaire!G22</f>
        <v>0</v>
      </c>
      <c r="BA23" s="30">
        <f>ROUND(Parcellaire!S22,0)</f>
        <v>0</v>
      </c>
      <c r="BB23" s="30">
        <f>ROUND(Parcellaire!T22,0)</f>
        <v>0</v>
      </c>
      <c r="BC23" s="30">
        <f>ROUND(Parcellaire!U22,0)</f>
        <v>0</v>
      </c>
      <c r="BD23" s="30" t="e">
        <f>IF(AW23="",0,VLOOKUP(AY23,[1]MEP!$X$5:$AA$250,4))</f>
        <v>#N/A</v>
      </c>
      <c r="BE23" s="30" t="e">
        <f>IF(AW23=2,"",VLOOKUP(BD23,[1]MEP!$AC$5:$AD$10,2))</f>
        <v>#N/A</v>
      </c>
      <c r="BF23" s="30" t="e">
        <f t="shared" si="2"/>
        <v>#N/A</v>
      </c>
      <c r="BG23" s="168">
        <f t="shared" si="3"/>
        <v>0</v>
      </c>
      <c r="BH23" s="168">
        <f t="shared" si="4"/>
        <v>0</v>
      </c>
      <c r="BI23" s="168">
        <f t="shared" si="5"/>
        <v>0</v>
      </c>
      <c r="BJ23" s="168">
        <f t="shared" si="6"/>
        <v>0</v>
      </c>
      <c r="BK23" s="168">
        <f t="shared" si="7"/>
        <v>0</v>
      </c>
      <c r="BL23" s="168">
        <f t="shared" si="8"/>
        <v>0</v>
      </c>
    </row>
    <row r="24" spans="1:64" x14ac:dyDescent="0.25">
      <c r="A24" s="43" t="s">
        <v>707</v>
      </c>
      <c r="C24" s="33">
        <v>1</v>
      </c>
      <c r="D24" s="33">
        <v>2</v>
      </c>
      <c r="E24" s="33">
        <v>3</v>
      </c>
      <c r="F24" s="33">
        <v>4</v>
      </c>
      <c r="G24" s="33">
        <v>5</v>
      </c>
      <c r="H24" s="33">
        <v>6</v>
      </c>
      <c r="I24" s="33">
        <v>7</v>
      </c>
      <c r="J24" s="33">
        <v>8</v>
      </c>
      <c r="K24" s="33">
        <v>9</v>
      </c>
      <c r="L24" s="33">
        <v>10</v>
      </c>
      <c r="M24" s="33">
        <v>11</v>
      </c>
      <c r="N24" s="33">
        <v>12</v>
      </c>
      <c r="O24" s="33">
        <v>13</v>
      </c>
      <c r="P24" s="33">
        <v>14</v>
      </c>
      <c r="Q24" s="33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3">
        <v>21</v>
      </c>
      <c r="X24" s="33">
        <v>22</v>
      </c>
      <c r="Y24" s="33">
        <v>23</v>
      </c>
      <c r="Z24" s="33">
        <v>24</v>
      </c>
      <c r="AC24" s="14"/>
      <c r="AV24" s="30">
        <f>Parcellaire!A23</f>
        <v>0</v>
      </c>
      <c r="AW24" s="30">
        <f>Parcellaire!B23</f>
        <v>0</v>
      </c>
      <c r="AX24" s="30">
        <f>Parcellaire!D23</f>
        <v>0</v>
      </c>
      <c r="AY24" s="30">
        <f>Parcellaire!F23</f>
        <v>0</v>
      </c>
      <c r="AZ24" s="30">
        <f>Parcellaire!G23</f>
        <v>0</v>
      </c>
      <c r="BA24" s="30">
        <f>ROUND(Parcellaire!S23,0)</f>
        <v>0</v>
      </c>
      <c r="BB24" s="30">
        <f>ROUND(Parcellaire!T23,0)</f>
        <v>0</v>
      </c>
      <c r="BC24" s="30">
        <f>ROUND(Parcellaire!U23,0)</f>
        <v>0</v>
      </c>
      <c r="BD24" s="30" t="e">
        <f>IF(AW24="",0,VLOOKUP(AY24,[1]MEP!$X$5:$AA$250,4))</f>
        <v>#N/A</v>
      </c>
      <c r="BE24" s="30" t="e">
        <f>IF(AW24=2,"",VLOOKUP(BD24,[1]MEP!$AC$5:$AD$10,2))</f>
        <v>#N/A</v>
      </c>
      <c r="BF24" s="30" t="e">
        <f t="shared" si="2"/>
        <v>#N/A</v>
      </c>
      <c r="BG24" s="168">
        <f t="shared" si="3"/>
        <v>0</v>
      </c>
      <c r="BH24" s="168">
        <f t="shared" si="4"/>
        <v>0</v>
      </c>
      <c r="BI24" s="168">
        <f t="shared" si="5"/>
        <v>0</v>
      </c>
      <c r="BJ24" s="168">
        <f t="shared" si="6"/>
        <v>0</v>
      </c>
      <c r="BK24" s="168">
        <f t="shared" si="7"/>
        <v>0</v>
      </c>
      <c r="BL24" s="168">
        <f t="shared" si="8"/>
        <v>0</v>
      </c>
    </row>
    <row r="25" spans="1:64" x14ac:dyDescent="0.25">
      <c r="A25" s="14" t="s">
        <v>708</v>
      </c>
      <c r="B25" t="s">
        <v>588</v>
      </c>
      <c r="C25" s="172">
        <f t="shared" ref="C25:Z25" si="21">COUNTIF(C123:C132,1)+COUNTIF(C123:C132,2)</f>
        <v>0</v>
      </c>
      <c r="D25" s="172">
        <f t="shared" si="21"/>
        <v>0</v>
      </c>
      <c r="E25" s="172">
        <f t="shared" si="21"/>
        <v>0</v>
      </c>
      <c r="F25" s="172">
        <f t="shared" si="21"/>
        <v>0</v>
      </c>
      <c r="G25" s="172">
        <f t="shared" si="21"/>
        <v>0</v>
      </c>
      <c r="H25" s="172">
        <f t="shared" si="21"/>
        <v>0</v>
      </c>
      <c r="I25" s="172">
        <f t="shared" si="21"/>
        <v>0</v>
      </c>
      <c r="J25" s="172">
        <f t="shared" si="21"/>
        <v>0</v>
      </c>
      <c r="K25" s="172">
        <f t="shared" si="21"/>
        <v>0</v>
      </c>
      <c r="L25" s="172">
        <f t="shared" si="21"/>
        <v>0</v>
      </c>
      <c r="M25" s="172">
        <f t="shared" si="21"/>
        <v>0</v>
      </c>
      <c r="N25" s="172">
        <f t="shared" si="21"/>
        <v>0</v>
      </c>
      <c r="O25" s="172">
        <f t="shared" si="21"/>
        <v>0</v>
      </c>
      <c r="P25" s="172">
        <f t="shared" si="21"/>
        <v>0</v>
      </c>
      <c r="Q25" s="172">
        <f t="shared" si="21"/>
        <v>0</v>
      </c>
      <c r="R25" s="172">
        <f t="shared" si="21"/>
        <v>0</v>
      </c>
      <c r="S25" s="172">
        <f t="shared" si="21"/>
        <v>0</v>
      </c>
      <c r="T25" s="172">
        <f t="shared" si="21"/>
        <v>0</v>
      </c>
      <c r="U25" s="172">
        <f t="shared" si="21"/>
        <v>0</v>
      </c>
      <c r="V25" s="172">
        <f t="shared" si="21"/>
        <v>0</v>
      </c>
      <c r="W25" s="172">
        <f t="shared" si="21"/>
        <v>0</v>
      </c>
      <c r="X25" s="172">
        <f t="shared" si="21"/>
        <v>0</v>
      </c>
      <c r="Y25" s="172">
        <f t="shared" si="21"/>
        <v>0</v>
      </c>
      <c r="Z25" s="172">
        <f t="shared" si="21"/>
        <v>0</v>
      </c>
      <c r="AC25" s="14"/>
      <c r="AJ25" s="40" t="s">
        <v>709</v>
      </c>
      <c r="AK25" s="30">
        <f>IF(Troupeau!B3&lt;&gt;"OL",Protection!AK22,IF(AND(Troupeau!B3="OL",Scénario!K88=1),Protection!AK21,IF(AND(Troupeau!B3="OL",Scénario!K88=2),Protection!AK20,0)))</f>
        <v>0</v>
      </c>
      <c r="AV25" s="30">
        <f>Parcellaire!A24</f>
        <v>33</v>
      </c>
      <c r="AW25" s="30">
        <f>Parcellaire!B24</f>
        <v>0</v>
      </c>
      <c r="AX25" s="30">
        <f>Parcellaire!D24</f>
        <v>0</v>
      </c>
      <c r="AY25" s="30">
        <f>Parcellaire!F24</f>
        <v>0</v>
      </c>
      <c r="AZ25" s="30">
        <f>Parcellaire!G24</f>
        <v>0</v>
      </c>
      <c r="BA25" s="30">
        <f>ROUND(Parcellaire!S24,0)</f>
        <v>0</v>
      </c>
      <c r="BB25" s="30">
        <f>ROUND(Parcellaire!T24,0)</f>
        <v>0</v>
      </c>
      <c r="BC25" s="30">
        <f>ROUND(Parcellaire!U24,0)</f>
        <v>0</v>
      </c>
      <c r="BD25" s="30" t="e">
        <f>IF(AW25="",0,VLOOKUP(AY25,[1]MEP!$X$5:$AA$250,4))</f>
        <v>#N/A</v>
      </c>
      <c r="BE25" s="30" t="e">
        <f>IF(AW25=2,"",VLOOKUP(BD25,[1]MEP!$AC$5:$AD$10,2))</f>
        <v>#N/A</v>
      </c>
      <c r="BF25" s="30" t="e">
        <f t="shared" si="2"/>
        <v>#N/A</v>
      </c>
      <c r="BG25" s="168">
        <f t="shared" si="3"/>
        <v>0</v>
      </c>
      <c r="BH25" s="168">
        <f t="shared" si="4"/>
        <v>0</v>
      </c>
      <c r="BI25" s="168">
        <f t="shared" si="5"/>
        <v>0</v>
      </c>
      <c r="BJ25" s="168">
        <f t="shared" si="6"/>
        <v>0</v>
      </c>
      <c r="BK25" s="168">
        <f t="shared" si="7"/>
        <v>0</v>
      </c>
      <c r="BL25" s="168">
        <f t="shared" si="8"/>
        <v>0</v>
      </c>
    </row>
    <row r="26" spans="1:64" x14ac:dyDescent="0.25">
      <c r="A26" s="14" t="s">
        <v>669</v>
      </c>
      <c r="B26" t="s">
        <v>588</v>
      </c>
      <c r="C26" s="172">
        <f t="shared" ref="C26:Z26" si="22">COUNTIF(C123:C132,3)</f>
        <v>0</v>
      </c>
      <c r="D26" s="172">
        <f t="shared" si="22"/>
        <v>0</v>
      </c>
      <c r="E26" s="172">
        <f t="shared" si="22"/>
        <v>0</v>
      </c>
      <c r="F26" s="172">
        <f t="shared" si="22"/>
        <v>0</v>
      </c>
      <c r="G26" s="172">
        <f t="shared" si="22"/>
        <v>0</v>
      </c>
      <c r="H26" s="172">
        <f t="shared" si="22"/>
        <v>0</v>
      </c>
      <c r="I26" s="172">
        <f t="shared" si="22"/>
        <v>0</v>
      </c>
      <c r="J26" s="172">
        <f t="shared" si="22"/>
        <v>0</v>
      </c>
      <c r="K26" s="172">
        <f t="shared" si="22"/>
        <v>0</v>
      </c>
      <c r="L26" s="172">
        <f t="shared" si="22"/>
        <v>0</v>
      </c>
      <c r="M26" s="172">
        <f t="shared" si="22"/>
        <v>0</v>
      </c>
      <c r="N26" s="172">
        <f t="shared" si="22"/>
        <v>0</v>
      </c>
      <c r="O26" s="172">
        <f t="shared" si="22"/>
        <v>0</v>
      </c>
      <c r="P26" s="172">
        <f t="shared" si="22"/>
        <v>0</v>
      </c>
      <c r="Q26" s="172">
        <f t="shared" si="22"/>
        <v>0</v>
      </c>
      <c r="R26" s="172">
        <f t="shared" si="22"/>
        <v>0</v>
      </c>
      <c r="S26" s="172">
        <f t="shared" si="22"/>
        <v>0</v>
      </c>
      <c r="T26" s="172">
        <f t="shared" si="22"/>
        <v>0</v>
      </c>
      <c r="U26" s="172">
        <f t="shared" si="22"/>
        <v>0</v>
      </c>
      <c r="V26" s="172">
        <f t="shared" si="22"/>
        <v>0</v>
      </c>
      <c r="W26" s="172">
        <f t="shared" si="22"/>
        <v>0</v>
      </c>
      <c r="X26" s="172">
        <f t="shared" si="22"/>
        <v>0</v>
      </c>
      <c r="Y26" s="172">
        <f t="shared" si="22"/>
        <v>0</v>
      </c>
      <c r="Z26" s="172">
        <f t="shared" si="22"/>
        <v>0</v>
      </c>
      <c r="AB26" s="2" t="s">
        <v>710</v>
      </c>
      <c r="AC26" s="14"/>
      <c r="AD26" s="165" t="s">
        <v>495</v>
      </c>
      <c r="AE26" t="s">
        <v>711</v>
      </c>
      <c r="AJ26" s="14" t="s">
        <v>654</v>
      </c>
      <c r="AK26" s="30">
        <f>IF(AK25=AP3,AQ3,IF(AK25=AP4,AQ4,IF(AK25=AP6,AQ6,0)))</f>
        <v>0</v>
      </c>
      <c r="AV26" s="30">
        <f>Parcellaire!A25</f>
        <v>35</v>
      </c>
      <c r="AW26" s="30">
        <f>Parcellaire!B25</f>
        <v>0</v>
      </c>
      <c r="AX26" s="30">
        <f>Parcellaire!D25</f>
        <v>0</v>
      </c>
      <c r="AY26" s="30">
        <f>Parcellaire!F25</f>
        <v>0</v>
      </c>
      <c r="AZ26" s="30">
        <f>Parcellaire!G25</f>
        <v>0</v>
      </c>
      <c r="BA26" s="30">
        <f>ROUND(Parcellaire!S25,0)</f>
        <v>0</v>
      </c>
      <c r="BB26" s="30">
        <f>ROUND(Parcellaire!T25,0)</f>
        <v>0</v>
      </c>
      <c r="BC26" s="30">
        <f>ROUND(Parcellaire!U25,0)</f>
        <v>0</v>
      </c>
      <c r="BD26" s="30" t="e">
        <f>IF(AW26="",0,VLOOKUP(AY26,[1]MEP!$X$5:$AA$250,4))</f>
        <v>#N/A</v>
      </c>
      <c r="BE26" s="30" t="e">
        <f>IF(AW26=2,"",VLOOKUP(BD26,[1]MEP!$AC$5:$AD$10,2))</f>
        <v>#N/A</v>
      </c>
      <c r="BF26" s="30" t="e">
        <f t="shared" si="2"/>
        <v>#N/A</v>
      </c>
      <c r="BG26" s="168">
        <f t="shared" si="3"/>
        <v>0</v>
      </c>
      <c r="BH26" s="168">
        <f t="shared" si="4"/>
        <v>0</v>
      </c>
      <c r="BI26" s="168">
        <f t="shared" si="5"/>
        <v>0</v>
      </c>
      <c r="BJ26" s="168">
        <f t="shared" si="6"/>
        <v>0</v>
      </c>
      <c r="BK26" s="168">
        <f t="shared" si="7"/>
        <v>0</v>
      </c>
      <c r="BL26" s="168">
        <f t="shared" si="8"/>
        <v>0</v>
      </c>
    </row>
    <row r="27" spans="1:64" x14ac:dyDescent="0.25">
      <c r="A27" s="14" t="s">
        <v>671</v>
      </c>
      <c r="B27" t="s">
        <v>588</v>
      </c>
      <c r="C27" s="172">
        <f t="shared" ref="C27:Z27" si="23">C40</f>
        <v>0</v>
      </c>
      <c r="D27" s="172">
        <f t="shared" si="23"/>
        <v>0</v>
      </c>
      <c r="E27" s="172">
        <f t="shared" si="23"/>
        <v>0</v>
      </c>
      <c r="F27" s="172">
        <f t="shared" si="23"/>
        <v>0</v>
      </c>
      <c r="G27" s="172">
        <f t="shared" si="23"/>
        <v>0</v>
      </c>
      <c r="H27" s="172">
        <f t="shared" si="23"/>
        <v>0</v>
      </c>
      <c r="I27" s="172">
        <f t="shared" si="23"/>
        <v>0</v>
      </c>
      <c r="J27" s="172">
        <f t="shared" si="23"/>
        <v>0</v>
      </c>
      <c r="K27" s="172">
        <f t="shared" si="23"/>
        <v>0</v>
      </c>
      <c r="L27" s="172">
        <f t="shared" si="23"/>
        <v>0</v>
      </c>
      <c r="M27" s="172">
        <f t="shared" si="23"/>
        <v>0</v>
      </c>
      <c r="N27" s="172">
        <f t="shared" si="23"/>
        <v>0</v>
      </c>
      <c r="O27" s="172">
        <f t="shared" si="23"/>
        <v>0</v>
      </c>
      <c r="P27" s="172">
        <f t="shared" si="23"/>
        <v>0</v>
      </c>
      <c r="Q27" s="172">
        <f t="shared" si="23"/>
        <v>0</v>
      </c>
      <c r="R27" s="172">
        <f t="shared" si="23"/>
        <v>0</v>
      </c>
      <c r="S27" s="172">
        <f t="shared" si="23"/>
        <v>0</v>
      </c>
      <c r="T27" s="172">
        <f t="shared" si="23"/>
        <v>0</v>
      </c>
      <c r="U27" s="172">
        <f t="shared" si="23"/>
        <v>0</v>
      </c>
      <c r="V27" s="172">
        <f t="shared" si="23"/>
        <v>0</v>
      </c>
      <c r="W27" s="172">
        <f t="shared" si="23"/>
        <v>0</v>
      </c>
      <c r="X27" s="172">
        <f t="shared" si="23"/>
        <v>0</v>
      </c>
      <c r="Y27" s="172">
        <f t="shared" si="23"/>
        <v>0</v>
      </c>
      <c r="Z27" s="172">
        <f t="shared" si="23"/>
        <v>0</v>
      </c>
      <c r="AC27" s="175" t="s">
        <v>712</v>
      </c>
      <c r="AV27" s="30">
        <f>Parcellaire!A26</f>
        <v>0</v>
      </c>
      <c r="AW27" s="30">
        <f>Parcellaire!B26</f>
        <v>0</v>
      </c>
      <c r="AX27" s="30">
        <f>Parcellaire!D26</f>
        <v>0</v>
      </c>
      <c r="AY27" s="30">
        <f>Parcellaire!F26</f>
        <v>0</v>
      </c>
      <c r="AZ27" s="30">
        <f>Parcellaire!G26</f>
        <v>0</v>
      </c>
      <c r="BA27" s="30">
        <f>ROUND(Parcellaire!S26,0)</f>
        <v>0</v>
      </c>
      <c r="BB27" s="30">
        <f>ROUND(Parcellaire!T26,0)</f>
        <v>0</v>
      </c>
      <c r="BC27" s="30">
        <f>ROUND(Parcellaire!U26,0)</f>
        <v>0</v>
      </c>
      <c r="BD27" s="30" t="e">
        <f>IF(AW27="",0,VLOOKUP(AY27,[1]MEP!$X$5:$AA$250,4))</f>
        <v>#N/A</v>
      </c>
      <c r="BE27" s="30" t="e">
        <f>IF(AW27=2,"",VLOOKUP(BD27,[1]MEP!$AC$5:$AD$10,2))</f>
        <v>#N/A</v>
      </c>
      <c r="BF27" s="30" t="e">
        <f t="shared" si="2"/>
        <v>#N/A</v>
      </c>
      <c r="BG27" s="168">
        <f t="shared" si="3"/>
        <v>0</v>
      </c>
      <c r="BH27" s="168">
        <f t="shared" si="4"/>
        <v>0</v>
      </c>
      <c r="BI27" s="168">
        <f t="shared" si="5"/>
        <v>0</v>
      </c>
      <c r="BJ27" s="168">
        <f t="shared" si="6"/>
        <v>0</v>
      </c>
      <c r="BK27" s="168">
        <f t="shared" si="7"/>
        <v>0</v>
      </c>
      <c r="BL27" s="168">
        <f t="shared" si="8"/>
        <v>0</v>
      </c>
    </row>
    <row r="28" spans="1:64" x14ac:dyDescent="0.25">
      <c r="A28" s="14" t="s">
        <v>673</v>
      </c>
      <c r="B28" t="s">
        <v>588</v>
      </c>
      <c r="C28" s="172">
        <f t="shared" ref="C28:Z28" si="24">C42</f>
        <v>0</v>
      </c>
      <c r="D28" s="172">
        <f t="shared" si="24"/>
        <v>0</v>
      </c>
      <c r="E28" s="172">
        <f t="shared" si="24"/>
        <v>0</v>
      </c>
      <c r="F28" s="172">
        <f t="shared" si="24"/>
        <v>0</v>
      </c>
      <c r="G28" s="172">
        <f t="shared" si="24"/>
        <v>0</v>
      </c>
      <c r="H28" s="172">
        <f t="shared" si="24"/>
        <v>0</v>
      </c>
      <c r="I28" s="172">
        <f t="shared" si="24"/>
        <v>0</v>
      </c>
      <c r="J28" s="172">
        <f t="shared" si="24"/>
        <v>0</v>
      </c>
      <c r="K28" s="172">
        <f t="shared" si="24"/>
        <v>0</v>
      </c>
      <c r="L28" s="172">
        <f t="shared" si="24"/>
        <v>0</v>
      </c>
      <c r="M28" s="172">
        <f t="shared" si="24"/>
        <v>0</v>
      </c>
      <c r="N28" s="172">
        <f t="shared" si="24"/>
        <v>0</v>
      </c>
      <c r="O28" s="172">
        <f t="shared" si="24"/>
        <v>0</v>
      </c>
      <c r="P28" s="172">
        <f t="shared" si="24"/>
        <v>0</v>
      </c>
      <c r="Q28" s="172">
        <f t="shared" si="24"/>
        <v>0</v>
      </c>
      <c r="R28" s="172">
        <f t="shared" si="24"/>
        <v>0</v>
      </c>
      <c r="S28" s="172">
        <f t="shared" si="24"/>
        <v>0</v>
      </c>
      <c r="T28" s="172">
        <f t="shared" si="24"/>
        <v>0</v>
      </c>
      <c r="U28" s="172">
        <f t="shared" si="24"/>
        <v>0</v>
      </c>
      <c r="V28" s="172">
        <f t="shared" si="24"/>
        <v>0</v>
      </c>
      <c r="W28" s="172">
        <f t="shared" si="24"/>
        <v>0</v>
      </c>
      <c r="X28" s="172">
        <f t="shared" si="24"/>
        <v>0</v>
      </c>
      <c r="Y28" s="172">
        <f t="shared" si="24"/>
        <v>0</v>
      </c>
      <c r="Z28" s="172">
        <f t="shared" si="24"/>
        <v>0</v>
      </c>
      <c r="AC28" s="14" t="s">
        <v>713</v>
      </c>
      <c r="AD28" s="168">
        <f>IF(Troupeau!B3="OL",Scénario!K59,0)</f>
        <v>0</v>
      </c>
      <c r="AJ28" s="14"/>
      <c r="AV28" s="30">
        <f>Parcellaire!A27</f>
        <v>0</v>
      </c>
      <c r="AW28" s="30">
        <f>Parcellaire!B27</f>
        <v>0</v>
      </c>
      <c r="AX28" s="30">
        <f>Parcellaire!D27</f>
        <v>0</v>
      </c>
      <c r="AY28" s="30">
        <f>Parcellaire!F27</f>
        <v>0</v>
      </c>
      <c r="AZ28" s="30">
        <f>Parcellaire!G27</f>
        <v>0</v>
      </c>
      <c r="BA28" s="30">
        <f>ROUND(Parcellaire!S27,0)</f>
        <v>0</v>
      </c>
      <c r="BB28" s="30">
        <f>ROUND(Parcellaire!T27,0)</f>
        <v>0</v>
      </c>
      <c r="BC28" s="30">
        <f>ROUND(Parcellaire!U27,0)</f>
        <v>0</v>
      </c>
      <c r="BD28" s="30" t="e">
        <f>IF(AW28="",0,VLOOKUP(AY28,[1]MEP!$X$5:$AA$250,4))</f>
        <v>#N/A</v>
      </c>
      <c r="BE28" s="30" t="e">
        <f>IF(AW28=2,"",VLOOKUP(BD28,[1]MEP!$AC$5:$AD$10,2))</f>
        <v>#N/A</v>
      </c>
      <c r="BF28" s="30" t="e">
        <f t="shared" si="2"/>
        <v>#N/A</v>
      </c>
      <c r="BG28" s="168">
        <f t="shared" si="3"/>
        <v>0</v>
      </c>
      <c r="BH28" s="168">
        <f t="shared" si="4"/>
        <v>0</v>
      </c>
      <c r="BI28" s="168">
        <f t="shared" si="5"/>
        <v>0</v>
      </c>
      <c r="BJ28" s="168">
        <f t="shared" si="6"/>
        <v>0</v>
      </c>
      <c r="BK28" s="168">
        <f t="shared" si="7"/>
        <v>0</v>
      </c>
      <c r="BL28" s="168">
        <f t="shared" si="8"/>
        <v>0</v>
      </c>
    </row>
    <row r="29" spans="1:64" x14ac:dyDescent="0.25">
      <c r="A29" s="14" t="s">
        <v>675</v>
      </c>
      <c r="B29" t="s">
        <v>588</v>
      </c>
      <c r="C29" s="172">
        <f>C25*[1]Protect!$B$12</f>
        <v>0</v>
      </c>
      <c r="D29" s="172">
        <f>D25*[1]Protect!$B$12</f>
        <v>0</v>
      </c>
      <c r="E29" s="172">
        <f>E25*[1]Protect!$B$12</f>
        <v>0</v>
      </c>
      <c r="F29" s="172">
        <f>F25*[1]Protect!$B$12</f>
        <v>0</v>
      </c>
      <c r="G29" s="172">
        <f>G25*[1]Protect!$B$12</f>
        <v>0</v>
      </c>
      <c r="H29" s="172">
        <f>H25*[1]Protect!$B$12</f>
        <v>0</v>
      </c>
      <c r="I29" s="172">
        <f>I25*[1]Protect!$B$12</f>
        <v>0</v>
      </c>
      <c r="J29" s="172">
        <f>J25*[1]Protect!$B$12</f>
        <v>0</v>
      </c>
      <c r="K29" s="172">
        <f>K25*[1]Protect!$B$12</f>
        <v>0</v>
      </c>
      <c r="L29" s="172">
        <f>L25*[1]Protect!$B$12</f>
        <v>0</v>
      </c>
      <c r="M29" s="172">
        <f>M25*[1]Protect!$B$12</f>
        <v>0</v>
      </c>
      <c r="N29" s="172">
        <f>N25*[1]Protect!$B$12</f>
        <v>0</v>
      </c>
      <c r="O29" s="172">
        <f>O25*[1]Protect!$B$12</f>
        <v>0</v>
      </c>
      <c r="P29" s="172">
        <f>P25*[1]Protect!$B$12</f>
        <v>0</v>
      </c>
      <c r="Q29" s="172">
        <f>Q25*[1]Protect!$B$12</f>
        <v>0</v>
      </c>
      <c r="R29" s="172">
        <f>R25*[1]Protect!$B$12</f>
        <v>0</v>
      </c>
      <c r="S29" s="172">
        <f>S25*[1]Protect!$B$12</f>
        <v>0</v>
      </c>
      <c r="T29" s="172">
        <f>T25*[1]Protect!$B$12</f>
        <v>0</v>
      </c>
      <c r="U29" s="172">
        <f>U25*[1]Protect!$B$12</f>
        <v>0</v>
      </c>
      <c r="V29" s="172">
        <f>V25*[1]Protect!$B$12</f>
        <v>0</v>
      </c>
      <c r="W29" s="172">
        <f>W25*[1]Protect!$B$12</f>
        <v>0</v>
      </c>
      <c r="X29" s="172">
        <f>X25*[1]Protect!$B$12</f>
        <v>0</v>
      </c>
      <c r="Y29" s="172">
        <f>Y25*[1]Protect!$B$12</f>
        <v>0</v>
      </c>
      <c r="Z29" s="172">
        <f>Z25*[1]Protect!$B$12</f>
        <v>0</v>
      </c>
      <c r="AC29" s="14" t="s">
        <v>714</v>
      </c>
      <c r="AD29" s="168">
        <f>IF(Troupeau!B3="OL",Scénario!K59-1,0)</f>
        <v>0</v>
      </c>
      <c r="AV29" s="30">
        <f>Parcellaire!A28</f>
        <v>38</v>
      </c>
      <c r="AW29" s="30">
        <f>Parcellaire!B28</f>
        <v>0</v>
      </c>
      <c r="AX29" s="30">
        <f>Parcellaire!D28</f>
        <v>0</v>
      </c>
      <c r="AY29" s="30">
        <f>Parcellaire!F28</f>
        <v>0</v>
      </c>
      <c r="AZ29" s="30">
        <f>Parcellaire!G28</f>
        <v>0</v>
      </c>
      <c r="BA29" s="30">
        <f>ROUND(Parcellaire!S28,0)</f>
        <v>0</v>
      </c>
      <c r="BB29" s="30">
        <f>ROUND(Parcellaire!T28,0)</f>
        <v>0</v>
      </c>
      <c r="BC29" s="30">
        <f>ROUND(Parcellaire!U28,0)</f>
        <v>0</v>
      </c>
      <c r="BD29" s="30" t="e">
        <f>IF(AW29="",0,VLOOKUP(AY29,[1]MEP!$X$5:$AA$250,4))</f>
        <v>#N/A</v>
      </c>
      <c r="BE29" s="30" t="e">
        <f>IF(AW29=2,"",VLOOKUP(BD29,[1]MEP!$AC$5:$AD$10,2))</f>
        <v>#N/A</v>
      </c>
      <c r="BF29" s="30" t="e">
        <f t="shared" si="2"/>
        <v>#N/A</v>
      </c>
      <c r="BG29" s="168">
        <f t="shared" si="3"/>
        <v>0</v>
      </c>
      <c r="BH29" s="168">
        <f t="shared" si="4"/>
        <v>0</v>
      </c>
      <c r="BI29" s="168">
        <f t="shared" si="5"/>
        <v>0</v>
      </c>
      <c r="BJ29" s="168">
        <f t="shared" si="6"/>
        <v>0</v>
      </c>
      <c r="BK29" s="168">
        <f t="shared" si="7"/>
        <v>0</v>
      </c>
      <c r="BL29" s="168">
        <f t="shared" si="8"/>
        <v>0</v>
      </c>
    </row>
    <row r="30" spans="1:64" x14ac:dyDescent="0.25">
      <c r="A30" s="14" t="s">
        <v>677</v>
      </c>
      <c r="B30" t="s">
        <v>588</v>
      </c>
      <c r="C30" s="172">
        <f>C26*[1]Protect!$B$13</f>
        <v>0</v>
      </c>
      <c r="D30" s="172">
        <f>D26*[1]Protect!$B$13</f>
        <v>0</v>
      </c>
      <c r="E30" s="172">
        <f>E26*[1]Protect!$B$13</f>
        <v>0</v>
      </c>
      <c r="F30" s="172">
        <f>F26*[1]Protect!$B$13</f>
        <v>0</v>
      </c>
      <c r="G30" s="172">
        <f>G26*[1]Protect!$B$13</f>
        <v>0</v>
      </c>
      <c r="H30" s="172">
        <f>H26*[1]Protect!$B$13</f>
        <v>0</v>
      </c>
      <c r="I30" s="172">
        <f>I26*[1]Protect!$B$13</f>
        <v>0</v>
      </c>
      <c r="J30" s="172">
        <f>J26*[1]Protect!$B$13</f>
        <v>0</v>
      </c>
      <c r="K30" s="172">
        <f>K26*[1]Protect!$B$13</f>
        <v>0</v>
      </c>
      <c r="L30" s="172">
        <f>L26*[1]Protect!$B$13</f>
        <v>0</v>
      </c>
      <c r="M30" s="172">
        <f>M26*[1]Protect!$B$13</f>
        <v>0</v>
      </c>
      <c r="N30" s="172">
        <f>N26*[1]Protect!$B$13</f>
        <v>0</v>
      </c>
      <c r="O30" s="172">
        <f>O26*[1]Protect!$B$13</f>
        <v>0</v>
      </c>
      <c r="P30" s="172">
        <f>P26*[1]Protect!$B$13</f>
        <v>0</v>
      </c>
      <c r="Q30" s="172">
        <f>Q26*[1]Protect!$B$13</f>
        <v>0</v>
      </c>
      <c r="R30" s="172">
        <f>R26*[1]Protect!$B$13</f>
        <v>0</v>
      </c>
      <c r="S30" s="172">
        <f>S26*[1]Protect!$B$13</f>
        <v>0</v>
      </c>
      <c r="T30" s="172">
        <f>T26*[1]Protect!$B$13</f>
        <v>0</v>
      </c>
      <c r="U30" s="172">
        <f>U26*[1]Protect!$B$13</f>
        <v>0</v>
      </c>
      <c r="V30" s="172">
        <f>V26*[1]Protect!$B$13</f>
        <v>0</v>
      </c>
      <c r="W30" s="172">
        <f>W26*[1]Protect!$B$13</f>
        <v>0</v>
      </c>
      <c r="X30" s="172">
        <f>X26*[1]Protect!$B$13</f>
        <v>0</v>
      </c>
      <c r="Y30" s="172">
        <f>Y26*[1]Protect!$B$13</f>
        <v>0</v>
      </c>
      <c r="Z30" s="172">
        <f>Z26*[1]Protect!$B$13</f>
        <v>0</v>
      </c>
      <c r="AC30" s="14" t="s">
        <v>715</v>
      </c>
      <c r="AD30" s="168">
        <f>IF(AND(Troupeau!B3="OL",SUM(Protection!C6:Z6)&gt;0),1,0)</f>
        <v>0</v>
      </c>
      <c r="AV30" s="30">
        <f>Parcellaire!A29</f>
        <v>39</v>
      </c>
      <c r="AW30" s="30">
        <f>Parcellaire!B29</f>
        <v>0</v>
      </c>
      <c r="AX30" s="30">
        <f>Parcellaire!D29</f>
        <v>0</v>
      </c>
      <c r="AY30" s="30">
        <f>Parcellaire!F29</f>
        <v>0</v>
      </c>
      <c r="AZ30" s="30">
        <f>Parcellaire!G29</f>
        <v>0</v>
      </c>
      <c r="BA30" s="30">
        <f>ROUND(Parcellaire!S29,0)</f>
        <v>0</v>
      </c>
      <c r="BB30" s="30">
        <f>ROUND(Parcellaire!T29,0)</f>
        <v>0</v>
      </c>
      <c r="BC30" s="30">
        <f>ROUND(Parcellaire!U29,0)</f>
        <v>0</v>
      </c>
      <c r="BD30" s="30" t="e">
        <f>IF(AW30="",0,VLOOKUP(AY30,[1]MEP!$X$5:$AA$250,4))</f>
        <v>#N/A</v>
      </c>
      <c r="BE30" s="30" t="e">
        <f>IF(AW30=2,"",VLOOKUP(BD30,[1]MEP!$AC$5:$AD$10,2))</f>
        <v>#N/A</v>
      </c>
      <c r="BF30" s="30" t="e">
        <f t="shared" si="2"/>
        <v>#N/A</v>
      </c>
      <c r="BG30" s="168">
        <f t="shared" si="3"/>
        <v>0</v>
      </c>
      <c r="BH30" s="168">
        <f t="shared" si="4"/>
        <v>0</v>
      </c>
      <c r="BI30" s="168">
        <f t="shared" si="5"/>
        <v>0</v>
      </c>
      <c r="BJ30" s="168">
        <f t="shared" si="6"/>
        <v>0</v>
      </c>
      <c r="BK30" s="168">
        <f t="shared" si="7"/>
        <v>0</v>
      </c>
      <c r="BL30" s="168">
        <f t="shared" si="8"/>
        <v>0</v>
      </c>
    </row>
    <row r="31" spans="1:64" x14ac:dyDescent="0.25">
      <c r="A31" s="14" t="s">
        <v>678</v>
      </c>
      <c r="B31" t="s">
        <v>588</v>
      </c>
      <c r="C31" s="172">
        <f>C27*[1]Protect!$B$14</f>
        <v>0</v>
      </c>
      <c r="D31" s="172">
        <f>D27*[1]Protect!$B$14</f>
        <v>0</v>
      </c>
      <c r="E31" s="172">
        <f>E27*[1]Protect!$B$14</f>
        <v>0</v>
      </c>
      <c r="F31" s="172">
        <f>F27*[1]Protect!$B$14</f>
        <v>0</v>
      </c>
      <c r="G31" s="172">
        <f>G27*[1]Protect!$B$14</f>
        <v>0</v>
      </c>
      <c r="H31" s="172">
        <f>H27*[1]Protect!$B$14</f>
        <v>0</v>
      </c>
      <c r="I31" s="172">
        <f>I27*[1]Protect!$B$14</f>
        <v>0</v>
      </c>
      <c r="J31" s="172">
        <f>J27*[1]Protect!$B$14</f>
        <v>0</v>
      </c>
      <c r="K31" s="172">
        <f>K27*[1]Protect!$B$14</f>
        <v>0</v>
      </c>
      <c r="L31" s="172">
        <f>L27*[1]Protect!$B$14</f>
        <v>0</v>
      </c>
      <c r="M31" s="172">
        <f>M27*[1]Protect!$B$14</f>
        <v>0</v>
      </c>
      <c r="N31" s="172">
        <f>N27*[1]Protect!$B$14</f>
        <v>0</v>
      </c>
      <c r="O31" s="172">
        <f>O27*[1]Protect!$B$14</f>
        <v>0</v>
      </c>
      <c r="P31" s="172">
        <f>P27*[1]Protect!$B$14</f>
        <v>0</v>
      </c>
      <c r="Q31" s="172">
        <f>Q27*[1]Protect!$B$14</f>
        <v>0</v>
      </c>
      <c r="R31" s="172">
        <f>R27*[1]Protect!$B$14</f>
        <v>0</v>
      </c>
      <c r="S31" s="172">
        <f>S27*[1]Protect!$B$14</f>
        <v>0</v>
      </c>
      <c r="T31" s="172">
        <f>T27*[1]Protect!$B$14</f>
        <v>0</v>
      </c>
      <c r="U31" s="172">
        <f>U27*[1]Protect!$B$14</f>
        <v>0</v>
      </c>
      <c r="V31" s="172">
        <f>V27*[1]Protect!$B$14</f>
        <v>0</v>
      </c>
      <c r="W31" s="172">
        <f>W27*[1]Protect!$B$14</f>
        <v>0</v>
      </c>
      <c r="X31" s="172">
        <f>X27*[1]Protect!$B$14</f>
        <v>0</v>
      </c>
      <c r="Y31" s="172">
        <f>Y27*[1]Protect!$B$14</f>
        <v>0</v>
      </c>
      <c r="Z31" s="172">
        <f>Z27*[1]Protect!$B$14</f>
        <v>0</v>
      </c>
      <c r="AC31" s="14" t="s">
        <v>716</v>
      </c>
      <c r="AD31" s="168">
        <f>IF(AD30=0,0,1)</f>
        <v>0</v>
      </c>
      <c r="BG31" s="62">
        <f>SUM(BG3:BG30)</f>
        <v>0</v>
      </c>
      <c r="BH31" s="62">
        <f t="shared" ref="BH31:BL31" si="25">SUM(BH3:BH30)</f>
        <v>4335</v>
      </c>
      <c r="BI31" s="62">
        <f t="shared" si="25"/>
        <v>0</v>
      </c>
      <c r="BJ31" s="62">
        <f t="shared" si="25"/>
        <v>0</v>
      </c>
      <c r="BK31" s="62">
        <f t="shared" si="25"/>
        <v>32.43</v>
      </c>
      <c r="BL31" s="62">
        <f t="shared" si="25"/>
        <v>0</v>
      </c>
    </row>
    <row r="32" spans="1:64" x14ac:dyDescent="0.25">
      <c r="A32" s="14" t="s">
        <v>1367</v>
      </c>
      <c r="B32" t="s">
        <v>588</v>
      </c>
      <c r="C32" s="172">
        <f>SUM(C29:C31)</f>
        <v>0</v>
      </c>
      <c r="D32" s="172">
        <f t="shared" ref="D32:Z32" si="26">SUM(D29:D31)</f>
        <v>0</v>
      </c>
      <c r="E32" s="172">
        <f t="shared" si="26"/>
        <v>0</v>
      </c>
      <c r="F32" s="172">
        <f t="shared" si="26"/>
        <v>0</v>
      </c>
      <c r="G32" s="172">
        <f t="shared" si="26"/>
        <v>0</v>
      </c>
      <c r="H32" s="172">
        <f t="shared" si="26"/>
        <v>0</v>
      </c>
      <c r="I32" s="172">
        <f t="shared" si="26"/>
        <v>0</v>
      </c>
      <c r="J32" s="172">
        <f t="shared" si="26"/>
        <v>0</v>
      </c>
      <c r="K32" s="172">
        <f t="shared" si="26"/>
        <v>0</v>
      </c>
      <c r="L32" s="172">
        <f t="shared" si="26"/>
        <v>0</v>
      </c>
      <c r="M32" s="172">
        <f t="shared" si="26"/>
        <v>0</v>
      </c>
      <c r="N32" s="172">
        <f t="shared" si="26"/>
        <v>0</v>
      </c>
      <c r="O32" s="172">
        <f t="shared" si="26"/>
        <v>0</v>
      </c>
      <c r="P32" s="172">
        <f t="shared" si="26"/>
        <v>0</v>
      </c>
      <c r="Q32" s="172">
        <f t="shared" si="26"/>
        <v>0</v>
      </c>
      <c r="R32" s="172">
        <f t="shared" si="26"/>
        <v>0</v>
      </c>
      <c r="S32" s="172">
        <f t="shared" si="26"/>
        <v>0</v>
      </c>
      <c r="T32" s="172">
        <f t="shared" si="26"/>
        <v>0</v>
      </c>
      <c r="U32" s="172">
        <f t="shared" si="26"/>
        <v>0</v>
      </c>
      <c r="V32" s="172">
        <f t="shared" si="26"/>
        <v>0</v>
      </c>
      <c r="W32" s="172">
        <f t="shared" si="26"/>
        <v>0</v>
      </c>
      <c r="X32" s="172">
        <f t="shared" si="26"/>
        <v>0</v>
      </c>
      <c r="Y32" s="172">
        <f t="shared" si="26"/>
        <v>0</v>
      </c>
      <c r="Z32" s="172">
        <f t="shared" si="26"/>
        <v>0</v>
      </c>
      <c r="AC32" s="175" t="s">
        <v>717</v>
      </c>
    </row>
    <row r="33" spans="1:49" x14ac:dyDescent="0.25">
      <c r="A33" s="14" t="s">
        <v>679</v>
      </c>
      <c r="B33" t="s">
        <v>588</v>
      </c>
      <c r="C33" s="172">
        <f>C28*[1]Protect!$B$15</f>
        <v>0</v>
      </c>
      <c r="D33" s="172">
        <f>D28*[1]Protect!$B$15</f>
        <v>0</v>
      </c>
      <c r="E33" s="172">
        <f>E28*[1]Protect!$B$15</f>
        <v>0</v>
      </c>
      <c r="F33" s="172">
        <f>F28*[1]Protect!$B$15</f>
        <v>0</v>
      </c>
      <c r="G33" s="172">
        <f>G28*[1]Protect!$B$15</f>
        <v>0</v>
      </c>
      <c r="H33" s="172">
        <f>H28*[1]Protect!$B$15</f>
        <v>0</v>
      </c>
      <c r="I33" s="172">
        <f>I28*[1]Protect!$B$15</f>
        <v>0</v>
      </c>
      <c r="J33" s="172">
        <f>J28*[1]Protect!$B$15</f>
        <v>0</v>
      </c>
      <c r="K33" s="172">
        <f>K28*[1]Protect!$B$15</f>
        <v>0</v>
      </c>
      <c r="L33" s="172">
        <f>L28*[1]Protect!$B$15</f>
        <v>0</v>
      </c>
      <c r="M33" s="172">
        <f>M28*[1]Protect!$B$15</f>
        <v>0</v>
      </c>
      <c r="N33" s="172">
        <f>N28*[1]Protect!$B$15</f>
        <v>0</v>
      </c>
      <c r="O33" s="172">
        <f>O28*[1]Protect!$B$15</f>
        <v>0</v>
      </c>
      <c r="P33" s="172">
        <f>P28*[1]Protect!$B$15</f>
        <v>0</v>
      </c>
      <c r="Q33" s="172">
        <f>Q28*[1]Protect!$B$15</f>
        <v>0</v>
      </c>
      <c r="R33" s="172">
        <f>R28*[1]Protect!$B$15</f>
        <v>0</v>
      </c>
      <c r="S33" s="172">
        <f>S28*[1]Protect!$B$15</f>
        <v>0</v>
      </c>
      <c r="T33" s="172">
        <f>T28*[1]Protect!$B$15</f>
        <v>0</v>
      </c>
      <c r="U33" s="172">
        <f>U28*[1]Protect!$B$15</f>
        <v>0</v>
      </c>
      <c r="V33" s="172">
        <f>V28*[1]Protect!$B$15</f>
        <v>0</v>
      </c>
      <c r="W33" s="172">
        <f>W28*[1]Protect!$B$15</f>
        <v>0</v>
      </c>
      <c r="X33" s="172">
        <f>X28*[1]Protect!$B$15</f>
        <v>0</v>
      </c>
      <c r="Y33" s="172">
        <f>Y28*[1]Protect!$B$15</f>
        <v>0</v>
      </c>
      <c r="Z33" s="172">
        <f>Z28*[1]Protect!$B$15</f>
        <v>0</v>
      </c>
      <c r="AC33" s="14" t="s">
        <v>719</v>
      </c>
      <c r="AE33" s="168">
        <f>IF(OR(Scénario!K12="OL/BV",Scénario!K12="OL/EQ",Scénario!K12="BV",Scénario!K12="OL/BV/EQ"),Protection!AP7,0)</f>
        <v>0</v>
      </c>
    </row>
    <row r="34" spans="1:49" x14ac:dyDescent="0.25">
      <c r="A34" s="14" t="s">
        <v>681</v>
      </c>
      <c r="B34" t="s">
        <v>588</v>
      </c>
      <c r="C34" s="172">
        <f>C33+C32</f>
        <v>0</v>
      </c>
      <c r="D34" s="172">
        <f t="shared" ref="D34:Z34" si="27">D33+D32</f>
        <v>0</v>
      </c>
      <c r="E34" s="172">
        <f t="shared" si="27"/>
        <v>0</v>
      </c>
      <c r="F34" s="172">
        <f t="shared" si="27"/>
        <v>0</v>
      </c>
      <c r="G34" s="172">
        <f t="shared" si="27"/>
        <v>0</v>
      </c>
      <c r="H34" s="172">
        <f t="shared" si="27"/>
        <v>0</v>
      </c>
      <c r="I34" s="172">
        <f t="shared" si="27"/>
        <v>0</v>
      </c>
      <c r="J34" s="172">
        <f t="shared" si="27"/>
        <v>0</v>
      </c>
      <c r="K34" s="172">
        <f t="shared" si="27"/>
        <v>0</v>
      </c>
      <c r="L34" s="172">
        <f t="shared" si="27"/>
        <v>0</v>
      </c>
      <c r="M34" s="172">
        <f t="shared" si="27"/>
        <v>0</v>
      </c>
      <c r="N34" s="172">
        <f t="shared" si="27"/>
        <v>0</v>
      </c>
      <c r="O34" s="172">
        <f t="shared" si="27"/>
        <v>0</v>
      </c>
      <c r="P34" s="172">
        <f t="shared" si="27"/>
        <v>0</v>
      </c>
      <c r="Q34" s="172">
        <f t="shared" si="27"/>
        <v>0</v>
      </c>
      <c r="R34" s="172">
        <f t="shared" si="27"/>
        <v>0</v>
      </c>
      <c r="S34" s="172">
        <f t="shared" si="27"/>
        <v>0</v>
      </c>
      <c r="T34" s="172">
        <f t="shared" si="27"/>
        <v>0</v>
      </c>
      <c r="U34" s="172">
        <f t="shared" si="27"/>
        <v>0</v>
      </c>
      <c r="V34" s="172">
        <f t="shared" si="27"/>
        <v>0</v>
      </c>
      <c r="W34" s="172">
        <f t="shared" si="27"/>
        <v>0</v>
      </c>
      <c r="X34" s="172">
        <f t="shared" si="27"/>
        <v>0</v>
      </c>
      <c r="Y34" s="172">
        <f t="shared" si="27"/>
        <v>0</v>
      </c>
      <c r="Z34" s="172">
        <f t="shared" si="27"/>
        <v>0</v>
      </c>
    </row>
    <row r="35" spans="1:49" x14ac:dyDescent="0.25">
      <c r="A35" s="43" t="s">
        <v>718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49" x14ac:dyDescent="0.25">
      <c r="A36" s="173" t="s">
        <v>684</v>
      </c>
      <c r="B36" t="s">
        <v>588</v>
      </c>
      <c r="C36" s="168">
        <f t="shared" ref="C36:Z36" si="28">COUNTIF(C110:C119,0)</f>
        <v>0</v>
      </c>
      <c r="D36" s="168">
        <f t="shared" si="28"/>
        <v>0</v>
      </c>
      <c r="E36" s="168">
        <f t="shared" si="28"/>
        <v>0</v>
      </c>
      <c r="F36" s="168">
        <f t="shared" si="28"/>
        <v>0</v>
      </c>
      <c r="G36" s="168">
        <f t="shared" si="28"/>
        <v>0</v>
      </c>
      <c r="H36" s="168">
        <f t="shared" si="28"/>
        <v>0</v>
      </c>
      <c r="I36" s="168">
        <f t="shared" si="28"/>
        <v>0</v>
      </c>
      <c r="J36" s="168">
        <f t="shared" si="28"/>
        <v>0</v>
      </c>
      <c r="K36" s="168">
        <f t="shared" si="28"/>
        <v>0</v>
      </c>
      <c r="L36" s="168">
        <f t="shared" si="28"/>
        <v>0</v>
      </c>
      <c r="M36" s="168">
        <f t="shared" si="28"/>
        <v>0</v>
      </c>
      <c r="N36" s="168">
        <f t="shared" si="28"/>
        <v>0</v>
      </c>
      <c r="O36" s="168">
        <f t="shared" si="28"/>
        <v>0</v>
      </c>
      <c r="P36" s="168">
        <f t="shared" si="28"/>
        <v>0</v>
      </c>
      <c r="Q36" s="168">
        <f t="shared" si="28"/>
        <v>0</v>
      </c>
      <c r="R36" s="168">
        <f t="shared" si="28"/>
        <v>0</v>
      </c>
      <c r="S36" s="168">
        <f t="shared" si="28"/>
        <v>0</v>
      </c>
      <c r="T36" s="168">
        <f t="shared" si="28"/>
        <v>0</v>
      </c>
      <c r="U36" s="168">
        <f t="shared" si="28"/>
        <v>0</v>
      </c>
      <c r="V36" s="168">
        <f t="shared" si="28"/>
        <v>0</v>
      </c>
      <c r="W36" s="168">
        <f t="shared" si="28"/>
        <v>0</v>
      </c>
      <c r="X36" s="168">
        <f t="shared" si="28"/>
        <v>0</v>
      </c>
      <c r="Y36" s="168">
        <f t="shared" si="28"/>
        <v>0</v>
      </c>
      <c r="Z36" s="168">
        <f t="shared" si="28"/>
        <v>0</v>
      </c>
    </row>
    <row r="37" spans="1:49" x14ac:dyDescent="0.25">
      <c r="A37" s="173" t="s">
        <v>686</v>
      </c>
      <c r="B37" t="s">
        <v>588</v>
      </c>
      <c r="C37" s="168">
        <f t="shared" ref="C37:Z37" si="29">COUNTIF(C110:C119,1)</f>
        <v>0</v>
      </c>
      <c r="D37" s="168">
        <f t="shared" si="29"/>
        <v>0</v>
      </c>
      <c r="E37" s="168">
        <f t="shared" si="29"/>
        <v>0</v>
      </c>
      <c r="F37" s="168">
        <f t="shared" si="29"/>
        <v>0</v>
      </c>
      <c r="G37" s="168">
        <f t="shared" si="29"/>
        <v>0</v>
      </c>
      <c r="H37" s="168">
        <f t="shared" si="29"/>
        <v>0</v>
      </c>
      <c r="I37" s="168">
        <f t="shared" si="29"/>
        <v>0</v>
      </c>
      <c r="J37" s="168">
        <f t="shared" si="29"/>
        <v>0</v>
      </c>
      <c r="K37" s="168">
        <f t="shared" si="29"/>
        <v>0</v>
      </c>
      <c r="L37" s="168">
        <f t="shared" si="29"/>
        <v>0</v>
      </c>
      <c r="M37" s="168">
        <f t="shared" si="29"/>
        <v>0</v>
      </c>
      <c r="N37" s="168">
        <f t="shared" si="29"/>
        <v>0</v>
      </c>
      <c r="O37" s="168">
        <f t="shared" si="29"/>
        <v>0</v>
      </c>
      <c r="P37" s="168">
        <f t="shared" si="29"/>
        <v>0</v>
      </c>
      <c r="Q37" s="168">
        <f t="shared" si="29"/>
        <v>0</v>
      </c>
      <c r="R37" s="168">
        <f t="shared" si="29"/>
        <v>0</v>
      </c>
      <c r="S37" s="168">
        <f t="shared" si="29"/>
        <v>0</v>
      </c>
      <c r="T37" s="168">
        <f t="shared" si="29"/>
        <v>0</v>
      </c>
      <c r="U37" s="168">
        <f t="shared" si="29"/>
        <v>0</v>
      </c>
      <c r="V37" s="168">
        <f t="shared" si="29"/>
        <v>0</v>
      </c>
      <c r="W37" s="168">
        <f t="shared" si="29"/>
        <v>0</v>
      </c>
      <c r="X37" s="168">
        <f t="shared" si="29"/>
        <v>0</v>
      </c>
      <c r="Y37" s="168">
        <f t="shared" si="29"/>
        <v>0</v>
      </c>
      <c r="Z37" s="168">
        <f t="shared" si="29"/>
        <v>0</v>
      </c>
    </row>
    <row r="38" spans="1:49" x14ac:dyDescent="0.25">
      <c r="A38" s="173" t="s">
        <v>687</v>
      </c>
      <c r="B38" t="s">
        <v>588</v>
      </c>
      <c r="C38" s="168">
        <f t="shared" ref="C38:Z38" si="30">COUNTIF(C110:C119,0.5)</f>
        <v>0</v>
      </c>
      <c r="D38" s="168">
        <f t="shared" si="30"/>
        <v>0</v>
      </c>
      <c r="E38" s="168">
        <f t="shared" si="30"/>
        <v>0</v>
      </c>
      <c r="F38" s="168">
        <f t="shared" si="30"/>
        <v>0</v>
      </c>
      <c r="G38" s="168">
        <f t="shared" si="30"/>
        <v>0</v>
      </c>
      <c r="H38" s="168">
        <f t="shared" si="30"/>
        <v>0</v>
      </c>
      <c r="I38" s="168">
        <f t="shared" si="30"/>
        <v>0</v>
      </c>
      <c r="J38" s="168">
        <f t="shared" si="30"/>
        <v>0</v>
      </c>
      <c r="K38" s="168">
        <f t="shared" si="30"/>
        <v>0</v>
      </c>
      <c r="L38" s="168">
        <f t="shared" si="30"/>
        <v>0</v>
      </c>
      <c r="M38" s="168">
        <f t="shared" si="30"/>
        <v>0</v>
      </c>
      <c r="N38" s="168">
        <f t="shared" si="30"/>
        <v>0</v>
      </c>
      <c r="O38" s="168">
        <f t="shared" si="30"/>
        <v>0</v>
      </c>
      <c r="P38" s="168">
        <f t="shared" si="30"/>
        <v>0</v>
      </c>
      <c r="Q38" s="168">
        <f t="shared" si="30"/>
        <v>0</v>
      </c>
      <c r="R38" s="168">
        <f t="shared" si="30"/>
        <v>0</v>
      </c>
      <c r="S38" s="168">
        <f t="shared" si="30"/>
        <v>0</v>
      </c>
      <c r="T38" s="168">
        <f t="shared" si="30"/>
        <v>0</v>
      </c>
      <c r="U38" s="168">
        <f t="shared" si="30"/>
        <v>0</v>
      </c>
      <c r="V38" s="168">
        <f t="shared" si="30"/>
        <v>0</v>
      </c>
      <c r="W38" s="168">
        <f t="shared" si="30"/>
        <v>0</v>
      </c>
      <c r="X38" s="168">
        <f t="shared" si="30"/>
        <v>0</v>
      </c>
      <c r="Y38" s="168">
        <f t="shared" si="30"/>
        <v>0</v>
      </c>
      <c r="Z38" s="168">
        <f t="shared" si="30"/>
        <v>0</v>
      </c>
    </row>
    <row r="39" spans="1:49" x14ac:dyDescent="0.25">
      <c r="A39" s="173" t="s">
        <v>688</v>
      </c>
      <c r="B39" t="s">
        <v>588</v>
      </c>
      <c r="C39" s="62">
        <f>IF(AND(C36=0,(C37+C38)&gt;0),1,IF(AND(C36&gt;0,(C37+C38)&gt;0),C36+1,C36))</f>
        <v>0</v>
      </c>
      <c r="D39" s="62">
        <f t="shared" ref="D39:Z39" si="31">IF(AND(D36=0,(D37+D38)&gt;0),1,IF(AND(D36&gt;0,(D37+D38)&gt;0),D36+1,D36))</f>
        <v>0</v>
      </c>
      <c r="E39" s="62">
        <f t="shared" si="31"/>
        <v>0</v>
      </c>
      <c r="F39" s="62">
        <f t="shared" si="31"/>
        <v>0</v>
      </c>
      <c r="G39" s="62">
        <f t="shared" si="31"/>
        <v>0</v>
      </c>
      <c r="H39" s="62">
        <f t="shared" si="31"/>
        <v>0</v>
      </c>
      <c r="I39" s="62">
        <f t="shared" si="31"/>
        <v>0</v>
      </c>
      <c r="J39" s="62">
        <f t="shared" si="31"/>
        <v>0</v>
      </c>
      <c r="K39" s="62">
        <f t="shared" si="31"/>
        <v>0</v>
      </c>
      <c r="L39" s="62">
        <f t="shared" si="31"/>
        <v>0</v>
      </c>
      <c r="M39" s="62">
        <f t="shared" si="31"/>
        <v>0</v>
      </c>
      <c r="N39" s="62">
        <f t="shared" si="31"/>
        <v>0</v>
      </c>
      <c r="O39" s="62">
        <f t="shared" si="31"/>
        <v>0</v>
      </c>
      <c r="P39" s="62">
        <f t="shared" si="31"/>
        <v>0</v>
      </c>
      <c r="Q39" s="62">
        <f t="shared" si="31"/>
        <v>0</v>
      </c>
      <c r="R39" s="62">
        <f t="shared" si="31"/>
        <v>0</v>
      </c>
      <c r="S39" s="62">
        <f t="shared" si="31"/>
        <v>0</v>
      </c>
      <c r="T39" s="62">
        <f t="shared" si="31"/>
        <v>0</v>
      </c>
      <c r="U39" s="62">
        <f t="shared" si="31"/>
        <v>0</v>
      </c>
      <c r="V39" s="62">
        <f t="shared" si="31"/>
        <v>0</v>
      </c>
      <c r="W39" s="62">
        <f t="shared" si="31"/>
        <v>0</v>
      </c>
      <c r="X39" s="62">
        <f t="shared" si="31"/>
        <v>0</v>
      </c>
      <c r="Y39" s="62">
        <f t="shared" si="31"/>
        <v>0</v>
      </c>
      <c r="Z39" s="62">
        <f t="shared" si="31"/>
        <v>0</v>
      </c>
    </row>
    <row r="40" spans="1:49" x14ac:dyDescent="0.25">
      <c r="A40" s="173" t="s">
        <v>693</v>
      </c>
      <c r="B40" t="s">
        <v>588</v>
      </c>
      <c r="C40" s="62">
        <f t="shared" ref="C40:Z40" si="32">IF(COUNTIF(C110:C119,4)&gt;0,1,0)</f>
        <v>0</v>
      </c>
      <c r="D40" s="62">
        <f t="shared" si="32"/>
        <v>0</v>
      </c>
      <c r="E40" s="62">
        <f t="shared" si="32"/>
        <v>0</v>
      </c>
      <c r="F40" s="62">
        <f t="shared" si="32"/>
        <v>0</v>
      </c>
      <c r="G40" s="62">
        <f t="shared" si="32"/>
        <v>0</v>
      </c>
      <c r="H40" s="62">
        <f t="shared" si="32"/>
        <v>0</v>
      </c>
      <c r="I40" s="62">
        <f t="shared" si="32"/>
        <v>0</v>
      </c>
      <c r="J40" s="62">
        <f t="shared" si="32"/>
        <v>0</v>
      </c>
      <c r="K40" s="62">
        <f t="shared" si="32"/>
        <v>0</v>
      </c>
      <c r="L40" s="62">
        <f t="shared" si="32"/>
        <v>0</v>
      </c>
      <c r="M40" s="62">
        <f t="shared" si="32"/>
        <v>0</v>
      </c>
      <c r="N40" s="62">
        <f t="shared" si="32"/>
        <v>0</v>
      </c>
      <c r="O40" s="62">
        <f t="shared" si="32"/>
        <v>0</v>
      </c>
      <c r="P40" s="62">
        <f t="shared" si="32"/>
        <v>0</v>
      </c>
      <c r="Q40" s="62">
        <f t="shared" si="32"/>
        <v>0</v>
      </c>
      <c r="R40" s="62">
        <f t="shared" si="32"/>
        <v>0</v>
      </c>
      <c r="S40" s="62">
        <f t="shared" si="32"/>
        <v>0</v>
      </c>
      <c r="T40" s="62">
        <f t="shared" si="32"/>
        <v>0</v>
      </c>
      <c r="U40" s="62">
        <f t="shared" si="32"/>
        <v>0</v>
      </c>
      <c r="V40" s="62">
        <f t="shared" si="32"/>
        <v>0</v>
      </c>
      <c r="W40" s="62">
        <f t="shared" si="32"/>
        <v>0</v>
      </c>
      <c r="X40" s="62">
        <f t="shared" si="32"/>
        <v>0</v>
      </c>
      <c r="Y40" s="62">
        <f t="shared" si="32"/>
        <v>0</v>
      </c>
      <c r="Z40" s="62">
        <f t="shared" si="32"/>
        <v>0</v>
      </c>
      <c r="AB40" s="176"/>
    </row>
    <row r="41" spans="1:49" x14ac:dyDescent="0.25">
      <c r="A41" s="173" t="s">
        <v>698</v>
      </c>
      <c r="B41" t="s">
        <v>588</v>
      </c>
      <c r="C41" s="168">
        <f t="shared" ref="C41:Z41" si="33">COUNTIF(C110:C119,5)</f>
        <v>0</v>
      </c>
      <c r="D41" s="168">
        <f t="shared" si="33"/>
        <v>0</v>
      </c>
      <c r="E41" s="168">
        <f t="shared" si="33"/>
        <v>0</v>
      </c>
      <c r="F41" s="168">
        <f t="shared" si="33"/>
        <v>0</v>
      </c>
      <c r="G41" s="168">
        <f t="shared" si="33"/>
        <v>0</v>
      </c>
      <c r="H41" s="168">
        <f t="shared" si="33"/>
        <v>0</v>
      </c>
      <c r="I41" s="168">
        <f t="shared" si="33"/>
        <v>0</v>
      </c>
      <c r="J41" s="168">
        <f t="shared" si="33"/>
        <v>0</v>
      </c>
      <c r="K41" s="168">
        <f t="shared" si="33"/>
        <v>0</v>
      </c>
      <c r="L41" s="168">
        <f t="shared" si="33"/>
        <v>0</v>
      </c>
      <c r="M41" s="168">
        <f t="shared" si="33"/>
        <v>0</v>
      </c>
      <c r="N41" s="168">
        <f t="shared" si="33"/>
        <v>0</v>
      </c>
      <c r="O41" s="168">
        <f t="shared" si="33"/>
        <v>0</v>
      </c>
      <c r="P41" s="168">
        <f t="shared" si="33"/>
        <v>0</v>
      </c>
      <c r="Q41" s="168">
        <f t="shared" si="33"/>
        <v>0</v>
      </c>
      <c r="R41" s="168">
        <f t="shared" si="33"/>
        <v>0</v>
      </c>
      <c r="S41" s="168">
        <f t="shared" si="33"/>
        <v>0</v>
      </c>
      <c r="T41" s="168">
        <f t="shared" si="33"/>
        <v>0</v>
      </c>
      <c r="U41" s="168">
        <f t="shared" si="33"/>
        <v>0</v>
      </c>
      <c r="V41" s="168">
        <f t="shared" si="33"/>
        <v>0</v>
      </c>
      <c r="W41" s="168">
        <f t="shared" si="33"/>
        <v>0</v>
      </c>
      <c r="X41" s="168">
        <f t="shared" si="33"/>
        <v>0</v>
      </c>
      <c r="Y41" s="168">
        <f t="shared" si="33"/>
        <v>0</v>
      </c>
      <c r="Z41" s="168">
        <f t="shared" si="33"/>
        <v>0</v>
      </c>
    </row>
    <row r="42" spans="1:49" x14ac:dyDescent="0.25">
      <c r="A42" s="173" t="s">
        <v>701</v>
      </c>
      <c r="B42" t="s">
        <v>588</v>
      </c>
      <c r="C42" s="62">
        <f>IF(Protection!C41&gt;0,Scénario!$K$58,0)</f>
        <v>0</v>
      </c>
      <c r="D42" s="62">
        <f>IF(Protection!D41&gt;0,Scénario!$K$58,0)</f>
        <v>0</v>
      </c>
      <c r="E42" s="62">
        <f>IF(Protection!E41&gt;0,Scénario!$K$58,0)</f>
        <v>0</v>
      </c>
      <c r="F42" s="62">
        <f>IF(Protection!F41&gt;0,Scénario!$K$58,0)</f>
        <v>0</v>
      </c>
      <c r="G42" s="62">
        <f>IF(Protection!G41&gt;0,Scénario!$K$58,0)</f>
        <v>0</v>
      </c>
      <c r="H42" s="62">
        <f>IF(Protection!H41&gt;0,Scénario!$K$58,0)</f>
        <v>0</v>
      </c>
      <c r="I42" s="62">
        <f>IF(Protection!I41&gt;0,Scénario!$K$58,0)</f>
        <v>0</v>
      </c>
      <c r="J42" s="62">
        <f>IF(Protection!J41&gt;0,Scénario!$K$58,0)</f>
        <v>0</v>
      </c>
      <c r="K42" s="62">
        <f>IF(Protection!K41&gt;0,Scénario!$K$58,0)</f>
        <v>0</v>
      </c>
      <c r="L42" s="62">
        <f>IF(Protection!L41&gt;0,Scénario!$K$58,0)</f>
        <v>0</v>
      </c>
      <c r="M42" s="62">
        <f>IF(Protection!M41&gt;0,Scénario!$K$58,0)</f>
        <v>0</v>
      </c>
      <c r="N42" s="62">
        <f>IF(Protection!N41&gt;0,Scénario!$K$58,0)</f>
        <v>0</v>
      </c>
      <c r="O42" s="62">
        <f>IF(Protection!O41&gt;0,Scénario!$K$58,0)</f>
        <v>0</v>
      </c>
      <c r="P42" s="62">
        <f>IF(Protection!P41&gt;0,Scénario!$K$58,0)</f>
        <v>0</v>
      </c>
      <c r="Q42" s="62">
        <f>IF(Protection!Q41&gt;0,Scénario!$K$58,0)</f>
        <v>0</v>
      </c>
      <c r="R42" s="62">
        <f>IF(Protection!R41&gt;0,Scénario!$K$58,0)</f>
        <v>0</v>
      </c>
      <c r="S42" s="62">
        <f>IF(Protection!S41&gt;0,Scénario!$K$58,0)</f>
        <v>0</v>
      </c>
      <c r="T42" s="62">
        <f>IF(Protection!T41&gt;0,Scénario!$K$58,0)</f>
        <v>0</v>
      </c>
      <c r="U42" s="62">
        <f>IF(Protection!U41&gt;0,Scénario!$K$58,0)</f>
        <v>0</v>
      </c>
      <c r="V42" s="62">
        <f>IF(Protection!V41&gt;0,Scénario!$K$58,0)</f>
        <v>0</v>
      </c>
      <c r="W42" s="62">
        <f>IF(Protection!W41&gt;0,Scénario!$K$58,0)</f>
        <v>0</v>
      </c>
      <c r="X42" s="62">
        <f>IF(Protection!X41&gt;0,Scénario!$K$58,0)</f>
        <v>0</v>
      </c>
      <c r="Y42" s="62">
        <f>IF(Protection!Y41&gt;0,Scénario!$K$58,0)</f>
        <v>0</v>
      </c>
      <c r="Z42" s="62">
        <f>IF(Protection!Z41&gt;0,Scénario!$K$58,0)</f>
        <v>0</v>
      </c>
      <c r="AB42" s="177"/>
    </row>
    <row r="43" spans="1:49" x14ac:dyDescent="0.25">
      <c r="A43" s="173" t="s">
        <v>704</v>
      </c>
      <c r="B43" t="s">
        <v>588</v>
      </c>
      <c r="C43" s="62">
        <f>C39+C40+C42</f>
        <v>0</v>
      </c>
      <c r="D43" s="62">
        <f t="shared" ref="D43:Z43" si="34">D39+D40+D42</f>
        <v>0</v>
      </c>
      <c r="E43" s="62">
        <f t="shared" si="34"/>
        <v>0</v>
      </c>
      <c r="F43" s="62">
        <f t="shared" si="34"/>
        <v>0</v>
      </c>
      <c r="G43" s="62">
        <f t="shared" si="34"/>
        <v>0</v>
      </c>
      <c r="H43" s="62">
        <f t="shared" si="34"/>
        <v>0</v>
      </c>
      <c r="I43" s="62">
        <f t="shared" si="34"/>
        <v>0</v>
      </c>
      <c r="J43" s="62">
        <f t="shared" si="34"/>
        <v>0</v>
      </c>
      <c r="K43" s="62">
        <f t="shared" si="34"/>
        <v>0</v>
      </c>
      <c r="L43" s="62">
        <f t="shared" si="34"/>
        <v>0</v>
      </c>
      <c r="M43" s="62">
        <f t="shared" si="34"/>
        <v>0</v>
      </c>
      <c r="N43" s="62">
        <f t="shared" si="34"/>
        <v>0</v>
      </c>
      <c r="O43" s="62">
        <f t="shared" si="34"/>
        <v>0</v>
      </c>
      <c r="P43" s="62">
        <f t="shared" si="34"/>
        <v>0</v>
      </c>
      <c r="Q43" s="62">
        <f t="shared" si="34"/>
        <v>0</v>
      </c>
      <c r="R43" s="62">
        <f t="shared" si="34"/>
        <v>0</v>
      </c>
      <c r="S43" s="62">
        <f t="shared" si="34"/>
        <v>0</v>
      </c>
      <c r="T43" s="62">
        <f t="shared" si="34"/>
        <v>0</v>
      </c>
      <c r="U43" s="62">
        <f t="shared" si="34"/>
        <v>0</v>
      </c>
      <c r="V43" s="62">
        <f t="shared" si="34"/>
        <v>0</v>
      </c>
      <c r="W43" s="62">
        <f t="shared" si="34"/>
        <v>0</v>
      </c>
      <c r="X43" s="62">
        <f t="shared" si="34"/>
        <v>0</v>
      </c>
      <c r="Y43" s="62">
        <f t="shared" si="34"/>
        <v>0</v>
      </c>
      <c r="Z43" s="62">
        <f t="shared" si="34"/>
        <v>0</v>
      </c>
      <c r="AB43" s="177"/>
    </row>
    <row r="44" spans="1:49" x14ac:dyDescent="0.25">
      <c r="A44" s="173"/>
      <c r="AB44" s="177"/>
      <c r="AV44" s="177"/>
      <c r="AW44" s="177"/>
    </row>
    <row r="45" spans="1:49" x14ac:dyDescent="0.25">
      <c r="A45" s="43" t="s">
        <v>720</v>
      </c>
      <c r="C45" s="33">
        <v>1</v>
      </c>
      <c r="D45" s="33">
        <v>2</v>
      </c>
      <c r="E45" s="33">
        <v>3</v>
      </c>
      <c r="F45" s="33">
        <v>4</v>
      </c>
      <c r="G45" s="33">
        <v>5</v>
      </c>
      <c r="H45" s="33">
        <v>6</v>
      </c>
      <c r="I45" s="33">
        <v>7</v>
      </c>
      <c r="J45" s="33">
        <v>8</v>
      </c>
      <c r="K45" s="33">
        <v>9</v>
      </c>
      <c r="L45" s="33">
        <v>10</v>
      </c>
      <c r="M45" s="33">
        <v>11</v>
      </c>
      <c r="N45" s="33">
        <v>12</v>
      </c>
      <c r="O45" s="33">
        <v>13</v>
      </c>
      <c r="P45" s="33">
        <v>14</v>
      </c>
      <c r="Q45" s="33">
        <v>15</v>
      </c>
      <c r="R45" s="33">
        <v>16</v>
      </c>
      <c r="S45" s="33">
        <v>17</v>
      </c>
      <c r="T45" s="33">
        <v>18</v>
      </c>
      <c r="U45" s="33">
        <v>19</v>
      </c>
      <c r="V45" s="33">
        <v>20</v>
      </c>
      <c r="W45" s="33">
        <v>21</v>
      </c>
      <c r="X45" s="33">
        <v>22</v>
      </c>
      <c r="Y45" s="33">
        <v>23</v>
      </c>
      <c r="Z45" s="33">
        <v>24</v>
      </c>
      <c r="AB45" s="177"/>
      <c r="AV45" s="177"/>
      <c r="AW45" s="177"/>
    </row>
    <row r="46" spans="1:49" x14ac:dyDescent="0.25">
      <c r="A46" s="14" t="s">
        <v>708</v>
      </c>
      <c r="B46" t="s">
        <v>721</v>
      </c>
      <c r="C46" s="172">
        <f t="shared" ref="C46:Z46" si="35">COUNTIF(C166:C175,1)+COUNTIF(C166:C175,2)</f>
        <v>0</v>
      </c>
      <c r="D46" s="172">
        <f t="shared" si="35"/>
        <v>0</v>
      </c>
      <c r="E46" s="172">
        <f t="shared" si="35"/>
        <v>0</v>
      </c>
      <c r="F46" s="172">
        <f t="shared" si="35"/>
        <v>0</v>
      </c>
      <c r="G46" s="172">
        <f t="shared" si="35"/>
        <v>0</v>
      </c>
      <c r="H46" s="172">
        <f t="shared" si="35"/>
        <v>0</v>
      </c>
      <c r="I46" s="172">
        <f t="shared" si="35"/>
        <v>0</v>
      </c>
      <c r="J46" s="172">
        <f t="shared" si="35"/>
        <v>0</v>
      </c>
      <c r="K46" s="172">
        <f t="shared" si="35"/>
        <v>0</v>
      </c>
      <c r="L46" s="172">
        <f t="shared" si="35"/>
        <v>0</v>
      </c>
      <c r="M46" s="172">
        <f t="shared" si="35"/>
        <v>0</v>
      </c>
      <c r="N46" s="172">
        <f t="shared" si="35"/>
        <v>0</v>
      </c>
      <c r="O46" s="172">
        <f t="shared" si="35"/>
        <v>0</v>
      </c>
      <c r="P46" s="172">
        <f t="shared" si="35"/>
        <v>0</v>
      </c>
      <c r="Q46" s="172">
        <f t="shared" si="35"/>
        <v>0</v>
      </c>
      <c r="R46" s="172">
        <f t="shared" si="35"/>
        <v>0</v>
      </c>
      <c r="S46" s="172">
        <f t="shared" si="35"/>
        <v>0</v>
      </c>
      <c r="T46" s="172">
        <f t="shared" si="35"/>
        <v>0</v>
      </c>
      <c r="U46" s="172">
        <f t="shared" si="35"/>
        <v>0</v>
      </c>
      <c r="V46" s="172">
        <f t="shared" si="35"/>
        <v>0</v>
      </c>
      <c r="W46" s="172">
        <f t="shared" si="35"/>
        <v>0</v>
      </c>
      <c r="X46" s="172">
        <f t="shared" si="35"/>
        <v>0</v>
      </c>
      <c r="Y46" s="172">
        <f t="shared" si="35"/>
        <v>0</v>
      </c>
      <c r="Z46" s="172">
        <f t="shared" si="35"/>
        <v>0</v>
      </c>
      <c r="AB46" s="177"/>
      <c r="AV46" s="177"/>
      <c r="AW46" s="177"/>
    </row>
    <row r="47" spans="1:49" x14ac:dyDescent="0.25">
      <c r="A47" s="14" t="s">
        <v>669</v>
      </c>
      <c r="B47" t="s">
        <v>721</v>
      </c>
      <c r="C47" s="172">
        <f t="shared" ref="C47:Z47" si="36">COUNTIF(C166:C175,3)</f>
        <v>0</v>
      </c>
      <c r="D47" s="172">
        <f t="shared" si="36"/>
        <v>0</v>
      </c>
      <c r="E47" s="172">
        <f t="shared" si="36"/>
        <v>0</v>
      </c>
      <c r="F47" s="172">
        <f t="shared" si="36"/>
        <v>0</v>
      </c>
      <c r="G47" s="172">
        <f t="shared" si="36"/>
        <v>0</v>
      </c>
      <c r="H47" s="172">
        <f t="shared" si="36"/>
        <v>0</v>
      </c>
      <c r="I47" s="172">
        <f t="shared" si="36"/>
        <v>0</v>
      </c>
      <c r="J47" s="172">
        <f t="shared" si="36"/>
        <v>0</v>
      </c>
      <c r="K47" s="172">
        <f t="shared" si="36"/>
        <v>0</v>
      </c>
      <c r="L47" s="172">
        <f t="shared" si="36"/>
        <v>0</v>
      </c>
      <c r="M47" s="172">
        <f t="shared" si="36"/>
        <v>0</v>
      </c>
      <c r="N47" s="172">
        <f t="shared" si="36"/>
        <v>0</v>
      </c>
      <c r="O47" s="172">
        <f t="shared" si="36"/>
        <v>0</v>
      </c>
      <c r="P47" s="172">
        <f t="shared" si="36"/>
        <v>0</v>
      </c>
      <c r="Q47" s="172">
        <f t="shared" si="36"/>
        <v>0</v>
      </c>
      <c r="R47" s="172">
        <f t="shared" si="36"/>
        <v>0</v>
      </c>
      <c r="S47" s="172">
        <f t="shared" si="36"/>
        <v>0</v>
      </c>
      <c r="T47" s="172">
        <f t="shared" si="36"/>
        <v>0</v>
      </c>
      <c r="U47" s="172">
        <f t="shared" si="36"/>
        <v>0</v>
      </c>
      <c r="V47" s="172">
        <f t="shared" si="36"/>
        <v>0</v>
      </c>
      <c r="W47" s="172">
        <f t="shared" si="36"/>
        <v>0</v>
      </c>
      <c r="X47" s="172">
        <f t="shared" si="36"/>
        <v>0</v>
      </c>
      <c r="Y47" s="172">
        <f t="shared" si="36"/>
        <v>0</v>
      </c>
      <c r="Z47" s="172">
        <f t="shared" si="36"/>
        <v>0</v>
      </c>
      <c r="AB47" s="177"/>
      <c r="AV47" s="177"/>
      <c r="AW47" s="177"/>
    </row>
    <row r="48" spans="1:49" x14ac:dyDescent="0.25">
      <c r="A48" s="14" t="s">
        <v>671</v>
      </c>
      <c r="B48" t="s">
        <v>721</v>
      </c>
      <c r="C48" s="172">
        <f>C61</f>
        <v>0</v>
      </c>
      <c r="D48" s="172">
        <f t="shared" ref="D48:Z48" si="37">D61</f>
        <v>0</v>
      </c>
      <c r="E48" s="172">
        <f t="shared" si="37"/>
        <v>0</v>
      </c>
      <c r="F48" s="172">
        <f t="shared" si="37"/>
        <v>0</v>
      </c>
      <c r="G48" s="172">
        <f t="shared" si="37"/>
        <v>0</v>
      </c>
      <c r="H48" s="172">
        <f t="shared" si="37"/>
        <v>0</v>
      </c>
      <c r="I48" s="172">
        <f t="shared" si="37"/>
        <v>0</v>
      </c>
      <c r="J48" s="172">
        <f t="shared" si="37"/>
        <v>0</v>
      </c>
      <c r="K48" s="172">
        <f t="shared" si="37"/>
        <v>0</v>
      </c>
      <c r="L48" s="172">
        <f t="shared" si="37"/>
        <v>0</v>
      </c>
      <c r="M48" s="172">
        <f t="shared" si="37"/>
        <v>0</v>
      </c>
      <c r="N48" s="172">
        <f t="shared" si="37"/>
        <v>0</v>
      </c>
      <c r="O48" s="172">
        <f t="shared" si="37"/>
        <v>0</v>
      </c>
      <c r="P48" s="172">
        <f t="shared" si="37"/>
        <v>0</v>
      </c>
      <c r="Q48" s="172">
        <f t="shared" si="37"/>
        <v>0</v>
      </c>
      <c r="R48" s="172">
        <f t="shared" si="37"/>
        <v>0</v>
      </c>
      <c r="S48" s="172">
        <f t="shared" si="37"/>
        <v>0</v>
      </c>
      <c r="T48" s="172">
        <f t="shared" si="37"/>
        <v>0</v>
      </c>
      <c r="U48" s="172">
        <f t="shared" si="37"/>
        <v>0</v>
      </c>
      <c r="V48" s="172">
        <f t="shared" si="37"/>
        <v>0</v>
      </c>
      <c r="W48" s="172">
        <f t="shared" si="37"/>
        <v>0</v>
      </c>
      <c r="X48" s="172">
        <f t="shared" si="37"/>
        <v>0</v>
      </c>
      <c r="Y48" s="172">
        <f t="shared" si="37"/>
        <v>0</v>
      </c>
      <c r="Z48" s="172">
        <f t="shared" si="37"/>
        <v>0</v>
      </c>
      <c r="AB48" s="177"/>
      <c r="AV48" s="177"/>
      <c r="AW48" s="177"/>
    </row>
    <row r="49" spans="1:49" x14ac:dyDescent="0.25">
      <c r="A49" s="14" t="s">
        <v>673</v>
      </c>
      <c r="B49" t="s">
        <v>721</v>
      </c>
      <c r="C49" s="172">
        <f>C63</f>
        <v>0</v>
      </c>
      <c r="D49" s="172">
        <f t="shared" ref="D49:Z49" si="38">D63</f>
        <v>0</v>
      </c>
      <c r="E49" s="172">
        <f t="shared" si="38"/>
        <v>0</v>
      </c>
      <c r="F49" s="172">
        <f t="shared" si="38"/>
        <v>0</v>
      </c>
      <c r="G49" s="172">
        <f t="shared" si="38"/>
        <v>0</v>
      </c>
      <c r="H49" s="172">
        <f t="shared" si="38"/>
        <v>0</v>
      </c>
      <c r="I49" s="172">
        <f t="shared" si="38"/>
        <v>0</v>
      </c>
      <c r="J49" s="172">
        <f t="shared" si="38"/>
        <v>0</v>
      </c>
      <c r="K49" s="172">
        <f t="shared" si="38"/>
        <v>0</v>
      </c>
      <c r="L49" s="172">
        <f t="shared" si="38"/>
        <v>0</v>
      </c>
      <c r="M49" s="172">
        <f t="shared" si="38"/>
        <v>0</v>
      </c>
      <c r="N49" s="172">
        <f t="shared" si="38"/>
        <v>0</v>
      </c>
      <c r="O49" s="172">
        <f t="shared" si="38"/>
        <v>0</v>
      </c>
      <c r="P49" s="172">
        <f t="shared" si="38"/>
        <v>0</v>
      </c>
      <c r="Q49" s="172">
        <f t="shared" si="38"/>
        <v>0</v>
      </c>
      <c r="R49" s="172">
        <f t="shared" si="38"/>
        <v>0</v>
      </c>
      <c r="S49" s="172">
        <f t="shared" si="38"/>
        <v>0</v>
      </c>
      <c r="T49" s="172">
        <f t="shared" si="38"/>
        <v>0</v>
      </c>
      <c r="U49" s="172">
        <f t="shared" si="38"/>
        <v>0</v>
      </c>
      <c r="V49" s="172">
        <f t="shared" si="38"/>
        <v>0</v>
      </c>
      <c r="W49" s="172">
        <f t="shared" si="38"/>
        <v>0</v>
      </c>
      <c r="X49" s="172">
        <f t="shared" si="38"/>
        <v>0</v>
      </c>
      <c r="Y49" s="172">
        <f t="shared" si="38"/>
        <v>0</v>
      </c>
      <c r="Z49" s="172">
        <f t="shared" si="38"/>
        <v>0</v>
      </c>
      <c r="AB49" s="177"/>
      <c r="AV49" s="177"/>
      <c r="AW49" s="177"/>
    </row>
    <row r="50" spans="1:49" x14ac:dyDescent="0.25">
      <c r="A50" s="14" t="s">
        <v>675</v>
      </c>
      <c r="B50" t="s">
        <v>721</v>
      </c>
      <c r="C50" s="172">
        <f>C46*[1]Protect!$B$12</f>
        <v>0</v>
      </c>
      <c r="D50" s="172">
        <f>D46*[1]Protect!$B$12</f>
        <v>0</v>
      </c>
      <c r="E50" s="172">
        <f>E46*[1]Protect!$B$12</f>
        <v>0</v>
      </c>
      <c r="F50" s="172">
        <f>F46*[1]Protect!$B$12</f>
        <v>0</v>
      </c>
      <c r="G50" s="172">
        <f>G46*[1]Protect!$B$12</f>
        <v>0</v>
      </c>
      <c r="H50" s="172">
        <f>H46*[1]Protect!$B$12</f>
        <v>0</v>
      </c>
      <c r="I50" s="172">
        <f>I46*[1]Protect!$B$12</f>
        <v>0</v>
      </c>
      <c r="J50" s="172">
        <f>J46*[1]Protect!$B$12</f>
        <v>0</v>
      </c>
      <c r="K50" s="172">
        <f>K46*[1]Protect!$B$12</f>
        <v>0</v>
      </c>
      <c r="L50" s="172">
        <f>L46*[1]Protect!$B$12</f>
        <v>0</v>
      </c>
      <c r="M50" s="172">
        <f>M46*[1]Protect!$B$12</f>
        <v>0</v>
      </c>
      <c r="N50" s="172">
        <f>N46*[1]Protect!$B$12</f>
        <v>0</v>
      </c>
      <c r="O50" s="172">
        <f>O46*[1]Protect!$B$12</f>
        <v>0</v>
      </c>
      <c r="P50" s="172">
        <f>P46*[1]Protect!$B$12</f>
        <v>0</v>
      </c>
      <c r="Q50" s="172">
        <f>Q46*[1]Protect!$B$12</f>
        <v>0</v>
      </c>
      <c r="R50" s="172">
        <f>R46*[1]Protect!$B$12</f>
        <v>0</v>
      </c>
      <c r="S50" s="172">
        <f>S46*[1]Protect!$B$12</f>
        <v>0</v>
      </c>
      <c r="T50" s="172">
        <f>T46*[1]Protect!$B$12</f>
        <v>0</v>
      </c>
      <c r="U50" s="172">
        <f>U46*[1]Protect!$B$12</f>
        <v>0</v>
      </c>
      <c r="V50" s="172">
        <f>V46*[1]Protect!$B$12</f>
        <v>0</v>
      </c>
      <c r="W50" s="172">
        <f>W46*[1]Protect!$B$12</f>
        <v>0</v>
      </c>
      <c r="X50" s="172">
        <f>X46*[1]Protect!$B$12</f>
        <v>0</v>
      </c>
      <c r="Y50" s="172">
        <f>Y46*[1]Protect!$B$12</f>
        <v>0</v>
      </c>
      <c r="Z50" s="172">
        <f>Z46*[1]Protect!$B$12</f>
        <v>0</v>
      </c>
      <c r="AB50" s="177"/>
      <c r="AV50" s="177"/>
      <c r="AW50" s="177"/>
    </row>
    <row r="51" spans="1:49" x14ac:dyDescent="0.25">
      <c r="A51" s="14" t="s">
        <v>677</v>
      </c>
      <c r="B51" t="s">
        <v>721</v>
      </c>
      <c r="C51" s="172">
        <f>C47*[1]Protect!$B$13</f>
        <v>0</v>
      </c>
      <c r="D51" s="172">
        <f>D47*[1]Protect!$B$13</f>
        <v>0</v>
      </c>
      <c r="E51" s="172">
        <f>E47*[1]Protect!$B$13</f>
        <v>0</v>
      </c>
      <c r="F51" s="172">
        <f>F47*[1]Protect!$B$13</f>
        <v>0</v>
      </c>
      <c r="G51" s="172">
        <f>G47*[1]Protect!$B$13</f>
        <v>0</v>
      </c>
      <c r="H51" s="172">
        <f>H47*[1]Protect!$B$13</f>
        <v>0</v>
      </c>
      <c r="I51" s="172">
        <f>I47*[1]Protect!$B$13</f>
        <v>0</v>
      </c>
      <c r="J51" s="172">
        <f>J47*[1]Protect!$B$13</f>
        <v>0</v>
      </c>
      <c r="K51" s="172">
        <f>K47*[1]Protect!$B$13</f>
        <v>0</v>
      </c>
      <c r="L51" s="172">
        <f>L47*[1]Protect!$B$13</f>
        <v>0</v>
      </c>
      <c r="M51" s="172">
        <f>M47*[1]Protect!$B$13</f>
        <v>0</v>
      </c>
      <c r="N51" s="172">
        <f>N47*[1]Protect!$B$13</f>
        <v>0</v>
      </c>
      <c r="O51" s="172">
        <f>O47*[1]Protect!$B$13</f>
        <v>0</v>
      </c>
      <c r="P51" s="172">
        <f>P47*[1]Protect!$B$13</f>
        <v>0</v>
      </c>
      <c r="Q51" s="172">
        <f>Q47*[1]Protect!$B$13</f>
        <v>0</v>
      </c>
      <c r="R51" s="172">
        <f>R47*[1]Protect!$B$13</f>
        <v>0</v>
      </c>
      <c r="S51" s="172">
        <f>S47*[1]Protect!$B$13</f>
        <v>0</v>
      </c>
      <c r="T51" s="172">
        <f>T47*[1]Protect!$B$13</f>
        <v>0</v>
      </c>
      <c r="U51" s="172">
        <f>U47*[1]Protect!$B$13</f>
        <v>0</v>
      </c>
      <c r="V51" s="172">
        <f>V47*[1]Protect!$B$13</f>
        <v>0</v>
      </c>
      <c r="W51" s="172">
        <f>W47*[1]Protect!$B$13</f>
        <v>0</v>
      </c>
      <c r="X51" s="172">
        <f>X47*[1]Protect!$B$13</f>
        <v>0</v>
      </c>
      <c r="Y51" s="172">
        <f>Y47*[1]Protect!$B$13</f>
        <v>0</v>
      </c>
      <c r="Z51" s="172">
        <f>Z47*[1]Protect!$B$13</f>
        <v>0</v>
      </c>
      <c r="AB51" s="177"/>
      <c r="AV51" s="177"/>
      <c r="AW51" s="177"/>
    </row>
    <row r="52" spans="1:49" x14ac:dyDescent="0.25">
      <c r="A52" s="14" t="s">
        <v>678</v>
      </c>
      <c r="B52" t="s">
        <v>721</v>
      </c>
      <c r="C52" s="172">
        <f>C48*[1]Protect!$B$14</f>
        <v>0</v>
      </c>
      <c r="D52" s="172">
        <f>D48*[1]Protect!$B$14</f>
        <v>0</v>
      </c>
      <c r="E52" s="172">
        <f>E48*[1]Protect!$B$14</f>
        <v>0</v>
      </c>
      <c r="F52" s="172">
        <f>F48*[1]Protect!$B$14</f>
        <v>0</v>
      </c>
      <c r="G52" s="172">
        <f>G48*[1]Protect!$B$14</f>
        <v>0</v>
      </c>
      <c r="H52" s="172">
        <f>H48*[1]Protect!$B$14</f>
        <v>0</v>
      </c>
      <c r="I52" s="172">
        <f>I48*[1]Protect!$B$14</f>
        <v>0</v>
      </c>
      <c r="J52" s="172">
        <f>J48*[1]Protect!$B$14</f>
        <v>0</v>
      </c>
      <c r="K52" s="172">
        <f>K48*[1]Protect!$B$14</f>
        <v>0</v>
      </c>
      <c r="L52" s="172">
        <f>L48*[1]Protect!$B$14</f>
        <v>0</v>
      </c>
      <c r="M52" s="172">
        <f>M48*[1]Protect!$B$14</f>
        <v>0</v>
      </c>
      <c r="N52" s="172">
        <f>N48*[1]Protect!$B$14</f>
        <v>0</v>
      </c>
      <c r="O52" s="172">
        <f>O48*[1]Protect!$B$14</f>
        <v>0</v>
      </c>
      <c r="P52" s="172">
        <f>P48*[1]Protect!$B$14</f>
        <v>0</v>
      </c>
      <c r="Q52" s="172">
        <f>Q48*[1]Protect!$B$14</f>
        <v>0</v>
      </c>
      <c r="R52" s="172">
        <f>R48*[1]Protect!$B$14</f>
        <v>0</v>
      </c>
      <c r="S52" s="172">
        <f>S48*[1]Protect!$B$14</f>
        <v>0</v>
      </c>
      <c r="T52" s="172">
        <f>T48*[1]Protect!$B$14</f>
        <v>0</v>
      </c>
      <c r="U52" s="172">
        <f>U48*[1]Protect!$B$14</f>
        <v>0</v>
      </c>
      <c r="V52" s="172">
        <f>V48*[1]Protect!$B$14</f>
        <v>0</v>
      </c>
      <c r="W52" s="172">
        <f>W48*[1]Protect!$B$14</f>
        <v>0</v>
      </c>
      <c r="X52" s="172">
        <f>X48*[1]Protect!$B$14</f>
        <v>0</v>
      </c>
      <c r="Y52" s="172">
        <f>Y48*[1]Protect!$B$14</f>
        <v>0</v>
      </c>
      <c r="Z52" s="172">
        <f>Z48*[1]Protect!$B$14</f>
        <v>0</v>
      </c>
      <c r="AV52" s="177"/>
      <c r="AW52" s="177"/>
    </row>
    <row r="53" spans="1:49" x14ac:dyDescent="0.25">
      <c r="A53" s="14" t="s">
        <v>1367</v>
      </c>
      <c r="B53" t="s">
        <v>721</v>
      </c>
      <c r="C53" s="172">
        <f>SUM(C50:C52)</f>
        <v>0</v>
      </c>
      <c r="D53" s="172">
        <f t="shared" ref="D53:Z53" si="39">SUM(D50:D52)</f>
        <v>0</v>
      </c>
      <c r="E53" s="172">
        <f t="shared" si="39"/>
        <v>0</v>
      </c>
      <c r="F53" s="172">
        <f t="shared" si="39"/>
        <v>0</v>
      </c>
      <c r="G53" s="172">
        <f t="shared" si="39"/>
        <v>0</v>
      </c>
      <c r="H53" s="172">
        <f t="shared" si="39"/>
        <v>0</v>
      </c>
      <c r="I53" s="172">
        <f t="shared" si="39"/>
        <v>0</v>
      </c>
      <c r="J53" s="172">
        <f t="shared" si="39"/>
        <v>0</v>
      </c>
      <c r="K53" s="172">
        <f t="shared" si="39"/>
        <v>0</v>
      </c>
      <c r="L53" s="172">
        <f t="shared" si="39"/>
        <v>0</v>
      </c>
      <c r="M53" s="172">
        <f t="shared" si="39"/>
        <v>0</v>
      </c>
      <c r="N53" s="172">
        <f t="shared" si="39"/>
        <v>0</v>
      </c>
      <c r="O53" s="172">
        <f t="shared" si="39"/>
        <v>0</v>
      </c>
      <c r="P53" s="172">
        <f t="shared" si="39"/>
        <v>0</v>
      </c>
      <c r="Q53" s="172">
        <f t="shared" si="39"/>
        <v>0</v>
      </c>
      <c r="R53" s="172">
        <f t="shared" si="39"/>
        <v>0</v>
      </c>
      <c r="S53" s="172">
        <f t="shared" si="39"/>
        <v>0</v>
      </c>
      <c r="T53" s="172">
        <f t="shared" si="39"/>
        <v>0</v>
      </c>
      <c r="U53" s="172">
        <f t="shared" si="39"/>
        <v>0</v>
      </c>
      <c r="V53" s="172">
        <f t="shared" si="39"/>
        <v>0</v>
      </c>
      <c r="W53" s="172">
        <f t="shared" si="39"/>
        <v>0</v>
      </c>
      <c r="X53" s="172">
        <f t="shared" si="39"/>
        <v>0</v>
      </c>
      <c r="Y53" s="172">
        <f t="shared" si="39"/>
        <v>0</v>
      </c>
      <c r="Z53" s="172">
        <f t="shared" si="39"/>
        <v>0</v>
      </c>
      <c r="AV53" s="177"/>
      <c r="AW53" s="177"/>
    </row>
    <row r="54" spans="1:49" x14ac:dyDescent="0.25">
      <c r="A54" s="14" t="s">
        <v>679</v>
      </c>
      <c r="B54" t="s">
        <v>721</v>
      </c>
      <c r="C54" s="172">
        <f>C49*[1]Protect!$B$15</f>
        <v>0</v>
      </c>
      <c r="D54" s="172">
        <f>D49*[1]Protect!$B$15</f>
        <v>0</v>
      </c>
      <c r="E54" s="172">
        <f>E49*[1]Protect!$B$15</f>
        <v>0</v>
      </c>
      <c r="F54" s="172">
        <f>F49*[1]Protect!$B$15</f>
        <v>0</v>
      </c>
      <c r="G54" s="172">
        <f>G49*[1]Protect!$B$15</f>
        <v>0</v>
      </c>
      <c r="H54" s="172">
        <f>H49*[1]Protect!$B$15</f>
        <v>0</v>
      </c>
      <c r="I54" s="172">
        <f>I49*[1]Protect!$B$15</f>
        <v>0</v>
      </c>
      <c r="J54" s="172">
        <f>J49*[1]Protect!$B$15</f>
        <v>0</v>
      </c>
      <c r="K54" s="172">
        <f>K49*[1]Protect!$B$15</f>
        <v>0</v>
      </c>
      <c r="L54" s="172">
        <f>L49*[1]Protect!$B$15</f>
        <v>0</v>
      </c>
      <c r="M54" s="172">
        <f>M49*[1]Protect!$B$15</f>
        <v>0</v>
      </c>
      <c r="N54" s="172">
        <f>N49*[1]Protect!$B$15</f>
        <v>0</v>
      </c>
      <c r="O54" s="172">
        <f>O49*[1]Protect!$B$15</f>
        <v>0</v>
      </c>
      <c r="P54" s="172">
        <f>P49*[1]Protect!$B$15</f>
        <v>0</v>
      </c>
      <c r="Q54" s="172">
        <f>Q49*[1]Protect!$B$15</f>
        <v>0</v>
      </c>
      <c r="R54" s="172">
        <f>R49*[1]Protect!$B$15</f>
        <v>0</v>
      </c>
      <c r="S54" s="172">
        <f>S49*[1]Protect!$B$15</f>
        <v>0</v>
      </c>
      <c r="T54" s="172">
        <f>T49*[1]Protect!$B$15</f>
        <v>0</v>
      </c>
      <c r="U54" s="172">
        <f>U49*[1]Protect!$B$15</f>
        <v>0</v>
      </c>
      <c r="V54" s="172">
        <f>V49*[1]Protect!$B$15</f>
        <v>0</v>
      </c>
      <c r="W54" s="172">
        <f>W49*[1]Protect!$B$15</f>
        <v>0</v>
      </c>
      <c r="X54" s="172">
        <f>X49*[1]Protect!$B$15</f>
        <v>0</v>
      </c>
      <c r="Y54" s="172">
        <f>Y49*[1]Protect!$B$15</f>
        <v>0</v>
      </c>
      <c r="Z54" s="172">
        <f>Z49*[1]Protect!$B$15</f>
        <v>0</v>
      </c>
      <c r="AV54" s="177"/>
      <c r="AW54" s="177"/>
    </row>
    <row r="55" spans="1:49" x14ac:dyDescent="0.25">
      <c r="A55" s="14" t="s">
        <v>681</v>
      </c>
      <c r="B55" t="s">
        <v>721</v>
      </c>
      <c r="C55" s="172">
        <f>C54+C53</f>
        <v>0</v>
      </c>
      <c r="D55" s="172">
        <f t="shared" ref="D55:Z55" si="40">D54+D53</f>
        <v>0</v>
      </c>
      <c r="E55" s="172">
        <f t="shared" si="40"/>
        <v>0</v>
      </c>
      <c r="F55" s="172">
        <f t="shared" si="40"/>
        <v>0</v>
      </c>
      <c r="G55" s="172">
        <f t="shared" si="40"/>
        <v>0</v>
      </c>
      <c r="H55" s="172">
        <f t="shared" si="40"/>
        <v>0</v>
      </c>
      <c r="I55" s="172">
        <f t="shared" si="40"/>
        <v>0</v>
      </c>
      <c r="J55" s="172">
        <f t="shared" si="40"/>
        <v>0</v>
      </c>
      <c r="K55" s="172">
        <f t="shared" si="40"/>
        <v>0</v>
      </c>
      <c r="L55" s="172">
        <f t="shared" si="40"/>
        <v>0</v>
      </c>
      <c r="M55" s="172">
        <f t="shared" si="40"/>
        <v>0</v>
      </c>
      <c r="N55" s="172">
        <f t="shared" si="40"/>
        <v>0</v>
      </c>
      <c r="O55" s="172">
        <f t="shared" si="40"/>
        <v>0</v>
      </c>
      <c r="P55" s="172">
        <f t="shared" si="40"/>
        <v>0</v>
      </c>
      <c r="Q55" s="172">
        <f t="shared" si="40"/>
        <v>0</v>
      </c>
      <c r="R55" s="172">
        <f t="shared" si="40"/>
        <v>0</v>
      </c>
      <c r="S55" s="172">
        <f t="shared" si="40"/>
        <v>0</v>
      </c>
      <c r="T55" s="172">
        <f t="shared" si="40"/>
        <v>0</v>
      </c>
      <c r="U55" s="172">
        <f t="shared" si="40"/>
        <v>0</v>
      </c>
      <c r="V55" s="172">
        <f t="shared" si="40"/>
        <v>0</v>
      </c>
      <c r="W55" s="172">
        <f t="shared" si="40"/>
        <v>0</v>
      </c>
      <c r="X55" s="172">
        <f t="shared" si="40"/>
        <v>0</v>
      </c>
      <c r="Y55" s="172">
        <f t="shared" si="40"/>
        <v>0</v>
      </c>
      <c r="Z55" s="172">
        <f t="shared" si="40"/>
        <v>0</v>
      </c>
      <c r="AV55" s="177"/>
      <c r="AW55" s="177"/>
    </row>
    <row r="56" spans="1:49" x14ac:dyDescent="0.25">
      <c r="A56" s="43" t="s">
        <v>722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V56" s="166"/>
      <c r="AW56" s="166"/>
    </row>
    <row r="57" spans="1:49" x14ac:dyDescent="0.25">
      <c r="A57" s="173" t="s">
        <v>684</v>
      </c>
      <c r="B57" t="s">
        <v>721</v>
      </c>
      <c r="C57" s="168">
        <f t="shared" ref="C57:Z57" si="41">COUNTIF(C153:C162,0)</f>
        <v>0</v>
      </c>
      <c r="D57" s="168">
        <f t="shared" si="41"/>
        <v>0</v>
      </c>
      <c r="E57" s="168">
        <f t="shared" si="41"/>
        <v>0</v>
      </c>
      <c r="F57" s="168">
        <f t="shared" si="41"/>
        <v>0</v>
      </c>
      <c r="G57" s="168">
        <f t="shared" si="41"/>
        <v>0</v>
      </c>
      <c r="H57" s="168">
        <f t="shared" si="41"/>
        <v>0</v>
      </c>
      <c r="I57" s="168">
        <f t="shared" si="41"/>
        <v>0</v>
      </c>
      <c r="J57" s="168">
        <f t="shared" si="41"/>
        <v>0</v>
      </c>
      <c r="K57" s="168">
        <f t="shared" si="41"/>
        <v>0</v>
      </c>
      <c r="L57" s="168">
        <f t="shared" si="41"/>
        <v>0</v>
      </c>
      <c r="M57" s="168">
        <f t="shared" si="41"/>
        <v>0</v>
      </c>
      <c r="N57" s="168">
        <f t="shared" si="41"/>
        <v>0</v>
      </c>
      <c r="O57" s="168">
        <f t="shared" si="41"/>
        <v>0</v>
      </c>
      <c r="P57" s="168">
        <f t="shared" si="41"/>
        <v>0</v>
      </c>
      <c r="Q57" s="168">
        <f t="shared" si="41"/>
        <v>0</v>
      </c>
      <c r="R57" s="168">
        <f t="shared" si="41"/>
        <v>0</v>
      </c>
      <c r="S57" s="168">
        <f t="shared" si="41"/>
        <v>0</v>
      </c>
      <c r="T57" s="168">
        <f t="shared" si="41"/>
        <v>0</v>
      </c>
      <c r="U57" s="168">
        <f t="shared" si="41"/>
        <v>0</v>
      </c>
      <c r="V57" s="168">
        <f t="shared" si="41"/>
        <v>0</v>
      </c>
      <c r="W57" s="168">
        <f t="shared" si="41"/>
        <v>0</v>
      </c>
      <c r="X57" s="168">
        <f t="shared" si="41"/>
        <v>0</v>
      </c>
      <c r="Y57" s="168">
        <f t="shared" si="41"/>
        <v>0</v>
      </c>
      <c r="Z57" s="168">
        <f t="shared" si="41"/>
        <v>0</v>
      </c>
      <c r="AV57" s="166"/>
      <c r="AW57" s="166"/>
    </row>
    <row r="58" spans="1:49" x14ac:dyDescent="0.25">
      <c r="A58" s="173" t="s">
        <v>686</v>
      </c>
      <c r="B58" t="s">
        <v>721</v>
      </c>
      <c r="C58" s="168">
        <f t="shared" ref="C58:Z58" si="42">COUNTIF(C153:C162,1)</f>
        <v>0</v>
      </c>
      <c r="D58" s="168">
        <f t="shared" si="42"/>
        <v>0</v>
      </c>
      <c r="E58" s="168">
        <f t="shared" si="42"/>
        <v>0</v>
      </c>
      <c r="F58" s="168">
        <f t="shared" si="42"/>
        <v>0</v>
      </c>
      <c r="G58" s="168">
        <f t="shared" si="42"/>
        <v>0</v>
      </c>
      <c r="H58" s="168">
        <f t="shared" si="42"/>
        <v>0</v>
      </c>
      <c r="I58" s="168">
        <f t="shared" si="42"/>
        <v>0</v>
      </c>
      <c r="J58" s="168">
        <f t="shared" si="42"/>
        <v>0</v>
      </c>
      <c r="K58" s="168">
        <f t="shared" si="42"/>
        <v>0</v>
      </c>
      <c r="L58" s="168">
        <f t="shared" si="42"/>
        <v>0</v>
      </c>
      <c r="M58" s="168">
        <f t="shared" si="42"/>
        <v>0</v>
      </c>
      <c r="N58" s="168">
        <f t="shared" si="42"/>
        <v>0</v>
      </c>
      <c r="O58" s="168">
        <f t="shared" si="42"/>
        <v>0</v>
      </c>
      <c r="P58" s="168">
        <f t="shared" si="42"/>
        <v>0</v>
      </c>
      <c r="Q58" s="168">
        <f t="shared" si="42"/>
        <v>0</v>
      </c>
      <c r="R58" s="168">
        <f t="shared" si="42"/>
        <v>0</v>
      </c>
      <c r="S58" s="168">
        <f t="shared" si="42"/>
        <v>0</v>
      </c>
      <c r="T58" s="168">
        <f t="shared" si="42"/>
        <v>0</v>
      </c>
      <c r="U58" s="168">
        <f t="shared" si="42"/>
        <v>0</v>
      </c>
      <c r="V58" s="168">
        <f t="shared" si="42"/>
        <v>0</v>
      </c>
      <c r="W58" s="168">
        <f t="shared" si="42"/>
        <v>0</v>
      </c>
      <c r="X58" s="168">
        <f t="shared" si="42"/>
        <v>0</v>
      </c>
      <c r="Y58" s="168">
        <f t="shared" si="42"/>
        <v>0</v>
      </c>
      <c r="Z58" s="168">
        <f t="shared" si="42"/>
        <v>0</v>
      </c>
      <c r="AV58" s="166"/>
      <c r="AW58" s="166"/>
    </row>
    <row r="59" spans="1:49" x14ac:dyDescent="0.25">
      <c r="A59" s="173" t="s">
        <v>687</v>
      </c>
      <c r="B59" t="s">
        <v>721</v>
      </c>
      <c r="C59" s="168">
        <f t="shared" ref="C59:Z59" si="43">COUNTIF(C153:C162,0.5)</f>
        <v>0</v>
      </c>
      <c r="D59" s="168">
        <f t="shared" si="43"/>
        <v>0</v>
      </c>
      <c r="E59" s="168">
        <f t="shared" si="43"/>
        <v>0</v>
      </c>
      <c r="F59" s="168">
        <f t="shared" si="43"/>
        <v>0</v>
      </c>
      <c r="G59" s="168">
        <f t="shared" si="43"/>
        <v>0</v>
      </c>
      <c r="H59" s="168">
        <f t="shared" si="43"/>
        <v>0</v>
      </c>
      <c r="I59" s="168">
        <f t="shared" si="43"/>
        <v>0</v>
      </c>
      <c r="J59" s="168">
        <f t="shared" si="43"/>
        <v>0</v>
      </c>
      <c r="K59" s="168">
        <f t="shared" si="43"/>
        <v>0</v>
      </c>
      <c r="L59" s="168">
        <f t="shared" si="43"/>
        <v>0</v>
      </c>
      <c r="M59" s="168">
        <f t="shared" si="43"/>
        <v>0</v>
      </c>
      <c r="N59" s="168">
        <f t="shared" si="43"/>
        <v>0</v>
      </c>
      <c r="O59" s="168">
        <f t="shared" si="43"/>
        <v>0</v>
      </c>
      <c r="P59" s="168">
        <f t="shared" si="43"/>
        <v>0</v>
      </c>
      <c r="Q59" s="168">
        <f t="shared" si="43"/>
        <v>0</v>
      </c>
      <c r="R59" s="168">
        <f t="shared" si="43"/>
        <v>0</v>
      </c>
      <c r="S59" s="168">
        <f t="shared" si="43"/>
        <v>0</v>
      </c>
      <c r="T59" s="168">
        <f t="shared" si="43"/>
        <v>0</v>
      </c>
      <c r="U59" s="168">
        <f t="shared" si="43"/>
        <v>0</v>
      </c>
      <c r="V59" s="168">
        <f t="shared" si="43"/>
        <v>0</v>
      </c>
      <c r="W59" s="168">
        <f t="shared" si="43"/>
        <v>0</v>
      </c>
      <c r="X59" s="168">
        <f t="shared" si="43"/>
        <v>0</v>
      </c>
      <c r="Y59" s="168">
        <f t="shared" si="43"/>
        <v>0</v>
      </c>
      <c r="Z59" s="168">
        <f t="shared" si="43"/>
        <v>0</v>
      </c>
      <c r="AV59" s="166"/>
      <c r="AW59" s="166"/>
    </row>
    <row r="60" spans="1:49" x14ac:dyDescent="0.25">
      <c r="A60" s="173" t="s">
        <v>688</v>
      </c>
      <c r="B60" t="s">
        <v>721</v>
      </c>
      <c r="C60" s="62">
        <f>IF(AND(C57=0,(C58+C59)&gt;0),1,IF(AND(C57&gt;0,(C58+C59)&gt;0),C57+1,C57))</f>
        <v>0</v>
      </c>
      <c r="D60" s="62">
        <f t="shared" ref="D60:Z60" si="44">IF(AND(D57=0,(D58+D59)&gt;0),1,IF(AND(D57&gt;0,(D58+D59)&gt;0),D57+1,D57))</f>
        <v>0</v>
      </c>
      <c r="E60" s="62">
        <f t="shared" si="44"/>
        <v>0</v>
      </c>
      <c r="F60" s="62">
        <f t="shared" si="44"/>
        <v>0</v>
      </c>
      <c r="G60" s="62">
        <f t="shared" si="44"/>
        <v>0</v>
      </c>
      <c r="H60" s="62">
        <f t="shared" si="44"/>
        <v>0</v>
      </c>
      <c r="I60" s="62">
        <f t="shared" si="44"/>
        <v>0</v>
      </c>
      <c r="J60" s="62">
        <f t="shared" si="44"/>
        <v>0</v>
      </c>
      <c r="K60" s="62">
        <f t="shared" si="44"/>
        <v>0</v>
      </c>
      <c r="L60" s="62">
        <f t="shared" si="44"/>
        <v>0</v>
      </c>
      <c r="M60" s="62">
        <f t="shared" si="44"/>
        <v>0</v>
      </c>
      <c r="N60" s="62">
        <f t="shared" si="44"/>
        <v>0</v>
      </c>
      <c r="O60" s="62">
        <f t="shared" si="44"/>
        <v>0</v>
      </c>
      <c r="P60" s="62">
        <f t="shared" si="44"/>
        <v>0</v>
      </c>
      <c r="Q60" s="62">
        <f t="shared" si="44"/>
        <v>0</v>
      </c>
      <c r="R60" s="62">
        <f t="shared" si="44"/>
        <v>0</v>
      </c>
      <c r="S60" s="62">
        <f t="shared" si="44"/>
        <v>0</v>
      </c>
      <c r="T60" s="62">
        <f t="shared" si="44"/>
        <v>0</v>
      </c>
      <c r="U60" s="62">
        <f t="shared" si="44"/>
        <v>0</v>
      </c>
      <c r="V60" s="62">
        <f t="shared" si="44"/>
        <v>0</v>
      </c>
      <c r="W60" s="62">
        <f t="shared" si="44"/>
        <v>0</v>
      </c>
      <c r="X60" s="62">
        <f t="shared" si="44"/>
        <v>0</v>
      </c>
      <c r="Y60" s="62">
        <f t="shared" si="44"/>
        <v>0</v>
      </c>
      <c r="Z60" s="62">
        <f t="shared" si="44"/>
        <v>0</v>
      </c>
      <c r="AV60" s="166"/>
      <c r="AW60" s="166"/>
    </row>
    <row r="61" spans="1:49" x14ac:dyDescent="0.25">
      <c r="A61" s="173" t="s">
        <v>693</v>
      </c>
      <c r="B61" t="s">
        <v>721</v>
      </c>
      <c r="C61" s="62">
        <f t="shared" ref="C61:Z61" si="45">IF(COUNTIF(C153:C162,4)&gt;0,1,0)</f>
        <v>0</v>
      </c>
      <c r="D61" s="62">
        <f t="shared" si="45"/>
        <v>0</v>
      </c>
      <c r="E61" s="62">
        <f t="shared" si="45"/>
        <v>0</v>
      </c>
      <c r="F61" s="62">
        <f t="shared" si="45"/>
        <v>0</v>
      </c>
      <c r="G61" s="62">
        <f t="shared" si="45"/>
        <v>0</v>
      </c>
      <c r="H61" s="62">
        <f t="shared" si="45"/>
        <v>0</v>
      </c>
      <c r="I61" s="62">
        <f t="shared" si="45"/>
        <v>0</v>
      </c>
      <c r="J61" s="62">
        <f t="shared" si="45"/>
        <v>0</v>
      </c>
      <c r="K61" s="62">
        <f t="shared" si="45"/>
        <v>0</v>
      </c>
      <c r="L61" s="62">
        <f t="shared" si="45"/>
        <v>0</v>
      </c>
      <c r="M61" s="62">
        <f t="shared" si="45"/>
        <v>0</v>
      </c>
      <c r="N61" s="62">
        <f t="shared" si="45"/>
        <v>0</v>
      </c>
      <c r="O61" s="62">
        <f t="shared" si="45"/>
        <v>0</v>
      </c>
      <c r="P61" s="62">
        <f t="shared" si="45"/>
        <v>0</v>
      </c>
      <c r="Q61" s="62">
        <f t="shared" si="45"/>
        <v>0</v>
      </c>
      <c r="R61" s="62">
        <f t="shared" si="45"/>
        <v>0</v>
      </c>
      <c r="S61" s="62">
        <f t="shared" si="45"/>
        <v>0</v>
      </c>
      <c r="T61" s="62">
        <f t="shared" si="45"/>
        <v>0</v>
      </c>
      <c r="U61" s="62">
        <f t="shared" si="45"/>
        <v>0</v>
      </c>
      <c r="V61" s="62">
        <f t="shared" si="45"/>
        <v>0</v>
      </c>
      <c r="W61" s="62">
        <f t="shared" si="45"/>
        <v>0</v>
      </c>
      <c r="X61" s="62">
        <f t="shared" si="45"/>
        <v>0</v>
      </c>
      <c r="Y61" s="62">
        <f t="shared" si="45"/>
        <v>0</v>
      </c>
      <c r="Z61" s="62">
        <f t="shared" si="45"/>
        <v>0</v>
      </c>
      <c r="AV61" s="166"/>
      <c r="AW61" s="166"/>
    </row>
    <row r="62" spans="1:49" x14ac:dyDescent="0.25">
      <c r="A62" s="173" t="s">
        <v>698</v>
      </c>
      <c r="B62" t="s">
        <v>721</v>
      </c>
      <c r="C62" s="168">
        <f t="shared" ref="C62:Z62" si="46">COUNTIF(C153:C162,5)</f>
        <v>0</v>
      </c>
      <c r="D62" s="168">
        <f t="shared" si="46"/>
        <v>0</v>
      </c>
      <c r="E62" s="168">
        <f t="shared" si="46"/>
        <v>0</v>
      </c>
      <c r="F62" s="168">
        <f t="shared" si="46"/>
        <v>0</v>
      </c>
      <c r="G62" s="168">
        <f t="shared" si="46"/>
        <v>0</v>
      </c>
      <c r="H62" s="168">
        <f t="shared" si="46"/>
        <v>0</v>
      </c>
      <c r="I62" s="168">
        <f t="shared" si="46"/>
        <v>0</v>
      </c>
      <c r="J62" s="168">
        <f t="shared" si="46"/>
        <v>0</v>
      </c>
      <c r="K62" s="168">
        <f t="shared" si="46"/>
        <v>0</v>
      </c>
      <c r="L62" s="168">
        <f t="shared" si="46"/>
        <v>0</v>
      </c>
      <c r="M62" s="168">
        <f t="shared" si="46"/>
        <v>0</v>
      </c>
      <c r="N62" s="168">
        <f t="shared" si="46"/>
        <v>0</v>
      </c>
      <c r="O62" s="168">
        <f t="shared" si="46"/>
        <v>0</v>
      </c>
      <c r="P62" s="168">
        <f t="shared" si="46"/>
        <v>0</v>
      </c>
      <c r="Q62" s="168">
        <f t="shared" si="46"/>
        <v>0</v>
      </c>
      <c r="R62" s="168">
        <f t="shared" si="46"/>
        <v>0</v>
      </c>
      <c r="S62" s="168">
        <f t="shared" si="46"/>
        <v>0</v>
      </c>
      <c r="T62" s="168">
        <f t="shared" si="46"/>
        <v>0</v>
      </c>
      <c r="U62" s="168">
        <f t="shared" si="46"/>
        <v>0</v>
      </c>
      <c r="V62" s="168">
        <f t="shared" si="46"/>
        <v>0</v>
      </c>
      <c r="W62" s="168">
        <f t="shared" si="46"/>
        <v>0</v>
      </c>
      <c r="X62" s="168">
        <f t="shared" si="46"/>
        <v>0</v>
      </c>
      <c r="Y62" s="168">
        <f t="shared" si="46"/>
        <v>0</v>
      </c>
      <c r="Z62" s="168">
        <f t="shared" si="46"/>
        <v>0</v>
      </c>
      <c r="AV62" s="166"/>
      <c r="AW62" s="166"/>
    </row>
    <row r="63" spans="1:49" x14ac:dyDescent="0.25">
      <c r="A63" s="173" t="s">
        <v>701</v>
      </c>
      <c r="B63" t="s">
        <v>721</v>
      </c>
      <c r="C63" s="62">
        <f>IF(Protection!C62&gt;0,Scénario!$K$58,0)</f>
        <v>0</v>
      </c>
      <c r="D63" s="62">
        <f>IF(Protection!D62&gt;0,Scénario!$K$58,0)</f>
        <v>0</v>
      </c>
      <c r="E63" s="62">
        <f>IF(Protection!E62&gt;0,Scénario!$K$58,0)</f>
        <v>0</v>
      </c>
      <c r="F63" s="62">
        <f>IF(Protection!F62&gt;0,Scénario!$K$58,0)</f>
        <v>0</v>
      </c>
      <c r="G63" s="62">
        <f>IF(Protection!G62&gt;0,Scénario!$K$58,0)</f>
        <v>0</v>
      </c>
      <c r="H63" s="62">
        <f>IF(Protection!H62&gt;0,Scénario!$K$58,0)</f>
        <v>0</v>
      </c>
      <c r="I63" s="62">
        <f>IF(Protection!I62&gt;0,Scénario!$K$58,0)</f>
        <v>0</v>
      </c>
      <c r="J63" s="62">
        <f>IF(Protection!J62&gt;0,Scénario!$K$58,0)</f>
        <v>0</v>
      </c>
      <c r="K63" s="62">
        <f>IF(Protection!K62&gt;0,Scénario!$K$58,0)</f>
        <v>0</v>
      </c>
      <c r="L63" s="62">
        <f>IF(Protection!L62&gt;0,Scénario!$K$58,0)</f>
        <v>0</v>
      </c>
      <c r="M63" s="62">
        <f>IF(Protection!M62&gt;0,Scénario!$K$58,0)</f>
        <v>0</v>
      </c>
      <c r="N63" s="62">
        <f>IF(Protection!N62&gt;0,Scénario!$K$58,0)</f>
        <v>0</v>
      </c>
      <c r="O63" s="62">
        <f>IF(Protection!O62&gt;0,Scénario!$K$58,0)</f>
        <v>0</v>
      </c>
      <c r="P63" s="62">
        <f>IF(Protection!P62&gt;0,Scénario!$K$58,0)</f>
        <v>0</v>
      </c>
      <c r="Q63" s="62">
        <f>IF(Protection!Q62&gt;0,Scénario!$K$58,0)</f>
        <v>0</v>
      </c>
      <c r="R63" s="62">
        <f>IF(Protection!R62&gt;0,Scénario!$K$58,0)</f>
        <v>0</v>
      </c>
      <c r="S63" s="62">
        <f>IF(Protection!S62&gt;0,Scénario!$K$58,0)</f>
        <v>0</v>
      </c>
      <c r="T63" s="62">
        <f>IF(Protection!T62&gt;0,Scénario!$K$58,0)</f>
        <v>0</v>
      </c>
      <c r="U63" s="62">
        <f>IF(Protection!U62&gt;0,Scénario!$K$58,0)</f>
        <v>0</v>
      </c>
      <c r="V63" s="62">
        <f>IF(Protection!V62&gt;0,Scénario!$K$58,0)</f>
        <v>0</v>
      </c>
      <c r="W63" s="62">
        <f>IF(Protection!W62&gt;0,Scénario!$K$58,0)</f>
        <v>0</v>
      </c>
      <c r="X63" s="62">
        <f>IF(Protection!X62&gt;0,Scénario!$K$58,0)</f>
        <v>0</v>
      </c>
      <c r="Y63" s="62">
        <f>IF(Protection!Y62&gt;0,Scénario!$K$58,0)</f>
        <v>0</v>
      </c>
      <c r="Z63" s="62">
        <f>IF(Protection!Z62&gt;0,Scénario!$K$58,0)</f>
        <v>0</v>
      </c>
      <c r="AV63" s="166"/>
      <c r="AW63" s="166"/>
    </row>
    <row r="64" spans="1:49" x14ac:dyDescent="0.25">
      <c r="A64" s="173" t="s">
        <v>704</v>
      </c>
      <c r="B64" t="s">
        <v>721</v>
      </c>
      <c r="C64" s="62">
        <f>C60+C61+C63</f>
        <v>0</v>
      </c>
      <c r="D64" s="62">
        <f t="shared" ref="D64:Z64" si="47">D60+D61+D63</f>
        <v>0</v>
      </c>
      <c r="E64" s="62">
        <f t="shared" si="47"/>
        <v>0</v>
      </c>
      <c r="F64" s="62">
        <f t="shared" si="47"/>
        <v>0</v>
      </c>
      <c r="G64" s="62">
        <f t="shared" si="47"/>
        <v>0</v>
      </c>
      <c r="H64" s="62">
        <f t="shared" si="47"/>
        <v>0</v>
      </c>
      <c r="I64" s="62">
        <f t="shared" si="47"/>
        <v>0</v>
      </c>
      <c r="J64" s="62">
        <f t="shared" si="47"/>
        <v>0</v>
      </c>
      <c r="K64" s="62">
        <f t="shared" si="47"/>
        <v>0</v>
      </c>
      <c r="L64" s="62">
        <f t="shared" si="47"/>
        <v>0</v>
      </c>
      <c r="M64" s="62">
        <f t="shared" si="47"/>
        <v>0</v>
      </c>
      <c r="N64" s="62">
        <f t="shared" si="47"/>
        <v>0</v>
      </c>
      <c r="O64" s="62">
        <f t="shared" si="47"/>
        <v>0</v>
      </c>
      <c r="P64" s="62">
        <f t="shared" si="47"/>
        <v>0</v>
      </c>
      <c r="Q64" s="62">
        <f t="shared" si="47"/>
        <v>0</v>
      </c>
      <c r="R64" s="62">
        <f t="shared" si="47"/>
        <v>0</v>
      </c>
      <c r="S64" s="62">
        <f t="shared" si="47"/>
        <v>0</v>
      </c>
      <c r="T64" s="62">
        <f t="shared" si="47"/>
        <v>0</v>
      </c>
      <c r="U64" s="62">
        <f t="shared" si="47"/>
        <v>0</v>
      </c>
      <c r="V64" s="62">
        <f t="shared" si="47"/>
        <v>0</v>
      </c>
      <c r="W64" s="62">
        <f t="shared" si="47"/>
        <v>0</v>
      </c>
      <c r="X64" s="62">
        <f t="shared" si="47"/>
        <v>0</v>
      </c>
      <c r="Y64" s="62">
        <f t="shared" si="47"/>
        <v>0</v>
      </c>
      <c r="Z64" s="62">
        <f t="shared" si="47"/>
        <v>0</v>
      </c>
      <c r="AV64" s="166"/>
      <c r="AW64" s="166"/>
    </row>
    <row r="65" spans="1:49" x14ac:dyDescent="0.25">
      <c r="A65" s="173"/>
      <c r="AV65" s="166"/>
      <c r="AW65" s="166"/>
    </row>
    <row r="66" spans="1:49" x14ac:dyDescent="0.25">
      <c r="B66" s="178"/>
      <c r="AV66" s="166"/>
      <c r="AW66" s="166"/>
    </row>
    <row r="67" spans="1:49" x14ac:dyDescent="0.25">
      <c r="A67" s="40" t="s">
        <v>94</v>
      </c>
      <c r="C67" s="33">
        <v>1</v>
      </c>
      <c r="D67" s="33">
        <v>2</v>
      </c>
      <c r="E67" s="33">
        <v>3</v>
      </c>
      <c r="F67" s="33">
        <v>4</v>
      </c>
      <c r="G67" s="33">
        <v>5</v>
      </c>
      <c r="H67" s="33">
        <v>6</v>
      </c>
      <c r="I67" s="33">
        <v>7</v>
      </c>
      <c r="J67" s="33">
        <v>8</v>
      </c>
      <c r="K67" s="33">
        <v>9</v>
      </c>
      <c r="L67" s="33">
        <v>10</v>
      </c>
      <c r="M67" s="33">
        <v>11</v>
      </c>
      <c r="N67" s="33">
        <v>12</v>
      </c>
      <c r="O67" s="33">
        <v>13</v>
      </c>
      <c r="P67" s="33">
        <v>14</v>
      </c>
      <c r="Q67" s="33">
        <v>15</v>
      </c>
      <c r="R67" s="33">
        <v>16</v>
      </c>
      <c r="S67" s="33">
        <v>17</v>
      </c>
      <c r="T67" s="33">
        <v>18</v>
      </c>
      <c r="U67" s="33">
        <v>19</v>
      </c>
      <c r="V67" s="33">
        <v>20</v>
      </c>
      <c r="W67" s="33">
        <v>21</v>
      </c>
      <c r="X67" s="33">
        <v>22</v>
      </c>
      <c r="Y67" s="33">
        <v>23</v>
      </c>
      <c r="Z67" s="33">
        <v>24</v>
      </c>
      <c r="AA67" s="176" t="s">
        <v>723</v>
      </c>
      <c r="AV67" s="166"/>
      <c r="AW67" s="166"/>
    </row>
    <row r="68" spans="1:49" x14ac:dyDescent="0.25">
      <c r="A68" s="40" t="s">
        <v>724</v>
      </c>
      <c r="B68" s="30" t="str">
        <f>CdTrp1!A52</f>
        <v xml:space="preserve">Vaches </v>
      </c>
      <c r="C68" s="168">
        <f>IF($AA68=0,99,IF(C81&gt;3,CdTrp1!B76,CdTrp1!B52))</f>
        <v>1</v>
      </c>
      <c r="D68" s="168">
        <f>IF($AA68=0,99,IF(D81&gt;3,CdTrp1!C76,CdTrp1!C52))</f>
        <v>1</v>
      </c>
      <c r="E68" s="168">
        <f>IF($AA68=0,99,IF(E81&gt;3,CdTrp1!D76,CdTrp1!D52))</f>
        <v>1</v>
      </c>
      <c r="F68" s="168">
        <f>IF($AA68=0,99,IF(F81&gt;3,CdTrp1!E76,CdTrp1!E52))</f>
        <v>1</v>
      </c>
      <c r="G68" s="168">
        <f>IF($AA68=0,99,IF(G81&gt;3,CdTrp1!F76,CdTrp1!F52))</f>
        <v>0</v>
      </c>
      <c r="H68" s="168">
        <f>IF($AA68=0,99,IF(H81&gt;3,CdTrp1!G76,CdTrp1!G52))</f>
        <v>0</v>
      </c>
      <c r="I68" s="168">
        <f>IF($AA68=0,99,IF(I81&gt;3,CdTrp1!H76,CdTrp1!H52))</f>
        <v>0</v>
      </c>
      <c r="J68" s="168">
        <f>IF($AA68=0,99,IF(J81&gt;3,CdTrp1!I76,CdTrp1!I52))</f>
        <v>0</v>
      </c>
      <c r="K68" s="168">
        <f>IF($AA68=0,99,IF(K81&gt;3,CdTrp1!J76,CdTrp1!J52))</f>
        <v>0</v>
      </c>
      <c r="L68" s="168">
        <f>IF($AA68=0,99,IF(L81&gt;3,CdTrp1!K76,CdTrp1!K52))</f>
        <v>0</v>
      </c>
      <c r="M68" s="168">
        <f>IF($AA68=0,99,IF(M81&gt;3,CdTrp1!L76,CdTrp1!L52))</f>
        <v>0</v>
      </c>
      <c r="N68" s="168">
        <f>IF($AA68=0,99,IF(N81&gt;3,CdTrp1!M76,CdTrp1!M52))</f>
        <v>0</v>
      </c>
      <c r="O68" s="168">
        <f>IF($AA68=0,99,IF(O81&gt;3,CdTrp1!N76,CdTrp1!N52))</f>
        <v>0</v>
      </c>
      <c r="P68" s="168">
        <f>IF($AA68=0,99,IF(P81&gt;3,CdTrp1!O76,CdTrp1!O52))</f>
        <v>0</v>
      </c>
      <c r="Q68" s="168">
        <f>IF($AA68=0,99,IF(Q81&gt;3,CdTrp1!P76,CdTrp1!P52))</f>
        <v>0</v>
      </c>
      <c r="R68" s="168">
        <f>IF($AA68=0,99,IF(R81&gt;3,CdTrp1!Q76,CdTrp1!Q52))</f>
        <v>0</v>
      </c>
      <c r="S68" s="168">
        <f>IF($AA68=0,99,IF(S81&gt;3,CdTrp1!R76,CdTrp1!R52))</f>
        <v>0</v>
      </c>
      <c r="T68" s="168">
        <f>IF($AA68=0,99,IF(T81&gt;3,CdTrp1!S76,CdTrp1!S52))</f>
        <v>0</v>
      </c>
      <c r="U68" s="168">
        <f>IF($AA68=0,99,IF(U81&gt;3,CdTrp1!T76,CdTrp1!T52))</f>
        <v>0</v>
      </c>
      <c r="V68" s="168">
        <f>IF($AA68=0,99,IF(V81&gt;3,CdTrp1!U76,CdTrp1!U52))</f>
        <v>0</v>
      </c>
      <c r="W68" s="168">
        <f>IF($AA68=0,99,IF(W81&gt;3,CdTrp1!V76,CdTrp1!V52))</f>
        <v>1</v>
      </c>
      <c r="X68" s="168">
        <f>IF($AA68=0,99,IF(X81&gt;3,CdTrp1!W76,CdTrp1!W52))</f>
        <v>1</v>
      </c>
      <c r="Y68" s="168">
        <f>IF($AA68=0,99,IF(Y81&gt;3,CdTrp1!X76,CdTrp1!X52))</f>
        <v>1</v>
      </c>
      <c r="Z68" s="168">
        <f>IF($AA68=0,99,IF(Z81&gt;3,CdTrp1!Y76,CdTrp1!Y52))</f>
        <v>1</v>
      </c>
      <c r="AA68" s="177">
        <f>SUM(CdTrp1!B15:Y15)/24</f>
        <v>32</v>
      </c>
      <c r="AD68" s="15"/>
      <c r="AE68" s="177"/>
      <c r="AF68" s="177"/>
      <c r="AG68" s="177"/>
      <c r="AH68" s="177"/>
      <c r="AI68" s="177"/>
    </row>
    <row r="69" spans="1:49" x14ac:dyDescent="0.25">
      <c r="B69" s="251" t="str">
        <f>CdTrp1!A53</f>
        <v>Génisses 24 mois</v>
      </c>
      <c r="C69" s="168">
        <f>IF($AA69=0,99,IF(C82&gt;3,CdTrp1!B77,CdTrp1!B53))</f>
        <v>1</v>
      </c>
      <c r="D69" s="168">
        <f>IF($AA69=0,99,IF(D82&gt;3,CdTrp1!C77,CdTrp1!C53))</f>
        <v>1</v>
      </c>
      <c r="E69" s="168">
        <f>IF($AA69=0,99,IF(E82&gt;3,CdTrp1!D77,CdTrp1!D53))</f>
        <v>1</v>
      </c>
      <c r="F69" s="168">
        <f>IF($AA69=0,99,IF(F82&gt;3,CdTrp1!E77,CdTrp1!E53))</f>
        <v>1</v>
      </c>
      <c r="G69" s="168">
        <f>IF($AA69=0,99,IF(G82&gt;3,CdTrp1!F77,CdTrp1!F53))</f>
        <v>0.5</v>
      </c>
      <c r="H69" s="168">
        <f>IF($AA69=0,99,IF(H82&gt;3,CdTrp1!G77,CdTrp1!G53))</f>
        <v>0.5</v>
      </c>
      <c r="I69" s="168">
        <f>IF($AA69=0,99,IF(I82&gt;3,CdTrp1!H77,CdTrp1!H53))</f>
        <v>0</v>
      </c>
      <c r="J69" s="168">
        <f>IF($AA69=0,99,IF(J82&gt;3,CdTrp1!I77,CdTrp1!I53))</f>
        <v>0</v>
      </c>
      <c r="K69" s="168">
        <f>IF($AA69=0,99,IF(K82&gt;3,CdTrp1!J77,CdTrp1!J53))</f>
        <v>0</v>
      </c>
      <c r="L69" s="168">
        <f>IF($AA69=0,99,IF(L82&gt;3,CdTrp1!K77,CdTrp1!K53))</f>
        <v>0</v>
      </c>
      <c r="M69" s="168">
        <f>IF($AA69=0,99,IF(M82&gt;3,CdTrp1!L77,CdTrp1!L53))</f>
        <v>0</v>
      </c>
      <c r="N69" s="168">
        <f>IF($AA69=0,99,IF(N82&gt;3,CdTrp1!M77,CdTrp1!M53))</f>
        <v>0</v>
      </c>
      <c r="O69" s="168">
        <f>IF($AA69=0,99,IF(O82&gt;3,CdTrp1!N77,CdTrp1!N53))</f>
        <v>0</v>
      </c>
      <c r="P69" s="168">
        <f>IF($AA69=0,99,IF(P82&gt;3,CdTrp1!O77,CdTrp1!O53))</f>
        <v>0</v>
      </c>
      <c r="Q69" s="168">
        <f>IF($AA69=0,99,IF(Q82&gt;3,CdTrp1!P77,CdTrp1!P53))</f>
        <v>0</v>
      </c>
      <c r="R69" s="168">
        <f>IF($AA69=0,99,IF(R82&gt;3,CdTrp1!Q77,CdTrp1!Q53))</f>
        <v>0</v>
      </c>
      <c r="S69" s="168">
        <f>IF($AA69=0,99,IF(S82&gt;3,CdTrp1!R77,CdTrp1!R53))</f>
        <v>0</v>
      </c>
      <c r="T69" s="168">
        <f>IF($AA69=0,99,IF(T82&gt;3,CdTrp1!S77,CdTrp1!S53))</f>
        <v>0</v>
      </c>
      <c r="U69" s="168">
        <f>IF($AA69=0,99,IF(U82&gt;3,CdTrp1!T77,CdTrp1!T53))</f>
        <v>0</v>
      </c>
      <c r="V69" s="168">
        <f>IF($AA69=0,99,IF(V82&gt;3,CdTrp1!U77,CdTrp1!U53))</f>
        <v>0</v>
      </c>
      <c r="W69" s="168">
        <f>IF($AA69=0,99,IF(W82&gt;3,CdTrp1!V77,CdTrp1!V53))</f>
        <v>0.5</v>
      </c>
      <c r="X69" s="168">
        <f>IF($AA69=0,99,IF(X82&gt;3,CdTrp1!W77,CdTrp1!W53))</f>
        <v>1</v>
      </c>
      <c r="Y69" s="168">
        <f>IF($AA69=0,99,IF(Y82&gt;3,CdTrp1!X77,CdTrp1!X53))</f>
        <v>1</v>
      </c>
      <c r="Z69" s="168">
        <f>IF($AA69=0,99,IF(Z82&gt;3,CdTrp1!Y77,CdTrp1!Y53))</f>
        <v>1</v>
      </c>
      <c r="AA69" s="177">
        <f>SUM(CdTrp1!B16:Y16)/24</f>
        <v>9.5999999999999961</v>
      </c>
      <c r="AD69" s="15"/>
      <c r="AU69" s="179"/>
    </row>
    <row r="70" spans="1:49" x14ac:dyDescent="0.25">
      <c r="B70" s="251" t="str">
        <f>CdTrp1!A54</f>
        <v>Génisses jeunes</v>
      </c>
      <c r="C70" s="168">
        <f>IF($AA70=0,99,IF(C83&gt;3,CdTrp1!B78,CdTrp1!B54))</f>
        <v>1</v>
      </c>
      <c r="D70" s="168">
        <f>IF($AA70=0,99,IF(D83&gt;3,CdTrp1!C78,CdTrp1!C54))</f>
        <v>1</v>
      </c>
      <c r="E70" s="168">
        <f>IF($AA70=0,99,IF(E83&gt;3,CdTrp1!D78,CdTrp1!D54))</f>
        <v>1</v>
      </c>
      <c r="F70" s="168">
        <f>IF($AA70=0,99,IF(F83&gt;3,CdTrp1!E78,CdTrp1!E54))</f>
        <v>1</v>
      </c>
      <c r="G70" s="168">
        <f>IF($AA70=0,99,IF(G83&gt;3,CdTrp1!F78,CdTrp1!F54))</f>
        <v>1</v>
      </c>
      <c r="H70" s="168">
        <f>IF($AA70=0,99,IF(H83&gt;3,CdTrp1!G78,CdTrp1!G54))</f>
        <v>1</v>
      </c>
      <c r="I70" s="168">
        <f>IF($AA70=0,99,IF(I83&gt;3,CdTrp1!H78,CdTrp1!H54))</f>
        <v>1</v>
      </c>
      <c r="J70" s="168">
        <f>IF($AA70=0,99,IF(J83&gt;3,CdTrp1!I78,CdTrp1!I54))</f>
        <v>1</v>
      </c>
      <c r="K70" s="168">
        <f>IF($AA70=0,99,IF(K83&gt;3,CdTrp1!J78,CdTrp1!J54))</f>
        <v>1</v>
      </c>
      <c r="L70" s="168">
        <f>IF($AA70=0,99,IF(L83&gt;3,CdTrp1!K78,CdTrp1!K54))</f>
        <v>0.5</v>
      </c>
      <c r="M70" s="168">
        <f>IF($AA70=0,99,IF(M83&gt;3,CdTrp1!L78,CdTrp1!L54))</f>
        <v>0.5</v>
      </c>
      <c r="N70" s="168">
        <f>IF($AA70=0,99,IF(N83&gt;3,CdTrp1!M78,CdTrp1!M54))</f>
        <v>0.5</v>
      </c>
      <c r="O70" s="168">
        <f>IF($AA70=0,99,IF(O83&gt;3,CdTrp1!N78,CdTrp1!N54))</f>
        <v>0.5</v>
      </c>
      <c r="P70" s="168">
        <f>IF($AA70=0,99,IF(P83&gt;3,CdTrp1!O78,CdTrp1!O54))</f>
        <v>0.5</v>
      </c>
      <c r="Q70" s="168">
        <f>IF($AA70=0,99,IF(Q83&gt;3,CdTrp1!P78,CdTrp1!P54))</f>
        <v>0.5</v>
      </c>
      <c r="R70" s="168">
        <f>IF($AA70=0,99,IF(R83&gt;3,CdTrp1!Q78,CdTrp1!Q54))</f>
        <v>0.5</v>
      </c>
      <c r="S70" s="168">
        <f>IF($AA70=0,99,IF(S83&gt;3,CdTrp1!R78,CdTrp1!R54))</f>
        <v>0.5</v>
      </c>
      <c r="T70" s="168">
        <f>IF($AA70=0,99,IF(T83&gt;3,CdTrp1!S78,CdTrp1!S54))</f>
        <v>0.5</v>
      </c>
      <c r="U70" s="168">
        <f>IF($AA70=0,99,IF(U83&gt;3,CdTrp1!T78,CdTrp1!T54))</f>
        <v>0.5</v>
      </c>
      <c r="V70" s="168">
        <f>IF($AA70=0,99,IF(V83&gt;3,CdTrp1!U78,CdTrp1!U54))</f>
        <v>0.5</v>
      </c>
      <c r="W70" s="168">
        <f>IF($AA70=0,99,IF(W83&gt;3,CdTrp1!V78,CdTrp1!V54))</f>
        <v>0.5</v>
      </c>
      <c r="X70" s="168">
        <f>IF($AA70=0,99,IF(X83&gt;3,CdTrp1!W78,CdTrp1!W54))</f>
        <v>1</v>
      </c>
      <c r="Y70" s="168">
        <f>IF($AA70=0,99,IF(Y83&gt;3,CdTrp1!X78,CdTrp1!X54))</f>
        <v>1</v>
      </c>
      <c r="Z70" s="168">
        <f>IF($AA70=0,99,IF(Z83&gt;3,CdTrp1!Y78,CdTrp1!Y54))</f>
        <v>1</v>
      </c>
      <c r="AA70" s="177">
        <f>SUM(CdTrp1!B17:Y17)/24</f>
        <v>9.5999999999999961</v>
      </c>
      <c r="AD70" s="15"/>
    </row>
    <row r="71" spans="1:49" x14ac:dyDescent="0.25">
      <c r="B71" s="30" t="str">
        <f>CdTrp1!A55</f>
        <v>broutards</v>
      </c>
      <c r="C71" s="168">
        <f>IF($AA71=0,99,IF(C84&gt;3,CdTrp1!B79,CdTrp1!B55))</f>
        <v>1</v>
      </c>
      <c r="D71" s="168">
        <f>IF($AA71=0,99,IF(D84&gt;3,CdTrp1!C79,CdTrp1!C55))</f>
        <v>1</v>
      </c>
      <c r="E71" s="168">
        <f>IF($AA71=0,99,IF(E84&gt;3,CdTrp1!D79,CdTrp1!D55))</f>
        <v>1</v>
      </c>
      <c r="F71" s="168">
        <f>IF($AA71=0,99,IF(F84&gt;3,CdTrp1!E79,CdTrp1!E55))</f>
        <v>1</v>
      </c>
      <c r="G71" s="168">
        <f>IF($AA71=0,99,IF(G84&gt;3,CdTrp1!F79,CdTrp1!F55))</f>
        <v>1</v>
      </c>
      <c r="H71" s="168">
        <f>IF($AA71=0,99,IF(H84&gt;3,CdTrp1!G79,CdTrp1!G55))</f>
        <v>1</v>
      </c>
      <c r="I71" s="168">
        <f>IF($AA71=0,99,IF(I84&gt;3,CdTrp1!H79,CdTrp1!H55))</f>
        <v>1</v>
      </c>
      <c r="J71" s="168">
        <f>IF($AA71=0,99,IF(J84&gt;3,CdTrp1!I79,CdTrp1!I55))</f>
        <v>1</v>
      </c>
      <c r="K71" s="168">
        <f>IF($AA71=0,99,IF(K84&gt;3,CdTrp1!J79,CdTrp1!J55))</f>
        <v>1</v>
      </c>
      <c r="L71" s="168">
        <f>IF($AA71=0,99,IF(L84&gt;3,CdTrp1!K79,CdTrp1!K55))</f>
        <v>1</v>
      </c>
      <c r="M71" s="168">
        <f>IF($AA71=0,99,IF(M84&gt;3,CdTrp1!L79,CdTrp1!L55))</f>
        <v>1</v>
      </c>
      <c r="N71" s="168">
        <f>IF($AA71=0,99,IF(N84&gt;3,CdTrp1!M79,CdTrp1!M55))</f>
        <v>1</v>
      </c>
      <c r="O71" s="168">
        <f>IF($AA71=0,99,IF(O84&gt;3,CdTrp1!N79,CdTrp1!N55))</f>
        <v>1</v>
      </c>
      <c r="P71" s="168">
        <f>IF($AA71=0,99,IF(P84&gt;3,CdTrp1!O79,CdTrp1!O55))</f>
        <v>1</v>
      </c>
      <c r="Q71" s="168">
        <f>IF($AA71=0,99,IF(Q84&gt;3,CdTrp1!P79,CdTrp1!P55))</f>
        <v>1</v>
      </c>
      <c r="R71" s="168">
        <f>IF($AA71=0,99,IF(R84&gt;3,CdTrp1!Q79,CdTrp1!Q55))</f>
        <v>1</v>
      </c>
      <c r="S71" s="168">
        <f>IF($AA71=0,99,IF(S84&gt;3,CdTrp1!R79,CdTrp1!R55))</f>
        <v>1</v>
      </c>
      <c r="T71" s="168">
        <f>IF($AA71=0,99,IF(T84&gt;3,CdTrp1!S79,CdTrp1!S55))</f>
        <v>1</v>
      </c>
      <c r="U71" s="168">
        <f>IF($AA71=0,99,IF(U84&gt;3,CdTrp1!T79,CdTrp1!T55))</f>
        <v>1</v>
      </c>
      <c r="V71" s="168">
        <f>IF($AA71=0,99,IF(V84&gt;3,CdTrp1!U79,CdTrp1!U55))</f>
        <v>1</v>
      </c>
      <c r="W71" s="168">
        <f>IF($AA71=0,99,IF(W84&gt;3,CdTrp1!V79,CdTrp1!V55))</f>
        <v>1</v>
      </c>
      <c r="X71" s="168">
        <f>IF($AA71=0,99,IF(X84&gt;3,CdTrp1!W79,CdTrp1!W55))</f>
        <v>1</v>
      </c>
      <c r="Y71" s="168">
        <f>IF($AA71=0,99,IF(Y84&gt;3,CdTrp1!X79,CdTrp1!X55))</f>
        <v>1</v>
      </c>
      <c r="Z71" s="168">
        <f>IF($AA71=0,99,IF(Z84&gt;3,CdTrp1!Y79,CdTrp1!Y55))</f>
        <v>1</v>
      </c>
      <c r="AA71" s="177">
        <f>SUM(CdTrp1!B18:Y18)/24</f>
        <v>14.800000000000002</v>
      </c>
      <c r="AD71" s="15"/>
    </row>
    <row r="72" spans="1:49" x14ac:dyDescent="0.25">
      <c r="B72" s="251" t="str">
        <f>CdTrp1!A56</f>
        <v>génisses &lt; 1 an</v>
      </c>
      <c r="C72" s="168">
        <f>IF($AA72=0,99,IF(C85&gt;3,CdTrp1!B80,CdTrp1!B56))</f>
        <v>1</v>
      </c>
      <c r="D72" s="168">
        <f>IF($AA72=0,99,IF(D85&gt;3,CdTrp1!C80,CdTrp1!C56))</f>
        <v>1</v>
      </c>
      <c r="E72" s="168">
        <f>IF($AA72=0,99,IF(E85&gt;3,CdTrp1!D80,CdTrp1!D56))</f>
        <v>1</v>
      </c>
      <c r="F72" s="168">
        <f>IF($AA72=0,99,IF(F85&gt;3,CdTrp1!E80,CdTrp1!E56))</f>
        <v>1</v>
      </c>
      <c r="G72" s="168">
        <f>IF($AA72=0,99,IF(G85&gt;3,CdTrp1!F80,CdTrp1!F56))</f>
        <v>1</v>
      </c>
      <c r="H72" s="168">
        <f>IF($AA72=0,99,IF(H85&gt;3,CdTrp1!G80,CdTrp1!G56))</f>
        <v>1</v>
      </c>
      <c r="I72" s="168">
        <f>IF($AA72=0,99,IF(I85&gt;3,CdTrp1!H80,CdTrp1!H56))</f>
        <v>1</v>
      </c>
      <c r="J72" s="168">
        <f>IF($AA72=0,99,IF(J85&gt;3,CdTrp1!I80,CdTrp1!I56))</f>
        <v>1</v>
      </c>
      <c r="K72" s="168">
        <f>IF($AA72=0,99,IF(K85&gt;3,CdTrp1!J80,CdTrp1!J56))</f>
        <v>1</v>
      </c>
      <c r="L72" s="168">
        <f>IF($AA72=0,99,IF(L85&gt;3,CdTrp1!K80,CdTrp1!K56))</f>
        <v>1</v>
      </c>
      <c r="M72" s="168">
        <f>IF($AA72=0,99,IF(M85&gt;3,CdTrp1!L80,CdTrp1!L56))</f>
        <v>1</v>
      </c>
      <c r="N72" s="168">
        <f>IF($AA72=0,99,IF(N85&gt;3,CdTrp1!M80,CdTrp1!M56))</f>
        <v>1</v>
      </c>
      <c r="O72" s="168">
        <f>IF($AA72=0,99,IF(O85&gt;3,CdTrp1!N80,CdTrp1!N56))</f>
        <v>1</v>
      </c>
      <c r="P72" s="168">
        <f>IF($AA72=0,99,IF(P85&gt;3,CdTrp1!O80,CdTrp1!O56))</f>
        <v>1</v>
      </c>
      <c r="Q72" s="168">
        <f>IF($AA72=0,99,IF(Q85&gt;3,CdTrp1!P80,CdTrp1!P56))</f>
        <v>1</v>
      </c>
      <c r="R72" s="168">
        <f>IF($AA72=0,99,IF(R85&gt;3,CdTrp1!Q80,CdTrp1!Q56))</f>
        <v>1</v>
      </c>
      <c r="S72" s="168">
        <f>IF($AA72=0,99,IF(S85&gt;3,CdTrp1!R80,CdTrp1!R56))</f>
        <v>1</v>
      </c>
      <c r="T72" s="168">
        <f>IF($AA72=0,99,IF(T85&gt;3,CdTrp1!S80,CdTrp1!S56))</f>
        <v>1</v>
      </c>
      <c r="U72" s="168">
        <f>IF($AA72=0,99,IF(U85&gt;3,CdTrp1!T80,CdTrp1!T56))</f>
        <v>1</v>
      </c>
      <c r="V72" s="168">
        <f>IF($AA72=0,99,IF(V85&gt;3,CdTrp1!U80,CdTrp1!U56))</f>
        <v>1</v>
      </c>
      <c r="W72" s="168">
        <f>IF($AA72=0,99,IF(W85&gt;3,CdTrp1!V80,CdTrp1!V56))</f>
        <v>1</v>
      </c>
      <c r="X72" s="168">
        <f>IF($AA72=0,99,IF(X85&gt;3,CdTrp1!W80,CdTrp1!W56))</f>
        <v>1</v>
      </c>
      <c r="Y72" s="168">
        <f>IF($AA72=0,99,IF(Y85&gt;3,CdTrp1!X80,CdTrp1!X56))</f>
        <v>1</v>
      </c>
      <c r="Z72" s="168">
        <f>IF($AA72=0,99,IF(Z85&gt;3,CdTrp1!Y80,CdTrp1!Y56))</f>
        <v>1</v>
      </c>
      <c r="AA72" s="177">
        <f>SUM(CdTrp1!B19:Y19)/24</f>
        <v>5.8666666666666663</v>
      </c>
      <c r="AD72" s="15"/>
    </row>
    <row r="73" spans="1:49" x14ac:dyDescent="0.25">
      <c r="B73" s="30" t="str">
        <f>CdTrp1!A57</f>
        <v>lot6</v>
      </c>
      <c r="C73" s="168">
        <f>IF($AA73=0,99,IF(C86&gt;3,CdTrp1!B81,CdTrp1!B57))</f>
        <v>99</v>
      </c>
      <c r="D73" s="168">
        <f>IF($AA73=0,99,IF(D86&gt;3,CdTrp1!C81,CdTrp1!C57))</f>
        <v>99</v>
      </c>
      <c r="E73" s="168">
        <f>IF($AA73=0,99,IF(E86&gt;3,CdTrp1!D81,CdTrp1!D57))</f>
        <v>99</v>
      </c>
      <c r="F73" s="168">
        <f>IF($AA73=0,99,IF(F86&gt;3,CdTrp1!E81,CdTrp1!E57))</f>
        <v>99</v>
      </c>
      <c r="G73" s="168">
        <f>IF($AA73=0,99,IF(G86&gt;3,CdTrp1!F81,CdTrp1!F57))</f>
        <v>99</v>
      </c>
      <c r="H73" s="168">
        <f>IF($AA73=0,99,IF(H86&gt;3,CdTrp1!G81,CdTrp1!G57))</f>
        <v>99</v>
      </c>
      <c r="I73" s="168">
        <f>IF($AA73=0,99,IF(I86&gt;3,CdTrp1!H81,CdTrp1!H57))</f>
        <v>99</v>
      </c>
      <c r="J73" s="168">
        <f>IF($AA73=0,99,IF(J86&gt;3,CdTrp1!I81,CdTrp1!I57))</f>
        <v>99</v>
      </c>
      <c r="K73" s="168">
        <f>IF($AA73=0,99,IF(K86&gt;3,CdTrp1!J81,CdTrp1!J57))</f>
        <v>99</v>
      </c>
      <c r="L73" s="168">
        <f>IF($AA73=0,99,IF(L86&gt;3,CdTrp1!K81,CdTrp1!K57))</f>
        <v>99</v>
      </c>
      <c r="M73" s="168">
        <f>IF($AA73=0,99,IF(M86&gt;3,CdTrp1!L81,CdTrp1!L57))</f>
        <v>99</v>
      </c>
      <c r="N73" s="168">
        <f>IF($AA73=0,99,IF(N86&gt;3,CdTrp1!M81,CdTrp1!M57))</f>
        <v>99</v>
      </c>
      <c r="O73" s="168">
        <f>IF($AA73=0,99,IF(O86&gt;3,CdTrp1!N81,CdTrp1!N57))</f>
        <v>99</v>
      </c>
      <c r="P73" s="168">
        <f>IF($AA73=0,99,IF(P86&gt;3,CdTrp1!O81,CdTrp1!O57))</f>
        <v>99</v>
      </c>
      <c r="Q73" s="168">
        <f>IF($AA73=0,99,IF(Q86&gt;3,CdTrp1!P81,CdTrp1!P57))</f>
        <v>99</v>
      </c>
      <c r="R73" s="168">
        <f>IF($AA73=0,99,IF(R86&gt;3,CdTrp1!Q81,CdTrp1!Q57))</f>
        <v>99</v>
      </c>
      <c r="S73" s="168">
        <f>IF($AA73=0,99,IF(S86&gt;3,CdTrp1!R81,CdTrp1!R57))</f>
        <v>99</v>
      </c>
      <c r="T73" s="168">
        <f>IF($AA73=0,99,IF(T86&gt;3,CdTrp1!S81,CdTrp1!S57))</f>
        <v>99</v>
      </c>
      <c r="U73" s="168">
        <f>IF($AA73=0,99,IF(U86&gt;3,CdTrp1!T81,CdTrp1!T57))</f>
        <v>99</v>
      </c>
      <c r="V73" s="168">
        <f>IF($AA73=0,99,IF(V86&gt;3,CdTrp1!U81,CdTrp1!U57))</f>
        <v>99</v>
      </c>
      <c r="W73" s="168">
        <f>IF($AA73=0,99,IF(W86&gt;3,CdTrp1!V81,CdTrp1!V57))</f>
        <v>99</v>
      </c>
      <c r="X73" s="168">
        <f>IF($AA73=0,99,IF(X86&gt;3,CdTrp1!W81,CdTrp1!W57))</f>
        <v>99</v>
      </c>
      <c r="Y73" s="168">
        <f>IF($AA73=0,99,IF(Y86&gt;3,CdTrp1!X81,CdTrp1!X57))</f>
        <v>99</v>
      </c>
      <c r="Z73" s="168">
        <f>IF($AA73=0,99,IF(Z86&gt;3,CdTrp1!Y81,CdTrp1!Y57))</f>
        <v>99</v>
      </c>
      <c r="AA73" s="177">
        <f>SUM(CdTrp1!B20:Y20)/24</f>
        <v>0</v>
      </c>
      <c r="AD73" s="15"/>
    </row>
    <row r="74" spans="1:49" x14ac:dyDescent="0.25">
      <c r="B74" s="251" t="str">
        <f>CdTrp1!A58</f>
        <v>lot7</v>
      </c>
      <c r="C74" s="168">
        <f>IF($AA74=0,99,IF(C87&gt;3,CdTrp1!B82,CdTrp1!B58))</f>
        <v>99</v>
      </c>
      <c r="D74" s="168">
        <f>IF($AA74=0,99,IF(D87&gt;3,CdTrp1!C82,CdTrp1!C58))</f>
        <v>99</v>
      </c>
      <c r="E74" s="168">
        <f>IF($AA74=0,99,IF(E87&gt;3,CdTrp1!D82,CdTrp1!D58))</f>
        <v>99</v>
      </c>
      <c r="F74" s="168">
        <f>IF($AA74=0,99,IF(F87&gt;3,CdTrp1!E82,CdTrp1!E58))</f>
        <v>99</v>
      </c>
      <c r="G74" s="168">
        <f>IF($AA74=0,99,IF(G87&gt;3,CdTrp1!F82,CdTrp1!F58))</f>
        <v>99</v>
      </c>
      <c r="H74" s="168">
        <f>IF($AA74=0,99,IF(H87&gt;3,CdTrp1!G82,CdTrp1!G58))</f>
        <v>99</v>
      </c>
      <c r="I74" s="168">
        <f>IF($AA74=0,99,IF(I87&gt;3,CdTrp1!H82,CdTrp1!H58))</f>
        <v>99</v>
      </c>
      <c r="J74" s="168">
        <f>IF($AA74=0,99,IF(J87&gt;3,CdTrp1!I82,CdTrp1!I58))</f>
        <v>99</v>
      </c>
      <c r="K74" s="168">
        <f>IF($AA74=0,99,IF(K87&gt;3,CdTrp1!J82,CdTrp1!J58))</f>
        <v>99</v>
      </c>
      <c r="L74" s="168">
        <f>IF($AA74=0,99,IF(L87&gt;3,CdTrp1!K82,CdTrp1!K58))</f>
        <v>99</v>
      </c>
      <c r="M74" s="168">
        <f>IF($AA74=0,99,IF(M87&gt;3,CdTrp1!L82,CdTrp1!L58))</f>
        <v>99</v>
      </c>
      <c r="N74" s="168">
        <f>IF($AA74=0,99,IF(N87&gt;3,CdTrp1!M82,CdTrp1!M58))</f>
        <v>99</v>
      </c>
      <c r="O74" s="168">
        <f>IF($AA74=0,99,IF(O87&gt;3,CdTrp1!N82,CdTrp1!N58))</f>
        <v>99</v>
      </c>
      <c r="P74" s="168">
        <f>IF($AA74=0,99,IF(P87&gt;3,CdTrp1!O82,CdTrp1!O58))</f>
        <v>99</v>
      </c>
      <c r="Q74" s="168">
        <f>IF($AA74=0,99,IF(Q87&gt;3,CdTrp1!P82,CdTrp1!P58))</f>
        <v>99</v>
      </c>
      <c r="R74" s="168">
        <f>IF($AA74=0,99,IF(R87&gt;3,CdTrp1!Q82,CdTrp1!Q58))</f>
        <v>99</v>
      </c>
      <c r="S74" s="168">
        <f>IF($AA74=0,99,IF(S87&gt;3,CdTrp1!R82,CdTrp1!R58))</f>
        <v>99</v>
      </c>
      <c r="T74" s="168">
        <f>IF($AA74=0,99,IF(T87&gt;3,CdTrp1!S82,CdTrp1!S58))</f>
        <v>99</v>
      </c>
      <c r="U74" s="168">
        <f>IF($AA74=0,99,IF(U87&gt;3,CdTrp1!T82,CdTrp1!T58))</f>
        <v>99</v>
      </c>
      <c r="V74" s="168">
        <f>IF($AA74=0,99,IF(V87&gt;3,CdTrp1!U82,CdTrp1!U58))</f>
        <v>99</v>
      </c>
      <c r="W74" s="168">
        <f>IF($AA74=0,99,IF(W87&gt;3,CdTrp1!V82,CdTrp1!V58))</f>
        <v>99</v>
      </c>
      <c r="X74" s="168">
        <f>IF($AA74=0,99,IF(X87&gt;3,CdTrp1!W82,CdTrp1!W58))</f>
        <v>99</v>
      </c>
      <c r="Y74" s="168">
        <f>IF($AA74=0,99,IF(Y87&gt;3,CdTrp1!X82,CdTrp1!X58))</f>
        <v>99</v>
      </c>
      <c r="Z74" s="168">
        <f>IF($AA74=0,99,IF(Z87&gt;3,CdTrp1!Y82,CdTrp1!Y58))</f>
        <v>99</v>
      </c>
      <c r="AA74" s="177">
        <f>SUM(CdTrp1!B21:Y21)/24</f>
        <v>0</v>
      </c>
    </row>
    <row r="75" spans="1:49" x14ac:dyDescent="0.25">
      <c r="B75" s="251" t="str">
        <f>CdTrp1!A59</f>
        <v>lot8</v>
      </c>
      <c r="C75" s="168">
        <f>IF($AA75=0,99,IF(C88&gt;3,CdTrp1!B83,CdTrp1!B59))</f>
        <v>99</v>
      </c>
      <c r="D75" s="168">
        <f>IF($AA75=0,99,IF(D88&gt;3,CdTrp1!C83,CdTrp1!C59))</f>
        <v>99</v>
      </c>
      <c r="E75" s="168">
        <f>IF($AA75=0,99,IF(E88&gt;3,CdTrp1!D83,CdTrp1!D59))</f>
        <v>99</v>
      </c>
      <c r="F75" s="168">
        <f>IF($AA75=0,99,IF(F88&gt;3,CdTrp1!E83,CdTrp1!E59))</f>
        <v>99</v>
      </c>
      <c r="G75" s="168">
        <f>IF($AA75=0,99,IF(G88&gt;3,CdTrp1!F83,CdTrp1!F59))</f>
        <v>99</v>
      </c>
      <c r="H75" s="168">
        <f>IF($AA75=0,99,IF(H88&gt;3,CdTrp1!G83,CdTrp1!G59))</f>
        <v>99</v>
      </c>
      <c r="I75" s="168">
        <f>IF($AA75=0,99,IF(I88&gt;3,CdTrp1!H83,CdTrp1!H59))</f>
        <v>99</v>
      </c>
      <c r="J75" s="168">
        <f>IF($AA75=0,99,IF(J88&gt;3,CdTrp1!I83,CdTrp1!I59))</f>
        <v>99</v>
      </c>
      <c r="K75" s="168">
        <f>IF($AA75=0,99,IF(K88&gt;3,CdTrp1!J83,CdTrp1!J59))</f>
        <v>99</v>
      </c>
      <c r="L75" s="168">
        <f>IF($AA75=0,99,IF(L88&gt;3,CdTrp1!K83,CdTrp1!K59))</f>
        <v>99</v>
      </c>
      <c r="M75" s="168">
        <f>IF($AA75=0,99,IF(M88&gt;3,CdTrp1!L83,CdTrp1!L59))</f>
        <v>99</v>
      </c>
      <c r="N75" s="168">
        <f>IF($AA75=0,99,IF(N88&gt;3,CdTrp1!M83,CdTrp1!M59))</f>
        <v>99</v>
      </c>
      <c r="O75" s="168">
        <f>IF($AA75=0,99,IF(O88&gt;3,CdTrp1!N83,CdTrp1!N59))</f>
        <v>99</v>
      </c>
      <c r="P75" s="168">
        <f>IF($AA75=0,99,IF(P88&gt;3,CdTrp1!O83,CdTrp1!O59))</f>
        <v>99</v>
      </c>
      <c r="Q75" s="168">
        <f>IF($AA75=0,99,IF(Q88&gt;3,CdTrp1!P83,CdTrp1!P59))</f>
        <v>99</v>
      </c>
      <c r="R75" s="168">
        <f>IF($AA75=0,99,IF(R88&gt;3,CdTrp1!Q83,CdTrp1!Q59))</f>
        <v>99</v>
      </c>
      <c r="S75" s="168">
        <f>IF($AA75=0,99,IF(S88&gt;3,CdTrp1!R83,CdTrp1!R59))</f>
        <v>99</v>
      </c>
      <c r="T75" s="168">
        <f>IF($AA75=0,99,IF(T88&gt;3,CdTrp1!S83,CdTrp1!S59))</f>
        <v>99</v>
      </c>
      <c r="U75" s="168">
        <f>IF($AA75=0,99,IF(U88&gt;3,CdTrp1!T83,CdTrp1!T59))</f>
        <v>99</v>
      </c>
      <c r="V75" s="168">
        <f>IF($AA75=0,99,IF(V88&gt;3,CdTrp1!U83,CdTrp1!U59))</f>
        <v>99</v>
      </c>
      <c r="W75" s="168">
        <f>IF($AA75=0,99,IF(W88&gt;3,CdTrp1!V83,CdTrp1!V59))</f>
        <v>99</v>
      </c>
      <c r="X75" s="168">
        <f>IF($AA75=0,99,IF(X88&gt;3,CdTrp1!W83,CdTrp1!W59))</f>
        <v>99</v>
      </c>
      <c r="Y75" s="168">
        <f>IF($AA75=0,99,IF(Y88&gt;3,CdTrp1!X83,CdTrp1!X59))</f>
        <v>99</v>
      </c>
      <c r="Z75" s="168">
        <f>IF($AA75=0,99,IF(Z88&gt;3,CdTrp1!Y83,CdTrp1!Y59))</f>
        <v>99</v>
      </c>
      <c r="AA75" s="177">
        <f>SUM(CdTrp1!B22:Y22)/24</f>
        <v>0</v>
      </c>
    </row>
    <row r="76" spans="1:49" x14ac:dyDescent="0.25">
      <c r="B76" s="30" t="str">
        <f>CdTrp1!A60</f>
        <v>lot9</v>
      </c>
      <c r="C76" s="168">
        <f>IF($AA76=0,99,IF(C89&gt;3,CdTrp1!B84,CdTrp1!B60))</f>
        <v>99</v>
      </c>
      <c r="D76" s="168">
        <f>IF($AA76=0,99,IF(D89&gt;3,CdTrp1!C84,CdTrp1!C60))</f>
        <v>99</v>
      </c>
      <c r="E76" s="168">
        <f>IF($AA76=0,99,IF(E89&gt;3,CdTrp1!D84,CdTrp1!D60))</f>
        <v>99</v>
      </c>
      <c r="F76" s="168">
        <f>IF($AA76=0,99,IF(F89&gt;3,CdTrp1!E84,CdTrp1!E60))</f>
        <v>99</v>
      </c>
      <c r="G76" s="168">
        <f>IF($AA76=0,99,IF(G89&gt;3,CdTrp1!F84,CdTrp1!F60))</f>
        <v>99</v>
      </c>
      <c r="H76" s="168">
        <f>IF($AA76=0,99,IF(H89&gt;3,CdTrp1!G84,CdTrp1!G60))</f>
        <v>99</v>
      </c>
      <c r="I76" s="168">
        <f>IF($AA76=0,99,IF(I89&gt;3,CdTrp1!H84,CdTrp1!H60))</f>
        <v>99</v>
      </c>
      <c r="J76" s="168">
        <f>IF($AA76=0,99,IF(J89&gt;3,CdTrp1!I84,CdTrp1!I60))</f>
        <v>99</v>
      </c>
      <c r="K76" s="168">
        <f>IF($AA76=0,99,IF(K89&gt;3,CdTrp1!J84,CdTrp1!J60))</f>
        <v>99</v>
      </c>
      <c r="L76" s="168">
        <f>IF($AA76=0,99,IF(L89&gt;3,CdTrp1!K84,CdTrp1!K60))</f>
        <v>99</v>
      </c>
      <c r="M76" s="168">
        <f>IF($AA76=0,99,IF(M89&gt;3,CdTrp1!L84,CdTrp1!L60))</f>
        <v>99</v>
      </c>
      <c r="N76" s="168">
        <f>IF($AA76=0,99,IF(N89&gt;3,CdTrp1!M84,CdTrp1!M60))</f>
        <v>99</v>
      </c>
      <c r="O76" s="168">
        <f>IF($AA76=0,99,IF(O89&gt;3,CdTrp1!N84,CdTrp1!N60))</f>
        <v>99</v>
      </c>
      <c r="P76" s="168">
        <f>IF($AA76=0,99,IF(P89&gt;3,CdTrp1!O84,CdTrp1!O60))</f>
        <v>99</v>
      </c>
      <c r="Q76" s="168">
        <f>IF($AA76=0,99,IF(Q89&gt;3,CdTrp1!P84,CdTrp1!P60))</f>
        <v>99</v>
      </c>
      <c r="R76" s="168">
        <f>IF($AA76=0,99,IF(R89&gt;3,CdTrp1!Q84,CdTrp1!Q60))</f>
        <v>99</v>
      </c>
      <c r="S76" s="168">
        <f>IF($AA76=0,99,IF(S89&gt;3,CdTrp1!R84,CdTrp1!R60))</f>
        <v>99</v>
      </c>
      <c r="T76" s="168">
        <f>IF($AA76=0,99,IF(T89&gt;3,CdTrp1!S84,CdTrp1!S60))</f>
        <v>99</v>
      </c>
      <c r="U76" s="168">
        <f>IF($AA76=0,99,IF(U89&gt;3,CdTrp1!T84,CdTrp1!T60))</f>
        <v>99</v>
      </c>
      <c r="V76" s="168">
        <f>IF($AA76=0,99,IF(V89&gt;3,CdTrp1!U84,CdTrp1!U60))</f>
        <v>99</v>
      </c>
      <c r="W76" s="168">
        <f>IF($AA76=0,99,IF(W89&gt;3,CdTrp1!V84,CdTrp1!V60))</f>
        <v>99</v>
      </c>
      <c r="X76" s="168">
        <f>IF($AA76=0,99,IF(X89&gt;3,CdTrp1!W84,CdTrp1!W60))</f>
        <v>99</v>
      </c>
      <c r="Y76" s="168">
        <f>IF($AA76=0,99,IF(Y89&gt;3,CdTrp1!X84,CdTrp1!X60))</f>
        <v>99</v>
      </c>
      <c r="Z76" s="168">
        <f>IF($AA76=0,99,IF(Z89&gt;3,CdTrp1!Y84,CdTrp1!Y60))</f>
        <v>99</v>
      </c>
      <c r="AA76" s="177">
        <f>SUM(CdTrp1!B23:Y23)/24</f>
        <v>0</v>
      </c>
    </row>
    <row r="77" spans="1:49" x14ac:dyDescent="0.25">
      <c r="B77" s="251" t="str">
        <f>CdTrp1!A61</f>
        <v>lot10</v>
      </c>
      <c r="C77" s="168">
        <f>IF($AA77=0,99,IF(C90&gt;3,CdTrp1!B85,CdTrp1!B61))</f>
        <v>99</v>
      </c>
      <c r="D77" s="168">
        <f>IF($AA77=0,99,IF(D90&gt;3,CdTrp1!C85,CdTrp1!C61))</f>
        <v>99</v>
      </c>
      <c r="E77" s="168">
        <f>IF($AA77=0,99,IF(E90&gt;3,CdTrp1!D85,CdTrp1!D61))</f>
        <v>99</v>
      </c>
      <c r="F77" s="168">
        <f>IF($AA77=0,99,IF(F90&gt;3,CdTrp1!E85,CdTrp1!E61))</f>
        <v>99</v>
      </c>
      <c r="G77" s="168">
        <f>IF($AA77=0,99,IF(G90&gt;3,CdTrp1!F85,CdTrp1!F61))</f>
        <v>99</v>
      </c>
      <c r="H77" s="168">
        <f>IF($AA77=0,99,IF(H90&gt;3,CdTrp1!G85,CdTrp1!G61))</f>
        <v>99</v>
      </c>
      <c r="I77" s="168">
        <f>IF($AA77=0,99,IF(I90&gt;3,CdTrp1!H85,CdTrp1!H61))</f>
        <v>99</v>
      </c>
      <c r="J77" s="168">
        <f>IF($AA77=0,99,IF(J90&gt;3,CdTrp1!I85,CdTrp1!I61))</f>
        <v>99</v>
      </c>
      <c r="K77" s="168">
        <f>IF($AA77=0,99,IF(K90&gt;3,CdTrp1!J85,CdTrp1!J61))</f>
        <v>99</v>
      </c>
      <c r="L77" s="168">
        <f>IF($AA77=0,99,IF(L90&gt;3,CdTrp1!K85,CdTrp1!K61))</f>
        <v>99</v>
      </c>
      <c r="M77" s="168">
        <f>IF($AA77=0,99,IF(M90&gt;3,CdTrp1!L85,CdTrp1!L61))</f>
        <v>99</v>
      </c>
      <c r="N77" s="168">
        <f>IF($AA77=0,99,IF(N90&gt;3,CdTrp1!M85,CdTrp1!M61))</f>
        <v>99</v>
      </c>
      <c r="O77" s="168">
        <f>IF($AA77=0,99,IF(O90&gt;3,CdTrp1!N85,CdTrp1!N61))</f>
        <v>99</v>
      </c>
      <c r="P77" s="168">
        <f>IF($AA77=0,99,IF(P90&gt;3,CdTrp1!O85,CdTrp1!O61))</f>
        <v>99</v>
      </c>
      <c r="Q77" s="168">
        <f>IF($AA77=0,99,IF(Q90&gt;3,CdTrp1!P85,CdTrp1!P61))</f>
        <v>99</v>
      </c>
      <c r="R77" s="168">
        <f>IF($AA77=0,99,IF(R90&gt;3,CdTrp1!Q85,CdTrp1!Q61))</f>
        <v>99</v>
      </c>
      <c r="S77" s="168">
        <f>IF($AA77=0,99,IF(S90&gt;3,CdTrp1!R85,CdTrp1!R61))</f>
        <v>99</v>
      </c>
      <c r="T77" s="168">
        <f>IF($AA77=0,99,IF(T90&gt;3,CdTrp1!S85,CdTrp1!S61))</f>
        <v>99</v>
      </c>
      <c r="U77" s="168">
        <f>IF($AA77=0,99,IF(U90&gt;3,CdTrp1!T85,CdTrp1!T61))</f>
        <v>99</v>
      </c>
      <c r="V77" s="168">
        <f>IF($AA77=0,99,IF(V90&gt;3,CdTrp1!U85,CdTrp1!U61))</f>
        <v>99</v>
      </c>
      <c r="W77" s="168">
        <f>IF($AA77=0,99,IF(W90&gt;3,CdTrp1!V85,CdTrp1!V61))</f>
        <v>99</v>
      </c>
      <c r="X77" s="168">
        <f>IF($AA77=0,99,IF(X90&gt;3,CdTrp1!W85,CdTrp1!W61))</f>
        <v>99</v>
      </c>
      <c r="Y77" s="168">
        <f>IF($AA77=0,99,IF(Y90&gt;3,CdTrp1!X85,CdTrp1!X61))</f>
        <v>99</v>
      </c>
      <c r="Z77" s="168">
        <f>IF($AA77=0,99,IF(Z90&gt;3,CdTrp1!Y85,CdTrp1!Y61))</f>
        <v>99</v>
      </c>
      <c r="AA77" s="177">
        <f>SUM(CdTrp1!B24:Y24)/24</f>
        <v>0</v>
      </c>
    </row>
    <row r="78" spans="1:49" x14ac:dyDescent="0.25">
      <c r="B78" s="178"/>
      <c r="AC78">
        <v>0</v>
      </c>
    </row>
    <row r="79" spans="1:49" x14ac:dyDescent="0.25">
      <c r="AC79">
        <v>1</v>
      </c>
    </row>
    <row r="80" spans="1:49" x14ac:dyDescent="0.25">
      <c r="A80" s="40" t="s">
        <v>94</v>
      </c>
      <c r="B80" t="str">
        <f>Troupeau!B3</f>
        <v>BV</v>
      </c>
      <c r="C80" s="33">
        <v>1</v>
      </c>
      <c r="D80" s="33">
        <v>2</v>
      </c>
      <c r="E80" s="33">
        <v>3</v>
      </c>
      <c r="F80" s="33">
        <v>4</v>
      </c>
      <c r="G80" s="33">
        <v>5</v>
      </c>
      <c r="H80" s="33">
        <v>6</v>
      </c>
      <c r="I80" s="33">
        <v>7</v>
      </c>
      <c r="J80" s="33">
        <v>8</v>
      </c>
      <c r="K80" s="33">
        <v>9</v>
      </c>
      <c r="L80" s="33">
        <v>10</v>
      </c>
      <c r="M80" s="33">
        <v>11</v>
      </c>
      <c r="N80" s="33">
        <v>12</v>
      </c>
      <c r="O80" s="33">
        <v>13</v>
      </c>
      <c r="P80" s="33">
        <v>14</v>
      </c>
      <c r="Q80" s="33">
        <v>15</v>
      </c>
      <c r="R80" s="33">
        <v>16</v>
      </c>
      <c r="S80" s="33">
        <v>17</v>
      </c>
      <c r="T80" s="33">
        <v>18</v>
      </c>
      <c r="U80" s="33">
        <v>19</v>
      </c>
      <c r="V80" s="33">
        <v>20</v>
      </c>
      <c r="W80" s="33">
        <v>21</v>
      </c>
      <c r="X80" s="33">
        <v>22</v>
      </c>
      <c r="Y80" s="33">
        <v>23</v>
      </c>
      <c r="Z80" s="33">
        <v>24</v>
      </c>
      <c r="AC80">
        <v>2</v>
      </c>
    </row>
    <row r="81" spans="1:29" x14ac:dyDescent="0.25">
      <c r="A81" s="40" t="s">
        <v>725</v>
      </c>
      <c r="B81" s="30" t="str">
        <f>CdTrp1!A76</f>
        <v xml:space="preserve">Vaches </v>
      </c>
      <c r="C81" s="168">
        <f>CdTrp1!B76</f>
        <v>0</v>
      </c>
      <c r="D81" s="168">
        <f>CdTrp1!C76</f>
        <v>0</v>
      </c>
      <c r="E81" s="168">
        <f>CdTrp1!D76</f>
        <v>0</v>
      </c>
      <c r="F81" s="168">
        <f>CdTrp1!E76</f>
        <v>0</v>
      </c>
      <c r="G81" s="168">
        <f>CdTrp1!F76</f>
        <v>1</v>
      </c>
      <c r="H81" s="168">
        <f>CdTrp1!G76</f>
        <v>1</v>
      </c>
      <c r="I81" s="168">
        <f>CdTrp1!H76</f>
        <v>1</v>
      </c>
      <c r="J81" s="168">
        <f>CdTrp1!I76</f>
        <v>1</v>
      </c>
      <c r="K81" s="168">
        <f>CdTrp1!J76</f>
        <v>1</v>
      </c>
      <c r="L81" s="168">
        <f>CdTrp1!K76</f>
        <v>1</v>
      </c>
      <c r="M81" s="168">
        <f>CdTrp1!L76</f>
        <v>1</v>
      </c>
      <c r="N81" s="168">
        <f>CdTrp1!M76</f>
        <v>1</v>
      </c>
      <c r="O81" s="168">
        <f>CdTrp1!N76</f>
        <v>1</v>
      </c>
      <c r="P81" s="168">
        <f>CdTrp1!O76</f>
        <v>1</v>
      </c>
      <c r="Q81" s="168">
        <f>CdTrp1!P76</f>
        <v>1</v>
      </c>
      <c r="R81" s="168">
        <f>CdTrp1!Q76</f>
        <v>1</v>
      </c>
      <c r="S81" s="168">
        <f>CdTrp1!R76</f>
        <v>1</v>
      </c>
      <c r="T81" s="168">
        <f>CdTrp1!S76</f>
        <v>1</v>
      </c>
      <c r="U81" s="168">
        <f>CdTrp1!T76</f>
        <v>1</v>
      </c>
      <c r="V81" s="168">
        <f>CdTrp1!U76</f>
        <v>1</v>
      </c>
      <c r="W81" s="168">
        <f>CdTrp1!V76</f>
        <v>0</v>
      </c>
      <c r="X81" s="168">
        <f>CdTrp1!W76</f>
        <v>0</v>
      </c>
      <c r="Y81" s="168">
        <f>CdTrp1!X76</f>
        <v>0</v>
      </c>
      <c r="Z81" s="168">
        <f>CdTrp1!Y76</f>
        <v>0</v>
      </c>
      <c r="AC81">
        <v>3</v>
      </c>
    </row>
    <row r="82" spans="1:29" x14ac:dyDescent="0.25">
      <c r="B82" s="251" t="str">
        <f>CdTrp1!A77</f>
        <v>Génisses 24 mois</v>
      </c>
      <c r="C82" s="168">
        <f>CdTrp1!B77</f>
        <v>0</v>
      </c>
      <c r="D82" s="168">
        <f>CdTrp1!C77</f>
        <v>0</v>
      </c>
      <c r="E82" s="168">
        <f>CdTrp1!D77</f>
        <v>0</v>
      </c>
      <c r="F82" s="168">
        <f>CdTrp1!E77</f>
        <v>0</v>
      </c>
      <c r="G82" s="168">
        <f>CdTrp1!F77</f>
        <v>1</v>
      </c>
      <c r="H82" s="168">
        <f>CdTrp1!G77</f>
        <v>1</v>
      </c>
      <c r="I82" s="168">
        <f>CdTrp1!H77</f>
        <v>1</v>
      </c>
      <c r="J82" s="168">
        <f>CdTrp1!I77</f>
        <v>1</v>
      </c>
      <c r="K82" s="168">
        <f>CdTrp1!J77</f>
        <v>1</v>
      </c>
      <c r="L82" s="168">
        <f>CdTrp1!K77</f>
        <v>1</v>
      </c>
      <c r="M82" s="168">
        <f>CdTrp1!L77</f>
        <v>1</v>
      </c>
      <c r="N82" s="168">
        <f>CdTrp1!M77</f>
        <v>1</v>
      </c>
      <c r="O82" s="168">
        <f>CdTrp1!N77</f>
        <v>1</v>
      </c>
      <c r="P82" s="168">
        <f>CdTrp1!O77</f>
        <v>1</v>
      </c>
      <c r="Q82" s="168">
        <f>CdTrp1!P77</f>
        <v>1</v>
      </c>
      <c r="R82" s="168">
        <f>CdTrp1!Q77</f>
        <v>1</v>
      </c>
      <c r="S82" s="168">
        <f>CdTrp1!R77</f>
        <v>1</v>
      </c>
      <c r="T82" s="168">
        <f>CdTrp1!S77</f>
        <v>1</v>
      </c>
      <c r="U82" s="168">
        <f>CdTrp1!T77</f>
        <v>1</v>
      </c>
      <c r="V82" s="168">
        <f>CdTrp1!U77</f>
        <v>1</v>
      </c>
      <c r="W82" s="168">
        <f>CdTrp1!V77</f>
        <v>1</v>
      </c>
      <c r="X82" s="168">
        <f>CdTrp1!W77</f>
        <v>0</v>
      </c>
      <c r="Y82" s="168">
        <f>CdTrp1!X77</f>
        <v>0</v>
      </c>
      <c r="Z82" s="168">
        <f>CdTrp1!Y77</f>
        <v>0</v>
      </c>
      <c r="AC82">
        <v>4</v>
      </c>
    </row>
    <row r="83" spans="1:29" x14ac:dyDescent="0.25">
      <c r="B83" s="251" t="str">
        <f>CdTrp1!A78</f>
        <v>Génisses jeunes</v>
      </c>
      <c r="C83" s="168">
        <f>CdTrp1!B78</f>
        <v>0</v>
      </c>
      <c r="D83" s="168">
        <f>CdTrp1!C78</f>
        <v>0</v>
      </c>
      <c r="E83" s="168">
        <f>CdTrp1!D78</f>
        <v>0</v>
      </c>
      <c r="F83" s="168">
        <f>CdTrp1!E78</f>
        <v>0</v>
      </c>
      <c r="G83" s="168">
        <f>CdTrp1!F78</f>
        <v>0</v>
      </c>
      <c r="H83" s="168">
        <f>CdTrp1!G78</f>
        <v>0</v>
      </c>
      <c r="I83" s="168">
        <f>CdTrp1!H78</f>
        <v>0</v>
      </c>
      <c r="J83" s="168">
        <f>CdTrp1!I78</f>
        <v>0</v>
      </c>
      <c r="K83" s="168">
        <f>CdTrp1!J78</f>
        <v>0</v>
      </c>
      <c r="L83" s="168">
        <f>CdTrp1!K78</f>
        <v>1</v>
      </c>
      <c r="M83" s="168">
        <f>CdTrp1!L78</f>
        <v>1</v>
      </c>
      <c r="N83" s="168">
        <f>CdTrp1!M78</f>
        <v>1</v>
      </c>
      <c r="O83" s="168">
        <f>CdTrp1!N78</f>
        <v>1</v>
      </c>
      <c r="P83" s="168">
        <f>CdTrp1!O78</f>
        <v>1</v>
      </c>
      <c r="Q83" s="168">
        <f>CdTrp1!P78</f>
        <v>1</v>
      </c>
      <c r="R83" s="168">
        <f>CdTrp1!Q78</f>
        <v>1</v>
      </c>
      <c r="S83" s="168">
        <f>CdTrp1!R78</f>
        <v>1</v>
      </c>
      <c r="T83" s="168">
        <f>CdTrp1!S78</f>
        <v>1</v>
      </c>
      <c r="U83" s="168">
        <f>CdTrp1!T78</f>
        <v>1</v>
      </c>
      <c r="V83" s="168">
        <f>CdTrp1!U78</f>
        <v>1</v>
      </c>
      <c r="W83" s="168">
        <f>CdTrp1!V78</f>
        <v>1</v>
      </c>
      <c r="X83" s="168">
        <f>CdTrp1!W78</f>
        <v>0</v>
      </c>
      <c r="Y83" s="168">
        <f>CdTrp1!X78</f>
        <v>0</v>
      </c>
      <c r="Z83" s="168">
        <f>CdTrp1!Y78</f>
        <v>0</v>
      </c>
      <c r="AC83">
        <v>5</v>
      </c>
    </row>
    <row r="84" spans="1:29" x14ac:dyDescent="0.25">
      <c r="B84" s="30" t="str">
        <f>CdTrp1!A79</f>
        <v>broutards</v>
      </c>
      <c r="C84" s="168">
        <f>CdTrp1!B79</f>
        <v>0</v>
      </c>
      <c r="D84" s="168">
        <f>CdTrp1!C79</f>
        <v>0</v>
      </c>
      <c r="E84" s="168">
        <f>CdTrp1!D79</f>
        <v>0</v>
      </c>
      <c r="F84" s="168">
        <f>CdTrp1!E79</f>
        <v>0</v>
      </c>
      <c r="G84" s="168">
        <f>CdTrp1!F79</f>
        <v>0</v>
      </c>
      <c r="H84" s="168">
        <f>CdTrp1!G79</f>
        <v>0</v>
      </c>
      <c r="I84" s="168">
        <f>CdTrp1!H79</f>
        <v>0</v>
      </c>
      <c r="J84" s="168">
        <f>CdTrp1!I79</f>
        <v>0</v>
      </c>
      <c r="K84" s="168">
        <f>CdTrp1!J79</f>
        <v>0</v>
      </c>
      <c r="L84" s="168">
        <f>CdTrp1!K79</f>
        <v>0</v>
      </c>
      <c r="M84" s="168">
        <f>CdTrp1!L79</f>
        <v>0</v>
      </c>
      <c r="N84" s="168">
        <f>CdTrp1!M79</f>
        <v>0</v>
      </c>
      <c r="O84" s="168">
        <f>CdTrp1!N79</f>
        <v>0</v>
      </c>
      <c r="P84" s="168">
        <f>CdTrp1!O79</f>
        <v>0</v>
      </c>
      <c r="Q84" s="168">
        <f>CdTrp1!P79</f>
        <v>0</v>
      </c>
      <c r="R84" s="168">
        <f>CdTrp1!Q79</f>
        <v>0</v>
      </c>
      <c r="S84" s="168">
        <f>CdTrp1!R79</f>
        <v>0</v>
      </c>
      <c r="T84" s="168">
        <f>CdTrp1!S79</f>
        <v>0</v>
      </c>
      <c r="U84" s="168">
        <f>CdTrp1!T79</f>
        <v>0</v>
      </c>
      <c r="V84" s="168">
        <f>CdTrp1!U79</f>
        <v>0</v>
      </c>
      <c r="W84" s="168">
        <f>CdTrp1!V79</f>
        <v>0</v>
      </c>
      <c r="X84" s="168">
        <f>CdTrp1!W79</f>
        <v>0</v>
      </c>
      <c r="Y84" s="168">
        <f>CdTrp1!X79</f>
        <v>0</v>
      </c>
      <c r="Z84" s="168">
        <f>CdTrp1!Y79</f>
        <v>0</v>
      </c>
    </row>
    <row r="85" spans="1:29" x14ac:dyDescent="0.25">
      <c r="B85" s="251" t="str">
        <f>CdTrp1!A80</f>
        <v>génisses &lt; 1 an</v>
      </c>
      <c r="C85" s="168">
        <f>CdTrp1!B80</f>
        <v>0</v>
      </c>
      <c r="D85" s="168">
        <f>CdTrp1!C80</f>
        <v>0</v>
      </c>
      <c r="E85" s="168">
        <f>CdTrp1!D80</f>
        <v>0</v>
      </c>
      <c r="F85" s="168">
        <f>CdTrp1!E80</f>
        <v>0</v>
      </c>
      <c r="G85" s="168">
        <f>CdTrp1!F80</f>
        <v>0</v>
      </c>
      <c r="H85" s="168">
        <f>CdTrp1!G80</f>
        <v>0</v>
      </c>
      <c r="I85" s="168">
        <f>CdTrp1!H80</f>
        <v>0</v>
      </c>
      <c r="J85" s="168">
        <f>CdTrp1!I80</f>
        <v>0</v>
      </c>
      <c r="K85" s="168">
        <f>CdTrp1!J80</f>
        <v>0</v>
      </c>
      <c r="L85" s="168">
        <f>CdTrp1!K80</f>
        <v>0</v>
      </c>
      <c r="M85" s="168">
        <f>CdTrp1!L80</f>
        <v>0</v>
      </c>
      <c r="N85" s="168">
        <f>CdTrp1!M80</f>
        <v>0</v>
      </c>
      <c r="O85" s="168">
        <f>CdTrp1!N80</f>
        <v>0</v>
      </c>
      <c r="P85" s="168">
        <f>CdTrp1!O80</f>
        <v>0</v>
      </c>
      <c r="Q85" s="168">
        <f>CdTrp1!P80</f>
        <v>0</v>
      </c>
      <c r="R85" s="168">
        <f>CdTrp1!Q80</f>
        <v>0</v>
      </c>
      <c r="S85" s="168">
        <f>CdTrp1!R80</f>
        <v>0</v>
      </c>
      <c r="T85" s="168">
        <f>CdTrp1!S80</f>
        <v>0</v>
      </c>
      <c r="U85" s="168">
        <f>CdTrp1!T80</f>
        <v>0</v>
      </c>
      <c r="V85" s="168">
        <f>CdTrp1!U80</f>
        <v>0</v>
      </c>
      <c r="W85" s="168">
        <f>CdTrp1!V80</f>
        <v>0</v>
      </c>
      <c r="X85" s="168">
        <f>CdTrp1!W80</f>
        <v>0</v>
      </c>
      <c r="Y85" s="168">
        <f>CdTrp1!X80</f>
        <v>0</v>
      </c>
      <c r="Z85" s="168">
        <f>CdTrp1!Y80</f>
        <v>0</v>
      </c>
    </row>
    <row r="86" spans="1:29" x14ac:dyDescent="0.25">
      <c r="B86" s="30" t="str">
        <f>CdTrp1!A81</f>
        <v>lot6</v>
      </c>
      <c r="C86" s="168">
        <f>CdTrp1!B81</f>
        <v>0</v>
      </c>
      <c r="D86" s="168">
        <f>CdTrp1!C81</f>
        <v>0</v>
      </c>
      <c r="E86" s="168">
        <f>CdTrp1!D81</f>
        <v>0</v>
      </c>
      <c r="F86" s="168">
        <f>CdTrp1!E81</f>
        <v>0</v>
      </c>
      <c r="G86" s="168">
        <f>CdTrp1!F81</f>
        <v>0</v>
      </c>
      <c r="H86" s="168">
        <f>CdTrp1!G81</f>
        <v>0</v>
      </c>
      <c r="I86" s="168">
        <f>CdTrp1!H81</f>
        <v>0</v>
      </c>
      <c r="J86" s="168">
        <f>CdTrp1!I81</f>
        <v>0</v>
      </c>
      <c r="K86" s="168">
        <f>CdTrp1!J81</f>
        <v>0</v>
      </c>
      <c r="L86" s="168">
        <f>CdTrp1!K81</f>
        <v>0</v>
      </c>
      <c r="M86" s="168">
        <f>CdTrp1!L81</f>
        <v>0</v>
      </c>
      <c r="N86" s="168">
        <f>CdTrp1!M81</f>
        <v>0</v>
      </c>
      <c r="O86" s="168">
        <f>CdTrp1!N81</f>
        <v>0</v>
      </c>
      <c r="P86" s="168">
        <f>CdTrp1!O81</f>
        <v>0</v>
      </c>
      <c r="Q86" s="168">
        <f>CdTrp1!P81</f>
        <v>0</v>
      </c>
      <c r="R86" s="168">
        <f>CdTrp1!Q81</f>
        <v>0</v>
      </c>
      <c r="S86" s="168">
        <f>CdTrp1!R81</f>
        <v>0</v>
      </c>
      <c r="T86" s="168">
        <f>CdTrp1!S81</f>
        <v>0</v>
      </c>
      <c r="U86" s="168">
        <f>CdTrp1!T81</f>
        <v>0</v>
      </c>
      <c r="V86" s="168">
        <f>CdTrp1!U81</f>
        <v>0</v>
      </c>
      <c r="W86" s="168">
        <f>CdTrp1!V81</f>
        <v>0</v>
      </c>
      <c r="X86" s="168">
        <f>CdTrp1!W81</f>
        <v>0</v>
      </c>
      <c r="Y86" s="168">
        <f>CdTrp1!X81</f>
        <v>0</v>
      </c>
      <c r="Z86" s="168">
        <f>CdTrp1!Y81</f>
        <v>0</v>
      </c>
    </row>
    <row r="87" spans="1:29" x14ac:dyDescent="0.25">
      <c r="B87" s="251" t="str">
        <f>CdTrp1!A82</f>
        <v>lot7</v>
      </c>
      <c r="C87" s="168">
        <f>CdTrp1!B82</f>
        <v>0</v>
      </c>
      <c r="D87" s="168">
        <f>CdTrp1!C82</f>
        <v>0</v>
      </c>
      <c r="E87" s="168">
        <f>CdTrp1!D82</f>
        <v>0</v>
      </c>
      <c r="F87" s="168">
        <f>CdTrp1!E82</f>
        <v>0</v>
      </c>
      <c r="G87" s="168">
        <f>CdTrp1!F82</f>
        <v>0</v>
      </c>
      <c r="H87" s="168">
        <f>CdTrp1!G82</f>
        <v>0</v>
      </c>
      <c r="I87" s="168">
        <f>CdTrp1!H82</f>
        <v>0</v>
      </c>
      <c r="J87" s="168">
        <f>CdTrp1!I82</f>
        <v>0</v>
      </c>
      <c r="K87" s="168">
        <f>CdTrp1!J82</f>
        <v>0</v>
      </c>
      <c r="L87" s="168">
        <f>CdTrp1!K82</f>
        <v>0</v>
      </c>
      <c r="M87" s="168">
        <f>CdTrp1!L82</f>
        <v>0</v>
      </c>
      <c r="N87" s="168">
        <f>CdTrp1!M82</f>
        <v>0</v>
      </c>
      <c r="O87" s="168">
        <f>CdTrp1!N82</f>
        <v>0</v>
      </c>
      <c r="P87" s="168">
        <f>CdTrp1!O82</f>
        <v>0</v>
      </c>
      <c r="Q87" s="168">
        <f>CdTrp1!P82</f>
        <v>0</v>
      </c>
      <c r="R87" s="168">
        <f>CdTrp1!Q82</f>
        <v>0</v>
      </c>
      <c r="S87" s="168">
        <f>CdTrp1!R82</f>
        <v>0</v>
      </c>
      <c r="T87" s="168">
        <f>CdTrp1!S82</f>
        <v>0</v>
      </c>
      <c r="U87" s="168">
        <f>CdTrp1!T82</f>
        <v>0</v>
      </c>
      <c r="V87" s="168">
        <f>CdTrp1!U82</f>
        <v>0</v>
      </c>
      <c r="W87" s="168">
        <f>CdTrp1!V82</f>
        <v>0</v>
      </c>
      <c r="X87" s="168">
        <f>CdTrp1!W82</f>
        <v>0</v>
      </c>
      <c r="Y87" s="168">
        <f>CdTrp1!X82</f>
        <v>0</v>
      </c>
      <c r="Z87" s="168">
        <f>CdTrp1!Y82</f>
        <v>0</v>
      </c>
    </row>
    <row r="88" spans="1:29" x14ac:dyDescent="0.25">
      <c r="B88" s="251" t="str">
        <f>CdTrp1!A83</f>
        <v>lot8</v>
      </c>
      <c r="C88" s="168">
        <f>CdTrp1!B83</f>
        <v>0</v>
      </c>
      <c r="D88" s="168">
        <f>CdTrp1!C83</f>
        <v>0</v>
      </c>
      <c r="E88" s="168">
        <f>CdTrp1!D83</f>
        <v>0</v>
      </c>
      <c r="F88" s="168">
        <f>CdTrp1!E83</f>
        <v>0</v>
      </c>
      <c r="G88" s="168">
        <f>CdTrp1!F83</f>
        <v>0</v>
      </c>
      <c r="H88" s="168">
        <f>CdTrp1!G83</f>
        <v>0</v>
      </c>
      <c r="I88" s="168">
        <f>CdTrp1!H83</f>
        <v>0</v>
      </c>
      <c r="J88" s="168">
        <f>CdTrp1!I83</f>
        <v>0</v>
      </c>
      <c r="K88" s="168">
        <f>CdTrp1!J83</f>
        <v>0</v>
      </c>
      <c r="L88" s="168">
        <f>CdTrp1!K83</f>
        <v>0</v>
      </c>
      <c r="M88" s="168">
        <f>CdTrp1!L83</f>
        <v>0</v>
      </c>
      <c r="N88" s="168">
        <f>CdTrp1!M83</f>
        <v>0</v>
      </c>
      <c r="O88" s="168">
        <f>CdTrp1!N83</f>
        <v>0</v>
      </c>
      <c r="P88" s="168">
        <f>CdTrp1!O83</f>
        <v>0</v>
      </c>
      <c r="Q88" s="168">
        <f>CdTrp1!P83</f>
        <v>0</v>
      </c>
      <c r="R88" s="168">
        <f>CdTrp1!Q83</f>
        <v>0</v>
      </c>
      <c r="S88" s="168">
        <f>CdTrp1!R83</f>
        <v>0</v>
      </c>
      <c r="T88" s="168">
        <f>CdTrp1!S83</f>
        <v>0</v>
      </c>
      <c r="U88" s="168">
        <f>CdTrp1!T83</f>
        <v>0</v>
      </c>
      <c r="V88" s="168">
        <f>CdTrp1!U83</f>
        <v>0</v>
      </c>
      <c r="W88" s="168">
        <f>CdTrp1!V83</f>
        <v>0</v>
      </c>
      <c r="X88" s="168">
        <f>CdTrp1!W83</f>
        <v>0</v>
      </c>
      <c r="Y88" s="168">
        <f>CdTrp1!X83</f>
        <v>0</v>
      </c>
      <c r="Z88" s="168">
        <f>CdTrp1!Y83</f>
        <v>0</v>
      </c>
    </row>
    <row r="89" spans="1:29" x14ac:dyDescent="0.25">
      <c r="B89" s="30" t="str">
        <f>CdTrp1!A84</f>
        <v>lot9</v>
      </c>
      <c r="C89" s="168">
        <f>CdTrp1!B84</f>
        <v>0</v>
      </c>
      <c r="D89" s="168">
        <f>CdTrp1!C84</f>
        <v>0</v>
      </c>
      <c r="E89" s="168">
        <f>CdTrp1!D84</f>
        <v>0</v>
      </c>
      <c r="F89" s="168">
        <f>CdTrp1!E84</f>
        <v>0</v>
      </c>
      <c r="G89" s="168">
        <f>CdTrp1!F84</f>
        <v>0</v>
      </c>
      <c r="H89" s="168">
        <f>CdTrp1!G84</f>
        <v>0</v>
      </c>
      <c r="I89" s="168">
        <f>CdTrp1!H84</f>
        <v>0</v>
      </c>
      <c r="J89" s="168">
        <f>CdTrp1!I84</f>
        <v>0</v>
      </c>
      <c r="K89" s="168">
        <f>CdTrp1!J84</f>
        <v>0</v>
      </c>
      <c r="L89" s="168">
        <f>CdTrp1!K84</f>
        <v>0</v>
      </c>
      <c r="M89" s="168">
        <f>CdTrp1!L84</f>
        <v>0</v>
      </c>
      <c r="N89" s="168">
        <f>CdTrp1!M84</f>
        <v>0</v>
      </c>
      <c r="O89" s="168">
        <f>CdTrp1!N84</f>
        <v>0</v>
      </c>
      <c r="P89" s="168">
        <f>CdTrp1!O84</f>
        <v>0</v>
      </c>
      <c r="Q89" s="168">
        <f>CdTrp1!P84</f>
        <v>0</v>
      </c>
      <c r="R89" s="168">
        <f>CdTrp1!Q84</f>
        <v>0</v>
      </c>
      <c r="S89" s="168">
        <f>CdTrp1!R84</f>
        <v>0</v>
      </c>
      <c r="T89" s="168">
        <f>CdTrp1!S84</f>
        <v>0</v>
      </c>
      <c r="U89" s="168">
        <f>CdTrp1!T84</f>
        <v>0</v>
      </c>
      <c r="V89" s="168">
        <f>CdTrp1!U84</f>
        <v>0</v>
      </c>
      <c r="W89" s="168">
        <f>CdTrp1!V84</f>
        <v>0</v>
      </c>
      <c r="X89" s="168">
        <f>CdTrp1!W84</f>
        <v>0</v>
      </c>
      <c r="Y89" s="168">
        <f>CdTrp1!X84</f>
        <v>0</v>
      </c>
      <c r="Z89" s="168">
        <f>CdTrp1!Y84</f>
        <v>0</v>
      </c>
    </row>
    <row r="90" spans="1:29" x14ac:dyDescent="0.25">
      <c r="B90" s="251" t="str">
        <f>CdTrp1!A85</f>
        <v>lot10</v>
      </c>
      <c r="C90" s="168">
        <f>CdTrp1!B85</f>
        <v>0</v>
      </c>
      <c r="D90" s="168">
        <f>CdTrp1!C85</f>
        <v>0</v>
      </c>
      <c r="E90" s="168">
        <f>CdTrp1!D85</f>
        <v>0</v>
      </c>
      <c r="F90" s="168">
        <f>CdTrp1!E85</f>
        <v>0</v>
      </c>
      <c r="G90" s="168">
        <f>CdTrp1!F85</f>
        <v>0</v>
      </c>
      <c r="H90" s="168">
        <f>CdTrp1!G85</f>
        <v>0</v>
      </c>
      <c r="I90" s="168">
        <f>CdTrp1!H85</f>
        <v>0</v>
      </c>
      <c r="J90" s="168">
        <f>CdTrp1!I85</f>
        <v>0</v>
      </c>
      <c r="K90" s="168">
        <f>CdTrp1!J85</f>
        <v>0</v>
      </c>
      <c r="L90" s="168">
        <f>CdTrp1!K85</f>
        <v>0</v>
      </c>
      <c r="M90" s="168">
        <f>CdTrp1!L85</f>
        <v>0</v>
      </c>
      <c r="N90" s="168">
        <f>CdTrp1!M85</f>
        <v>0</v>
      </c>
      <c r="O90" s="168">
        <f>CdTrp1!N85</f>
        <v>0</v>
      </c>
      <c r="P90" s="168">
        <f>CdTrp1!O85</f>
        <v>0</v>
      </c>
      <c r="Q90" s="168">
        <f>CdTrp1!P85</f>
        <v>0</v>
      </c>
      <c r="R90" s="168">
        <f>CdTrp1!Q85</f>
        <v>0</v>
      </c>
      <c r="S90" s="168">
        <f>CdTrp1!R85</f>
        <v>0</v>
      </c>
      <c r="T90" s="168">
        <f>CdTrp1!S85</f>
        <v>0</v>
      </c>
      <c r="U90" s="168">
        <f>CdTrp1!T85</f>
        <v>0</v>
      </c>
      <c r="V90" s="168">
        <f>CdTrp1!U85</f>
        <v>0</v>
      </c>
      <c r="W90" s="168">
        <f>CdTrp1!V85</f>
        <v>0</v>
      </c>
      <c r="X90" s="168">
        <f>CdTrp1!W85</f>
        <v>0</v>
      </c>
      <c r="Y90" s="168">
        <f>CdTrp1!X85</f>
        <v>0</v>
      </c>
      <c r="Z90" s="168">
        <f>CdTrp1!Y85</f>
        <v>0</v>
      </c>
    </row>
    <row r="91" spans="1:29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9" x14ac:dyDescent="0.25">
      <c r="A92" s="14"/>
      <c r="B92" s="14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9" x14ac:dyDescent="0.25"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9" x14ac:dyDescent="0.25">
      <c r="B94" s="14"/>
    </row>
    <row r="95" spans="1:29" x14ac:dyDescent="0.25">
      <c r="A95" s="40"/>
      <c r="B95" s="14"/>
    </row>
    <row r="96" spans="1:29" x14ac:dyDescent="0.25">
      <c r="A96" s="40"/>
      <c r="B96" s="14"/>
    </row>
    <row r="97" spans="1:27" x14ac:dyDescent="0.25">
      <c r="B97" s="14"/>
    </row>
    <row r="98" spans="1:27" x14ac:dyDescent="0.25">
      <c r="B98" s="14"/>
    </row>
    <row r="99" spans="1:27" x14ac:dyDescent="0.25">
      <c r="B99" s="14"/>
    </row>
    <row r="100" spans="1:27" x14ac:dyDescent="0.25">
      <c r="B100" s="14"/>
    </row>
    <row r="101" spans="1:27" x14ac:dyDescent="0.25">
      <c r="B101" s="14"/>
    </row>
    <row r="102" spans="1:27" x14ac:dyDescent="0.25">
      <c r="B102" s="14"/>
    </row>
    <row r="103" spans="1:27" x14ac:dyDescent="0.25">
      <c r="B103" s="14"/>
    </row>
    <row r="104" spans="1:27" x14ac:dyDescent="0.25">
      <c r="B104" s="14"/>
    </row>
    <row r="105" spans="1:27" x14ac:dyDescent="0.25">
      <c r="B105" s="14"/>
    </row>
    <row r="106" spans="1:27" x14ac:dyDescent="0.25">
      <c r="B106" s="14"/>
    </row>
    <row r="107" spans="1:27" x14ac:dyDescent="0.25">
      <c r="B107" s="14"/>
    </row>
    <row r="109" spans="1:27" x14ac:dyDescent="0.25">
      <c r="A109" s="40" t="s">
        <v>95</v>
      </c>
      <c r="C109" s="33">
        <v>1</v>
      </c>
      <c r="D109" s="33">
        <v>2</v>
      </c>
      <c r="E109" s="33">
        <v>3</v>
      </c>
      <c r="F109" s="33">
        <v>4</v>
      </c>
      <c r="G109" s="33">
        <v>5</v>
      </c>
      <c r="H109" s="33">
        <v>6</v>
      </c>
      <c r="I109" s="33">
        <v>7</v>
      </c>
      <c r="J109" s="33">
        <v>8</v>
      </c>
      <c r="K109" s="33">
        <v>9</v>
      </c>
      <c r="L109" s="33">
        <v>10</v>
      </c>
      <c r="M109" s="33">
        <v>11</v>
      </c>
      <c r="N109" s="33">
        <v>12</v>
      </c>
      <c r="O109" s="33">
        <v>13</v>
      </c>
      <c r="P109" s="33">
        <v>14</v>
      </c>
      <c r="Q109" s="33">
        <v>15</v>
      </c>
      <c r="R109" s="33">
        <v>16</v>
      </c>
      <c r="S109" s="33">
        <v>17</v>
      </c>
      <c r="T109" s="33">
        <v>18</v>
      </c>
      <c r="U109" s="33">
        <v>19</v>
      </c>
      <c r="V109" s="33">
        <v>20</v>
      </c>
      <c r="W109" s="33">
        <v>21</v>
      </c>
      <c r="X109" s="33">
        <v>22</v>
      </c>
      <c r="Y109" s="33">
        <v>23</v>
      </c>
      <c r="Z109" s="33">
        <v>24</v>
      </c>
      <c r="AA109" s="176" t="s">
        <v>723</v>
      </c>
    </row>
    <row r="110" spans="1:27" x14ac:dyDescent="0.25">
      <c r="A110" s="40" t="s">
        <v>726</v>
      </c>
      <c r="B110" s="180" t="str">
        <f>CdTrp2!A52</f>
        <v>lot1</v>
      </c>
      <c r="C110" s="168">
        <f>IF($AA110=0,99,IF(C123&gt;3,CdTrp2!B76,CdTrp2!B52))</f>
        <v>99</v>
      </c>
      <c r="D110" s="168">
        <f>IF($AA110=0,99,IF(D123&gt;3,CdTrp2!C76,CdTrp2!C52))</f>
        <v>99</v>
      </c>
      <c r="E110" s="168">
        <f>IF($AA110=0,99,IF(E123&gt;3,CdTrp2!D76,CdTrp2!D52))</f>
        <v>99</v>
      </c>
      <c r="F110" s="168">
        <f>IF($AA110=0,99,IF(F123&gt;3,CdTrp2!E76,CdTrp2!E52))</f>
        <v>99</v>
      </c>
      <c r="G110" s="168">
        <f>IF($AA110=0,99,IF(G123&gt;3,CdTrp2!F76,CdTrp2!F52))</f>
        <v>99</v>
      </c>
      <c r="H110" s="168">
        <f>IF($AA110=0,99,IF(H123&gt;3,CdTrp2!G76,CdTrp2!G52))</f>
        <v>99</v>
      </c>
      <c r="I110" s="168">
        <f>IF($AA110=0,99,IF(I123&gt;3,CdTrp2!H76,CdTrp2!H52))</f>
        <v>99</v>
      </c>
      <c r="J110" s="168">
        <f>IF($AA110=0,99,IF(J123&gt;3,CdTrp2!I76,CdTrp2!I52))</f>
        <v>99</v>
      </c>
      <c r="K110" s="168">
        <f>IF($AA110=0,99,IF(K123&gt;3,CdTrp2!J76,CdTrp2!J52))</f>
        <v>99</v>
      </c>
      <c r="L110" s="168">
        <f>IF($AA110=0,99,IF(L123&gt;3,CdTrp2!K76,CdTrp2!K52))</f>
        <v>99</v>
      </c>
      <c r="M110" s="168">
        <f>IF($AA110=0,99,IF(M123&gt;3,CdTrp2!L76,CdTrp2!L52))</f>
        <v>99</v>
      </c>
      <c r="N110" s="168">
        <f>IF($AA110=0,99,IF(N123&gt;3,CdTrp2!M76,CdTrp2!M52))</f>
        <v>99</v>
      </c>
      <c r="O110" s="168">
        <f>IF($AA110=0,99,IF(O123&gt;3,CdTrp2!N76,CdTrp2!N52))</f>
        <v>99</v>
      </c>
      <c r="P110" s="168">
        <f>IF($AA110=0,99,IF(P123&gt;3,CdTrp2!O76,CdTrp2!O52))</f>
        <v>99</v>
      </c>
      <c r="Q110" s="168">
        <f>IF($AA110=0,99,IF(Q123&gt;3,CdTrp2!P76,CdTrp2!P52))</f>
        <v>99</v>
      </c>
      <c r="R110" s="168">
        <f>IF($AA110=0,99,IF(R123&gt;3,CdTrp2!Q76,CdTrp2!Q52))</f>
        <v>99</v>
      </c>
      <c r="S110" s="168">
        <f>IF($AA110=0,99,IF(S123&gt;3,CdTrp2!R76,CdTrp2!R52))</f>
        <v>99</v>
      </c>
      <c r="T110" s="168">
        <f>IF($AA110=0,99,IF(T123&gt;3,CdTrp2!S76,CdTrp2!S52))</f>
        <v>99</v>
      </c>
      <c r="U110" s="168">
        <f>IF($AA110=0,99,IF(U123&gt;3,CdTrp2!T76,CdTrp2!T52))</f>
        <v>99</v>
      </c>
      <c r="V110" s="168">
        <f>IF($AA110=0,99,IF(V123&gt;3,CdTrp2!U76,CdTrp2!U52))</f>
        <v>99</v>
      </c>
      <c r="W110" s="168">
        <f>IF($AA110=0,99,IF(W123&gt;3,CdTrp2!V76,CdTrp2!V52))</f>
        <v>99</v>
      </c>
      <c r="X110" s="168">
        <f>IF($AA110=0,99,IF(X123&gt;3,CdTrp2!W76,CdTrp2!W52))</f>
        <v>99</v>
      </c>
      <c r="Y110" s="168">
        <f>IF($AA110=0,99,IF(Y123&gt;3,CdTrp2!X76,CdTrp2!X52))</f>
        <v>99</v>
      </c>
      <c r="Z110" s="168">
        <f>IF($AA110=0,99,IF(Z123&gt;3,CdTrp2!Y76,CdTrp2!Y52))</f>
        <v>99</v>
      </c>
      <c r="AA110" s="177">
        <f>SUM(CdTrp2!B15:Y15)/24</f>
        <v>0</v>
      </c>
    </row>
    <row r="111" spans="1:27" x14ac:dyDescent="0.25">
      <c r="B111" s="254" t="str">
        <f>CdTrp2!A53</f>
        <v>lot2</v>
      </c>
      <c r="C111" s="168">
        <f>IF($AA111=0,99,IF(C124&gt;3,CdTrp2!B77,CdTrp2!B53))</f>
        <v>99</v>
      </c>
      <c r="D111" s="168">
        <f>IF($AA111=0,99,IF(D124&gt;3,CdTrp2!C77,CdTrp2!C53))</f>
        <v>99</v>
      </c>
      <c r="E111" s="168">
        <f>IF($AA111=0,99,IF(E124&gt;3,CdTrp2!D77,CdTrp2!D53))</f>
        <v>99</v>
      </c>
      <c r="F111" s="168">
        <f>IF($AA111=0,99,IF(F124&gt;3,CdTrp2!E77,CdTrp2!E53))</f>
        <v>99</v>
      </c>
      <c r="G111" s="168">
        <f>IF($AA111=0,99,IF(G124&gt;3,CdTrp2!F77,CdTrp2!F53))</f>
        <v>99</v>
      </c>
      <c r="H111" s="168">
        <f>IF($AA111=0,99,IF(H124&gt;3,CdTrp2!G77,CdTrp2!G53))</f>
        <v>99</v>
      </c>
      <c r="I111" s="168">
        <f>IF($AA111=0,99,IF(I124&gt;3,CdTrp2!H77,CdTrp2!H53))</f>
        <v>99</v>
      </c>
      <c r="J111" s="168">
        <f>IF($AA111=0,99,IF(J124&gt;3,CdTrp2!I77,CdTrp2!I53))</f>
        <v>99</v>
      </c>
      <c r="K111" s="168">
        <f>IF($AA111=0,99,IF(K124&gt;3,CdTrp2!J77,CdTrp2!J53))</f>
        <v>99</v>
      </c>
      <c r="L111" s="168">
        <f>IF($AA111=0,99,IF(L124&gt;3,CdTrp2!K77,CdTrp2!K53))</f>
        <v>99</v>
      </c>
      <c r="M111" s="168">
        <f>IF($AA111=0,99,IF(M124&gt;3,CdTrp2!L77,CdTrp2!L53))</f>
        <v>99</v>
      </c>
      <c r="N111" s="168">
        <f>IF($AA111=0,99,IF(N124&gt;3,CdTrp2!M77,CdTrp2!M53))</f>
        <v>99</v>
      </c>
      <c r="O111" s="168">
        <f>IF($AA111=0,99,IF(O124&gt;3,CdTrp2!N77,CdTrp2!N53))</f>
        <v>99</v>
      </c>
      <c r="P111" s="168">
        <f>IF($AA111=0,99,IF(P124&gt;3,CdTrp2!O77,CdTrp2!O53))</f>
        <v>99</v>
      </c>
      <c r="Q111" s="168">
        <f>IF($AA111=0,99,IF(Q124&gt;3,CdTrp2!P77,CdTrp2!P53))</f>
        <v>99</v>
      </c>
      <c r="R111" s="168">
        <f>IF($AA111=0,99,IF(R124&gt;3,CdTrp2!Q77,CdTrp2!Q53))</f>
        <v>99</v>
      </c>
      <c r="S111" s="168">
        <f>IF($AA111=0,99,IF(S124&gt;3,CdTrp2!R77,CdTrp2!R53))</f>
        <v>99</v>
      </c>
      <c r="T111" s="168">
        <f>IF($AA111=0,99,IF(T124&gt;3,CdTrp2!S77,CdTrp2!S53))</f>
        <v>99</v>
      </c>
      <c r="U111" s="168">
        <f>IF($AA111=0,99,IF(U124&gt;3,CdTrp2!T77,CdTrp2!T53))</f>
        <v>99</v>
      </c>
      <c r="V111" s="168">
        <f>IF($AA111=0,99,IF(V124&gt;3,CdTrp2!U77,CdTrp2!U53))</f>
        <v>99</v>
      </c>
      <c r="W111" s="168">
        <f>IF($AA111=0,99,IF(W124&gt;3,CdTrp2!V77,CdTrp2!V53))</f>
        <v>99</v>
      </c>
      <c r="X111" s="168">
        <f>IF($AA111=0,99,IF(X124&gt;3,CdTrp2!W77,CdTrp2!W53))</f>
        <v>99</v>
      </c>
      <c r="Y111" s="168">
        <f>IF($AA111=0,99,IF(Y124&gt;3,CdTrp2!X77,CdTrp2!X53))</f>
        <v>99</v>
      </c>
      <c r="Z111" s="168">
        <f>IF($AA111=0,99,IF(Z124&gt;3,CdTrp2!Y77,CdTrp2!Y53))</f>
        <v>99</v>
      </c>
      <c r="AA111" s="177">
        <f>SUM(CdTrp2!B16:Y16)/24</f>
        <v>0</v>
      </c>
    </row>
    <row r="112" spans="1:27" x14ac:dyDescent="0.25">
      <c r="B112" s="254" t="str">
        <f>CdTrp2!A54</f>
        <v>lot3</v>
      </c>
      <c r="C112" s="168">
        <f>IF($AA112=0,99,IF(C125&gt;3,CdTrp2!B78,CdTrp2!B54))</f>
        <v>99</v>
      </c>
      <c r="D112" s="168">
        <f>IF($AA112=0,99,IF(D125&gt;3,CdTrp2!C78,CdTrp2!C54))</f>
        <v>99</v>
      </c>
      <c r="E112" s="168">
        <f>IF($AA112=0,99,IF(E125&gt;3,CdTrp2!D78,CdTrp2!D54))</f>
        <v>99</v>
      </c>
      <c r="F112" s="168">
        <f>IF($AA112=0,99,IF(F125&gt;3,CdTrp2!E78,CdTrp2!E54))</f>
        <v>99</v>
      </c>
      <c r="G112" s="168">
        <f>IF($AA112=0,99,IF(G125&gt;3,CdTrp2!F78,CdTrp2!F54))</f>
        <v>99</v>
      </c>
      <c r="H112" s="168">
        <f>IF($AA112=0,99,IF(H125&gt;3,CdTrp2!G78,CdTrp2!G54))</f>
        <v>99</v>
      </c>
      <c r="I112" s="168">
        <f>IF($AA112=0,99,IF(I125&gt;3,CdTrp2!H78,CdTrp2!H54))</f>
        <v>99</v>
      </c>
      <c r="J112" s="168">
        <f>IF($AA112=0,99,IF(J125&gt;3,CdTrp2!I78,CdTrp2!I54))</f>
        <v>99</v>
      </c>
      <c r="K112" s="168">
        <f>IF($AA112=0,99,IF(K125&gt;3,CdTrp2!J78,CdTrp2!J54))</f>
        <v>99</v>
      </c>
      <c r="L112" s="168">
        <f>IF($AA112=0,99,IF(L125&gt;3,CdTrp2!K78,CdTrp2!K54))</f>
        <v>99</v>
      </c>
      <c r="M112" s="168">
        <f>IF($AA112=0,99,IF(M125&gt;3,CdTrp2!L78,CdTrp2!L54))</f>
        <v>99</v>
      </c>
      <c r="N112" s="168">
        <f>IF($AA112=0,99,IF(N125&gt;3,CdTrp2!M78,CdTrp2!M54))</f>
        <v>99</v>
      </c>
      <c r="O112" s="168">
        <f>IF($AA112=0,99,IF(O125&gt;3,CdTrp2!N78,CdTrp2!N54))</f>
        <v>99</v>
      </c>
      <c r="P112" s="168">
        <f>IF($AA112=0,99,IF(P125&gt;3,CdTrp2!O78,CdTrp2!O54))</f>
        <v>99</v>
      </c>
      <c r="Q112" s="168">
        <f>IF($AA112=0,99,IF(Q125&gt;3,CdTrp2!P78,CdTrp2!P54))</f>
        <v>99</v>
      </c>
      <c r="R112" s="168">
        <f>IF($AA112=0,99,IF(R125&gt;3,CdTrp2!Q78,CdTrp2!Q54))</f>
        <v>99</v>
      </c>
      <c r="S112" s="168">
        <f>IF($AA112=0,99,IF(S125&gt;3,CdTrp2!R78,CdTrp2!R54))</f>
        <v>99</v>
      </c>
      <c r="T112" s="168">
        <f>IF($AA112=0,99,IF(T125&gt;3,CdTrp2!S78,CdTrp2!S54))</f>
        <v>99</v>
      </c>
      <c r="U112" s="168">
        <f>IF($AA112=0,99,IF(U125&gt;3,CdTrp2!T78,CdTrp2!T54))</f>
        <v>99</v>
      </c>
      <c r="V112" s="168">
        <f>IF($AA112=0,99,IF(V125&gt;3,CdTrp2!U78,CdTrp2!U54))</f>
        <v>99</v>
      </c>
      <c r="W112" s="168">
        <f>IF($AA112=0,99,IF(W125&gt;3,CdTrp2!V78,CdTrp2!V54))</f>
        <v>99</v>
      </c>
      <c r="X112" s="168">
        <f>IF($AA112=0,99,IF(X125&gt;3,CdTrp2!W78,CdTrp2!W54))</f>
        <v>99</v>
      </c>
      <c r="Y112" s="168">
        <f>IF($AA112=0,99,IF(Y125&gt;3,CdTrp2!X78,CdTrp2!X54))</f>
        <v>99</v>
      </c>
      <c r="Z112" s="168">
        <f>IF($AA112=0,99,IF(Z125&gt;3,CdTrp2!Y78,CdTrp2!Y54))</f>
        <v>99</v>
      </c>
      <c r="AA112" s="177">
        <f>SUM(CdTrp2!B17:Y17)/24</f>
        <v>0</v>
      </c>
    </row>
    <row r="113" spans="1:27" x14ac:dyDescent="0.25">
      <c r="B113" s="180" t="str">
        <f>CdTrp2!A55</f>
        <v>lot4</v>
      </c>
      <c r="C113" s="168">
        <f>IF($AA113=0,99,IF(C126&gt;3,CdTrp2!B79,CdTrp2!B55))</f>
        <v>99</v>
      </c>
      <c r="D113" s="168">
        <f>IF($AA113=0,99,IF(D126&gt;3,CdTrp2!C79,CdTrp2!C55))</f>
        <v>99</v>
      </c>
      <c r="E113" s="168">
        <f>IF($AA113=0,99,IF(E126&gt;3,CdTrp2!D79,CdTrp2!D55))</f>
        <v>99</v>
      </c>
      <c r="F113" s="168">
        <f>IF($AA113=0,99,IF(F126&gt;3,CdTrp2!E79,CdTrp2!E55))</f>
        <v>99</v>
      </c>
      <c r="G113" s="168">
        <f>IF($AA113=0,99,IF(G126&gt;3,CdTrp2!F79,CdTrp2!F55))</f>
        <v>99</v>
      </c>
      <c r="H113" s="168">
        <f>IF($AA113=0,99,IF(H126&gt;3,CdTrp2!G79,CdTrp2!G55))</f>
        <v>99</v>
      </c>
      <c r="I113" s="168">
        <f>IF($AA113=0,99,IF(I126&gt;3,CdTrp2!H79,CdTrp2!H55))</f>
        <v>99</v>
      </c>
      <c r="J113" s="168">
        <f>IF($AA113=0,99,IF(J126&gt;3,CdTrp2!I79,CdTrp2!I55))</f>
        <v>99</v>
      </c>
      <c r="K113" s="168">
        <f>IF($AA113=0,99,IF(K126&gt;3,CdTrp2!J79,CdTrp2!J55))</f>
        <v>99</v>
      </c>
      <c r="L113" s="168">
        <f>IF($AA113=0,99,IF(L126&gt;3,CdTrp2!K79,CdTrp2!K55))</f>
        <v>99</v>
      </c>
      <c r="M113" s="168">
        <f>IF($AA113=0,99,IF(M126&gt;3,CdTrp2!L79,CdTrp2!L55))</f>
        <v>99</v>
      </c>
      <c r="N113" s="168">
        <f>IF($AA113=0,99,IF(N126&gt;3,CdTrp2!M79,CdTrp2!M55))</f>
        <v>99</v>
      </c>
      <c r="O113" s="168">
        <f>IF($AA113=0,99,IF(O126&gt;3,CdTrp2!N79,CdTrp2!N55))</f>
        <v>99</v>
      </c>
      <c r="P113" s="168">
        <f>IF($AA113=0,99,IF(P126&gt;3,CdTrp2!O79,CdTrp2!O55))</f>
        <v>99</v>
      </c>
      <c r="Q113" s="168">
        <f>IF($AA113=0,99,IF(Q126&gt;3,CdTrp2!P79,CdTrp2!P55))</f>
        <v>99</v>
      </c>
      <c r="R113" s="168">
        <f>IF($AA113=0,99,IF(R126&gt;3,CdTrp2!Q79,CdTrp2!Q55))</f>
        <v>99</v>
      </c>
      <c r="S113" s="168">
        <f>IF($AA113=0,99,IF(S126&gt;3,CdTrp2!R79,CdTrp2!R55))</f>
        <v>99</v>
      </c>
      <c r="T113" s="168">
        <f>IF($AA113=0,99,IF(T126&gt;3,CdTrp2!S79,CdTrp2!S55))</f>
        <v>99</v>
      </c>
      <c r="U113" s="168">
        <f>IF($AA113=0,99,IF(U126&gt;3,CdTrp2!T79,CdTrp2!T55))</f>
        <v>99</v>
      </c>
      <c r="V113" s="168">
        <f>IF($AA113=0,99,IF(V126&gt;3,CdTrp2!U79,CdTrp2!U55))</f>
        <v>99</v>
      </c>
      <c r="W113" s="168">
        <f>IF($AA113=0,99,IF(W126&gt;3,CdTrp2!V79,CdTrp2!V55))</f>
        <v>99</v>
      </c>
      <c r="X113" s="168">
        <f>IF($AA113=0,99,IF(X126&gt;3,CdTrp2!W79,CdTrp2!W55))</f>
        <v>99</v>
      </c>
      <c r="Y113" s="168">
        <f>IF($AA113=0,99,IF(Y126&gt;3,CdTrp2!X79,CdTrp2!X55))</f>
        <v>99</v>
      </c>
      <c r="Z113" s="168">
        <f>IF($AA113=0,99,IF(Z126&gt;3,CdTrp2!Y79,CdTrp2!Y55))</f>
        <v>99</v>
      </c>
      <c r="AA113" s="177">
        <f>SUM(CdTrp2!B18:Y18)/24</f>
        <v>0</v>
      </c>
    </row>
    <row r="114" spans="1:27" x14ac:dyDescent="0.25">
      <c r="B114" s="254" t="str">
        <f>CdTrp2!A56</f>
        <v>lot5</v>
      </c>
      <c r="C114" s="168">
        <f>IF($AA114=0,99,IF(C127&gt;3,CdTrp2!B80,CdTrp2!B56))</f>
        <v>99</v>
      </c>
      <c r="D114" s="168">
        <f>IF($AA114=0,99,IF(D127&gt;3,CdTrp2!C80,CdTrp2!C56))</f>
        <v>99</v>
      </c>
      <c r="E114" s="168">
        <f>IF($AA114=0,99,IF(E127&gt;3,CdTrp2!D80,CdTrp2!D56))</f>
        <v>99</v>
      </c>
      <c r="F114" s="168">
        <f>IF($AA114=0,99,IF(F127&gt;3,CdTrp2!E80,CdTrp2!E56))</f>
        <v>99</v>
      </c>
      <c r="G114" s="168">
        <f>IF($AA114=0,99,IF(G127&gt;3,CdTrp2!F80,CdTrp2!F56))</f>
        <v>99</v>
      </c>
      <c r="H114" s="168">
        <f>IF($AA114=0,99,IF(H127&gt;3,CdTrp2!G80,CdTrp2!G56))</f>
        <v>99</v>
      </c>
      <c r="I114" s="168">
        <f>IF($AA114=0,99,IF(I127&gt;3,CdTrp2!H80,CdTrp2!H56))</f>
        <v>99</v>
      </c>
      <c r="J114" s="168">
        <f>IF($AA114=0,99,IF(J127&gt;3,CdTrp2!I80,CdTrp2!I56))</f>
        <v>99</v>
      </c>
      <c r="K114" s="168">
        <f>IF($AA114=0,99,IF(K127&gt;3,CdTrp2!J80,CdTrp2!J56))</f>
        <v>99</v>
      </c>
      <c r="L114" s="168">
        <f>IF($AA114=0,99,IF(L127&gt;3,CdTrp2!K80,CdTrp2!K56))</f>
        <v>99</v>
      </c>
      <c r="M114" s="168">
        <f>IF($AA114=0,99,IF(M127&gt;3,CdTrp2!L80,CdTrp2!L56))</f>
        <v>99</v>
      </c>
      <c r="N114" s="168">
        <f>IF($AA114=0,99,IF(N127&gt;3,CdTrp2!M80,CdTrp2!M56))</f>
        <v>99</v>
      </c>
      <c r="O114" s="168">
        <f>IF($AA114=0,99,IF(O127&gt;3,CdTrp2!N80,CdTrp2!N56))</f>
        <v>99</v>
      </c>
      <c r="P114" s="168">
        <f>IF($AA114=0,99,IF(P127&gt;3,CdTrp2!O80,CdTrp2!O56))</f>
        <v>99</v>
      </c>
      <c r="Q114" s="168">
        <f>IF($AA114=0,99,IF(Q127&gt;3,CdTrp2!P80,CdTrp2!P56))</f>
        <v>99</v>
      </c>
      <c r="R114" s="168">
        <f>IF($AA114=0,99,IF(R127&gt;3,CdTrp2!Q80,CdTrp2!Q56))</f>
        <v>99</v>
      </c>
      <c r="S114" s="168">
        <f>IF($AA114=0,99,IF(S127&gt;3,CdTrp2!R80,CdTrp2!R56))</f>
        <v>99</v>
      </c>
      <c r="T114" s="168">
        <f>IF($AA114=0,99,IF(T127&gt;3,CdTrp2!S80,CdTrp2!S56))</f>
        <v>99</v>
      </c>
      <c r="U114" s="168">
        <f>IF($AA114=0,99,IF(U127&gt;3,CdTrp2!T80,CdTrp2!T56))</f>
        <v>99</v>
      </c>
      <c r="V114" s="168">
        <f>IF($AA114=0,99,IF(V127&gt;3,CdTrp2!U80,CdTrp2!U56))</f>
        <v>99</v>
      </c>
      <c r="W114" s="168">
        <f>IF($AA114=0,99,IF(W127&gt;3,CdTrp2!V80,CdTrp2!V56))</f>
        <v>99</v>
      </c>
      <c r="X114" s="168">
        <f>IF($AA114=0,99,IF(X127&gt;3,CdTrp2!W80,CdTrp2!W56))</f>
        <v>99</v>
      </c>
      <c r="Y114" s="168">
        <f>IF($AA114=0,99,IF(Y127&gt;3,CdTrp2!X80,CdTrp2!X56))</f>
        <v>99</v>
      </c>
      <c r="Z114" s="168">
        <f>IF($AA114=0,99,IF(Z127&gt;3,CdTrp2!Y80,CdTrp2!Y56))</f>
        <v>99</v>
      </c>
      <c r="AA114" s="177">
        <f>SUM(CdTrp2!B19:Y19)/24</f>
        <v>0</v>
      </c>
    </row>
    <row r="115" spans="1:27" x14ac:dyDescent="0.25">
      <c r="B115" s="180" t="str">
        <f>CdTrp2!A57</f>
        <v>lot6</v>
      </c>
      <c r="C115" s="168">
        <f>IF($AA115=0,99,IF(C128&gt;3,CdTrp2!B81,CdTrp2!B57))</f>
        <v>99</v>
      </c>
      <c r="D115" s="168">
        <f>IF($AA115=0,99,IF(D128&gt;3,CdTrp2!C81,CdTrp2!C57))</f>
        <v>99</v>
      </c>
      <c r="E115" s="168">
        <f>IF($AA115=0,99,IF(E128&gt;3,CdTrp2!D81,CdTrp2!D57))</f>
        <v>99</v>
      </c>
      <c r="F115" s="168">
        <f>IF($AA115=0,99,IF(F128&gt;3,CdTrp2!E81,CdTrp2!E57))</f>
        <v>99</v>
      </c>
      <c r="G115" s="168">
        <f>IF($AA115=0,99,IF(G128&gt;3,CdTrp2!F81,CdTrp2!F57))</f>
        <v>99</v>
      </c>
      <c r="H115" s="168">
        <f>IF($AA115=0,99,IF(H128&gt;3,CdTrp2!G81,CdTrp2!G57))</f>
        <v>99</v>
      </c>
      <c r="I115" s="168">
        <f>IF($AA115=0,99,IF(I128&gt;3,CdTrp2!H81,CdTrp2!H57))</f>
        <v>99</v>
      </c>
      <c r="J115" s="168">
        <f>IF($AA115=0,99,IF(J128&gt;3,CdTrp2!I81,CdTrp2!I57))</f>
        <v>99</v>
      </c>
      <c r="K115" s="168">
        <f>IF($AA115=0,99,IF(K128&gt;3,CdTrp2!J81,CdTrp2!J57))</f>
        <v>99</v>
      </c>
      <c r="L115" s="168">
        <f>IF($AA115=0,99,IF(L128&gt;3,CdTrp2!K81,CdTrp2!K57))</f>
        <v>99</v>
      </c>
      <c r="M115" s="168">
        <f>IF($AA115=0,99,IF(M128&gt;3,CdTrp2!L81,CdTrp2!L57))</f>
        <v>99</v>
      </c>
      <c r="N115" s="168">
        <f>IF($AA115=0,99,IF(N128&gt;3,CdTrp2!M81,CdTrp2!M57))</f>
        <v>99</v>
      </c>
      <c r="O115" s="168">
        <f>IF($AA115=0,99,IF(O128&gt;3,CdTrp2!N81,CdTrp2!N57))</f>
        <v>99</v>
      </c>
      <c r="P115" s="168">
        <f>IF($AA115=0,99,IF(P128&gt;3,CdTrp2!O81,CdTrp2!O57))</f>
        <v>99</v>
      </c>
      <c r="Q115" s="168">
        <f>IF($AA115=0,99,IF(Q128&gt;3,CdTrp2!P81,CdTrp2!P57))</f>
        <v>99</v>
      </c>
      <c r="R115" s="168">
        <f>IF($AA115=0,99,IF(R128&gt;3,CdTrp2!Q81,CdTrp2!Q57))</f>
        <v>99</v>
      </c>
      <c r="S115" s="168">
        <f>IF($AA115=0,99,IF(S128&gt;3,CdTrp2!R81,CdTrp2!R57))</f>
        <v>99</v>
      </c>
      <c r="T115" s="168">
        <f>IF($AA115=0,99,IF(T128&gt;3,CdTrp2!S81,CdTrp2!S57))</f>
        <v>99</v>
      </c>
      <c r="U115" s="168">
        <f>IF($AA115=0,99,IF(U128&gt;3,CdTrp2!T81,CdTrp2!T57))</f>
        <v>99</v>
      </c>
      <c r="V115" s="168">
        <f>IF($AA115=0,99,IF(V128&gt;3,CdTrp2!U81,CdTrp2!U57))</f>
        <v>99</v>
      </c>
      <c r="W115" s="168">
        <f>IF($AA115=0,99,IF(W128&gt;3,CdTrp2!V81,CdTrp2!V57))</f>
        <v>99</v>
      </c>
      <c r="X115" s="168">
        <f>IF($AA115=0,99,IF(X128&gt;3,CdTrp2!W81,CdTrp2!W57))</f>
        <v>99</v>
      </c>
      <c r="Y115" s="168">
        <f>IF($AA115=0,99,IF(Y128&gt;3,CdTrp2!X81,CdTrp2!X57))</f>
        <v>99</v>
      </c>
      <c r="Z115" s="168">
        <f>IF($AA115=0,99,IF(Z128&gt;3,CdTrp2!Y81,CdTrp2!Y57))</f>
        <v>99</v>
      </c>
      <c r="AA115" s="177">
        <f>SUM(CdTrp2!B20:Y20)/24</f>
        <v>0</v>
      </c>
    </row>
    <row r="116" spans="1:27" x14ac:dyDescent="0.25">
      <c r="B116" s="254" t="str">
        <f>CdTrp2!A58</f>
        <v>lot7</v>
      </c>
      <c r="C116" s="168">
        <f>IF($AA116=0,99,IF(C129&gt;3,CdTrp2!B82,CdTrp2!B58))</f>
        <v>99</v>
      </c>
      <c r="D116" s="168">
        <f>IF($AA116=0,99,IF(D129&gt;3,CdTrp2!C82,CdTrp2!C58))</f>
        <v>99</v>
      </c>
      <c r="E116" s="168">
        <f>IF($AA116=0,99,IF(E129&gt;3,CdTrp2!D82,CdTrp2!D58))</f>
        <v>99</v>
      </c>
      <c r="F116" s="168">
        <f>IF($AA116=0,99,IF(F129&gt;3,CdTrp2!E82,CdTrp2!E58))</f>
        <v>99</v>
      </c>
      <c r="G116" s="168">
        <f>IF($AA116=0,99,IF(G129&gt;3,CdTrp2!F82,CdTrp2!F58))</f>
        <v>99</v>
      </c>
      <c r="H116" s="168">
        <f>IF($AA116=0,99,IF(H129&gt;3,CdTrp2!G82,CdTrp2!G58))</f>
        <v>99</v>
      </c>
      <c r="I116" s="168">
        <f>IF($AA116=0,99,IF(I129&gt;3,CdTrp2!H82,CdTrp2!H58))</f>
        <v>99</v>
      </c>
      <c r="J116" s="168">
        <f>IF($AA116=0,99,IF(J129&gt;3,CdTrp2!I82,CdTrp2!I58))</f>
        <v>99</v>
      </c>
      <c r="K116" s="168">
        <f>IF($AA116=0,99,IF(K129&gt;3,CdTrp2!J82,CdTrp2!J58))</f>
        <v>99</v>
      </c>
      <c r="L116" s="168">
        <f>IF($AA116=0,99,IF(L129&gt;3,CdTrp2!K82,CdTrp2!K58))</f>
        <v>99</v>
      </c>
      <c r="M116" s="168">
        <f>IF($AA116=0,99,IF(M129&gt;3,CdTrp2!L82,CdTrp2!L58))</f>
        <v>99</v>
      </c>
      <c r="N116" s="168">
        <f>IF($AA116=0,99,IF(N129&gt;3,CdTrp2!M82,CdTrp2!M58))</f>
        <v>99</v>
      </c>
      <c r="O116" s="168">
        <f>IF($AA116=0,99,IF(O129&gt;3,CdTrp2!N82,CdTrp2!N58))</f>
        <v>99</v>
      </c>
      <c r="P116" s="168">
        <f>IF($AA116=0,99,IF(P129&gt;3,CdTrp2!O82,CdTrp2!O58))</f>
        <v>99</v>
      </c>
      <c r="Q116" s="168">
        <f>IF($AA116=0,99,IF(Q129&gt;3,CdTrp2!P82,CdTrp2!P58))</f>
        <v>99</v>
      </c>
      <c r="R116" s="168">
        <f>IF($AA116=0,99,IF(R129&gt;3,CdTrp2!Q82,CdTrp2!Q58))</f>
        <v>99</v>
      </c>
      <c r="S116" s="168">
        <f>IF($AA116=0,99,IF(S129&gt;3,CdTrp2!R82,CdTrp2!R58))</f>
        <v>99</v>
      </c>
      <c r="T116" s="168">
        <f>IF($AA116=0,99,IF(T129&gt;3,CdTrp2!S82,CdTrp2!S58))</f>
        <v>99</v>
      </c>
      <c r="U116" s="168">
        <f>IF($AA116=0,99,IF(U129&gt;3,CdTrp2!T82,CdTrp2!T58))</f>
        <v>99</v>
      </c>
      <c r="V116" s="168">
        <f>IF($AA116=0,99,IF(V129&gt;3,CdTrp2!U82,CdTrp2!U58))</f>
        <v>99</v>
      </c>
      <c r="W116" s="168">
        <f>IF($AA116=0,99,IF(W129&gt;3,CdTrp2!V82,CdTrp2!V58))</f>
        <v>99</v>
      </c>
      <c r="X116" s="168">
        <f>IF($AA116=0,99,IF(X129&gt;3,CdTrp2!W82,CdTrp2!W58))</f>
        <v>99</v>
      </c>
      <c r="Y116" s="168">
        <f>IF($AA116=0,99,IF(Y129&gt;3,CdTrp2!X82,CdTrp2!X58))</f>
        <v>99</v>
      </c>
      <c r="Z116" s="168">
        <f>IF($AA116=0,99,IF(Z129&gt;3,CdTrp2!Y82,CdTrp2!Y58))</f>
        <v>99</v>
      </c>
      <c r="AA116" s="177">
        <f>SUM(CdTrp2!B21:Y21)/24</f>
        <v>0</v>
      </c>
    </row>
    <row r="117" spans="1:27" x14ac:dyDescent="0.25">
      <c r="B117" s="254" t="str">
        <f>CdTrp2!A59</f>
        <v>lot8</v>
      </c>
      <c r="C117" s="168">
        <f>IF($AA117=0,99,IF(C130&gt;3,CdTrp2!B83,CdTrp2!B59))</f>
        <v>99</v>
      </c>
      <c r="D117" s="168">
        <f>IF($AA117=0,99,IF(D130&gt;3,CdTrp2!C83,CdTrp2!C59))</f>
        <v>99</v>
      </c>
      <c r="E117" s="168">
        <f>IF($AA117=0,99,IF(E130&gt;3,CdTrp2!D83,CdTrp2!D59))</f>
        <v>99</v>
      </c>
      <c r="F117" s="168">
        <f>IF($AA117=0,99,IF(F130&gt;3,CdTrp2!E83,CdTrp2!E59))</f>
        <v>99</v>
      </c>
      <c r="G117" s="168">
        <f>IF($AA117=0,99,IF(G130&gt;3,CdTrp2!F83,CdTrp2!F59))</f>
        <v>99</v>
      </c>
      <c r="H117" s="168">
        <f>IF($AA117=0,99,IF(H130&gt;3,CdTrp2!G83,CdTrp2!G59))</f>
        <v>99</v>
      </c>
      <c r="I117" s="168">
        <f>IF($AA117=0,99,IF(I130&gt;3,CdTrp2!H83,CdTrp2!H59))</f>
        <v>99</v>
      </c>
      <c r="J117" s="168">
        <f>IF($AA117=0,99,IF(J130&gt;3,CdTrp2!I83,CdTrp2!I59))</f>
        <v>99</v>
      </c>
      <c r="K117" s="168">
        <f>IF($AA117=0,99,IF(K130&gt;3,CdTrp2!J83,CdTrp2!J59))</f>
        <v>99</v>
      </c>
      <c r="L117" s="168">
        <f>IF($AA117=0,99,IF(L130&gt;3,CdTrp2!K83,CdTrp2!K59))</f>
        <v>99</v>
      </c>
      <c r="M117" s="168">
        <f>IF($AA117=0,99,IF(M130&gt;3,CdTrp2!L83,CdTrp2!L59))</f>
        <v>99</v>
      </c>
      <c r="N117" s="168">
        <f>IF($AA117=0,99,IF(N130&gt;3,CdTrp2!M83,CdTrp2!M59))</f>
        <v>99</v>
      </c>
      <c r="O117" s="168">
        <f>IF($AA117=0,99,IF(O130&gt;3,CdTrp2!N83,CdTrp2!N59))</f>
        <v>99</v>
      </c>
      <c r="P117" s="168">
        <f>IF($AA117=0,99,IF(P130&gt;3,CdTrp2!O83,CdTrp2!O59))</f>
        <v>99</v>
      </c>
      <c r="Q117" s="168">
        <f>IF($AA117=0,99,IF(Q130&gt;3,CdTrp2!P83,CdTrp2!P59))</f>
        <v>99</v>
      </c>
      <c r="R117" s="168">
        <f>IF($AA117=0,99,IF(R130&gt;3,CdTrp2!Q83,CdTrp2!Q59))</f>
        <v>99</v>
      </c>
      <c r="S117" s="168">
        <f>IF($AA117=0,99,IF(S130&gt;3,CdTrp2!R83,CdTrp2!R59))</f>
        <v>99</v>
      </c>
      <c r="T117" s="168">
        <f>IF($AA117=0,99,IF(T130&gt;3,CdTrp2!S83,CdTrp2!S59))</f>
        <v>99</v>
      </c>
      <c r="U117" s="168">
        <f>IF($AA117=0,99,IF(U130&gt;3,CdTrp2!T83,CdTrp2!T59))</f>
        <v>99</v>
      </c>
      <c r="V117" s="168">
        <f>IF($AA117=0,99,IF(V130&gt;3,CdTrp2!U83,CdTrp2!U59))</f>
        <v>99</v>
      </c>
      <c r="W117" s="168">
        <f>IF($AA117=0,99,IF(W130&gt;3,CdTrp2!V83,CdTrp2!V59))</f>
        <v>99</v>
      </c>
      <c r="X117" s="168">
        <f>IF($AA117=0,99,IF(X130&gt;3,CdTrp2!W83,CdTrp2!W59))</f>
        <v>99</v>
      </c>
      <c r="Y117" s="168">
        <f>IF($AA117=0,99,IF(Y130&gt;3,CdTrp2!X83,CdTrp2!X59))</f>
        <v>99</v>
      </c>
      <c r="Z117" s="168">
        <f>IF($AA117=0,99,IF(Z130&gt;3,CdTrp2!Y83,CdTrp2!Y59))</f>
        <v>99</v>
      </c>
      <c r="AA117" s="177">
        <f>SUM(CdTrp2!B22:Y22)/24</f>
        <v>0</v>
      </c>
    </row>
    <row r="118" spans="1:27" x14ac:dyDescent="0.25">
      <c r="B118" s="180" t="str">
        <f>CdTrp2!A60</f>
        <v>lot9</v>
      </c>
      <c r="C118" s="168">
        <f>IF($AA118=0,99,IF(C131&gt;3,CdTrp2!B84,CdTrp2!B60))</f>
        <v>99</v>
      </c>
      <c r="D118" s="168">
        <f>IF($AA118=0,99,IF(D131&gt;3,CdTrp2!C84,CdTrp2!C60))</f>
        <v>99</v>
      </c>
      <c r="E118" s="168">
        <f>IF($AA118=0,99,IF(E131&gt;3,CdTrp2!D84,CdTrp2!D60))</f>
        <v>99</v>
      </c>
      <c r="F118" s="168">
        <f>IF($AA118=0,99,IF(F131&gt;3,CdTrp2!E84,CdTrp2!E60))</f>
        <v>99</v>
      </c>
      <c r="G118" s="168">
        <f>IF($AA118=0,99,IF(G131&gt;3,CdTrp2!F84,CdTrp2!F60))</f>
        <v>99</v>
      </c>
      <c r="H118" s="168">
        <f>IF($AA118=0,99,IF(H131&gt;3,CdTrp2!G84,CdTrp2!G60))</f>
        <v>99</v>
      </c>
      <c r="I118" s="168">
        <f>IF($AA118=0,99,IF(I131&gt;3,CdTrp2!H84,CdTrp2!H60))</f>
        <v>99</v>
      </c>
      <c r="J118" s="168">
        <f>IF($AA118=0,99,IF(J131&gt;3,CdTrp2!I84,CdTrp2!I60))</f>
        <v>99</v>
      </c>
      <c r="K118" s="168">
        <f>IF($AA118=0,99,IF(K131&gt;3,CdTrp2!J84,CdTrp2!J60))</f>
        <v>99</v>
      </c>
      <c r="L118" s="168">
        <f>IF($AA118=0,99,IF(L131&gt;3,CdTrp2!K84,CdTrp2!K60))</f>
        <v>99</v>
      </c>
      <c r="M118" s="168">
        <f>IF($AA118=0,99,IF(M131&gt;3,CdTrp2!L84,CdTrp2!L60))</f>
        <v>99</v>
      </c>
      <c r="N118" s="168">
        <f>IF($AA118=0,99,IF(N131&gt;3,CdTrp2!M84,CdTrp2!M60))</f>
        <v>99</v>
      </c>
      <c r="O118" s="168">
        <f>IF($AA118=0,99,IF(O131&gt;3,CdTrp2!N84,CdTrp2!N60))</f>
        <v>99</v>
      </c>
      <c r="P118" s="168">
        <f>IF($AA118=0,99,IF(P131&gt;3,CdTrp2!O84,CdTrp2!O60))</f>
        <v>99</v>
      </c>
      <c r="Q118" s="168">
        <f>IF($AA118=0,99,IF(Q131&gt;3,CdTrp2!P84,CdTrp2!P60))</f>
        <v>99</v>
      </c>
      <c r="R118" s="168">
        <f>IF($AA118=0,99,IF(R131&gt;3,CdTrp2!Q84,CdTrp2!Q60))</f>
        <v>99</v>
      </c>
      <c r="S118" s="168">
        <f>IF($AA118=0,99,IF(S131&gt;3,CdTrp2!R84,CdTrp2!R60))</f>
        <v>99</v>
      </c>
      <c r="T118" s="168">
        <f>IF($AA118=0,99,IF(T131&gt;3,CdTrp2!S84,CdTrp2!S60))</f>
        <v>99</v>
      </c>
      <c r="U118" s="168">
        <f>IF($AA118=0,99,IF(U131&gt;3,CdTrp2!T84,CdTrp2!T60))</f>
        <v>99</v>
      </c>
      <c r="V118" s="168">
        <f>IF($AA118=0,99,IF(V131&gt;3,CdTrp2!U84,CdTrp2!U60))</f>
        <v>99</v>
      </c>
      <c r="W118" s="168">
        <f>IF($AA118=0,99,IF(W131&gt;3,CdTrp2!V84,CdTrp2!V60))</f>
        <v>99</v>
      </c>
      <c r="X118" s="168">
        <f>IF($AA118=0,99,IF(X131&gt;3,CdTrp2!W84,CdTrp2!W60))</f>
        <v>99</v>
      </c>
      <c r="Y118" s="168">
        <f>IF($AA118=0,99,IF(Y131&gt;3,CdTrp2!X84,CdTrp2!X60))</f>
        <v>99</v>
      </c>
      <c r="Z118" s="168">
        <f>IF($AA118=0,99,IF(Z131&gt;3,CdTrp2!Y84,CdTrp2!Y60))</f>
        <v>99</v>
      </c>
      <c r="AA118" s="177">
        <f>SUM(CdTrp2!B23:Y23)/24</f>
        <v>0</v>
      </c>
    </row>
    <row r="119" spans="1:27" x14ac:dyDescent="0.25">
      <c r="B119" s="254" t="str">
        <f>CdTrp2!A61</f>
        <v>lot10</v>
      </c>
      <c r="C119" s="168">
        <f>IF($AA119=0,99,IF(C132&gt;3,CdTrp2!B85,CdTrp2!B61))</f>
        <v>99</v>
      </c>
      <c r="D119" s="168">
        <f>IF($AA119=0,99,IF(D132&gt;3,CdTrp2!C85,CdTrp2!C61))</f>
        <v>99</v>
      </c>
      <c r="E119" s="168">
        <f>IF($AA119=0,99,IF(E132&gt;3,CdTrp2!D85,CdTrp2!D61))</f>
        <v>99</v>
      </c>
      <c r="F119" s="168">
        <f>IF($AA119=0,99,IF(F132&gt;3,CdTrp2!E85,CdTrp2!E61))</f>
        <v>99</v>
      </c>
      <c r="G119" s="168">
        <f>IF($AA119=0,99,IF(G132&gt;3,CdTrp2!F85,CdTrp2!F61))</f>
        <v>99</v>
      </c>
      <c r="H119" s="168">
        <f>IF($AA119=0,99,IF(H132&gt;3,CdTrp2!G85,CdTrp2!G61))</f>
        <v>99</v>
      </c>
      <c r="I119" s="168">
        <f>IF($AA119=0,99,IF(I132&gt;3,CdTrp2!H85,CdTrp2!H61))</f>
        <v>99</v>
      </c>
      <c r="J119" s="168">
        <f>IF($AA119=0,99,IF(J132&gt;3,CdTrp2!I85,CdTrp2!I61))</f>
        <v>99</v>
      </c>
      <c r="K119" s="168">
        <f>IF($AA119=0,99,IF(K132&gt;3,CdTrp2!J85,CdTrp2!J61))</f>
        <v>99</v>
      </c>
      <c r="L119" s="168">
        <f>IF($AA119=0,99,IF(L132&gt;3,CdTrp2!K85,CdTrp2!K61))</f>
        <v>99</v>
      </c>
      <c r="M119" s="168">
        <f>IF($AA119=0,99,IF(M132&gt;3,CdTrp2!L85,CdTrp2!L61))</f>
        <v>99</v>
      </c>
      <c r="N119" s="168">
        <f>IF($AA119=0,99,IF(N132&gt;3,CdTrp2!M85,CdTrp2!M61))</f>
        <v>99</v>
      </c>
      <c r="O119" s="168">
        <f>IF($AA119=0,99,IF(O132&gt;3,CdTrp2!N85,CdTrp2!N61))</f>
        <v>99</v>
      </c>
      <c r="P119" s="168">
        <f>IF($AA119=0,99,IF(P132&gt;3,CdTrp2!O85,CdTrp2!O61))</f>
        <v>99</v>
      </c>
      <c r="Q119" s="168">
        <f>IF($AA119=0,99,IF(Q132&gt;3,CdTrp2!P85,CdTrp2!P61))</f>
        <v>99</v>
      </c>
      <c r="R119" s="168">
        <f>IF($AA119=0,99,IF(R132&gt;3,CdTrp2!Q85,CdTrp2!Q61))</f>
        <v>99</v>
      </c>
      <c r="S119" s="168">
        <f>IF($AA119=0,99,IF(S132&gt;3,CdTrp2!R85,CdTrp2!R61))</f>
        <v>99</v>
      </c>
      <c r="T119" s="168">
        <f>IF($AA119=0,99,IF(T132&gt;3,CdTrp2!S85,CdTrp2!S61))</f>
        <v>99</v>
      </c>
      <c r="U119" s="168">
        <f>IF($AA119=0,99,IF(U132&gt;3,CdTrp2!T85,CdTrp2!T61))</f>
        <v>99</v>
      </c>
      <c r="V119" s="168">
        <f>IF($AA119=0,99,IF(V132&gt;3,CdTrp2!U85,CdTrp2!U61))</f>
        <v>99</v>
      </c>
      <c r="W119" s="168">
        <f>IF($AA119=0,99,IF(W132&gt;3,CdTrp2!V85,CdTrp2!V61))</f>
        <v>99</v>
      </c>
      <c r="X119" s="168">
        <f>IF($AA119=0,99,IF(X132&gt;3,CdTrp2!W85,CdTrp2!W61))</f>
        <v>99</v>
      </c>
      <c r="Y119" s="168">
        <f>IF($AA119=0,99,IF(Y132&gt;3,CdTrp2!X85,CdTrp2!X61))</f>
        <v>99</v>
      </c>
      <c r="Z119" s="168">
        <f>IF($AA119=0,99,IF(Z132&gt;3,CdTrp2!Y85,CdTrp2!Y61))</f>
        <v>99</v>
      </c>
      <c r="AA119" s="177">
        <f>SUM(CdTrp2!B24:Y24)/24</f>
        <v>0</v>
      </c>
    </row>
    <row r="122" spans="1:27" x14ac:dyDescent="0.25">
      <c r="A122" s="40" t="s">
        <v>95</v>
      </c>
      <c r="B122">
        <f>Troupeau!C3</f>
        <v>0</v>
      </c>
      <c r="C122" s="33">
        <v>1</v>
      </c>
      <c r="D122" s="33">
        <v>2</v>
      </c>
      <c r="E122" s="33">
        <v>3</v>
      </c>
      <c r="F122" s="33">
        <v>4</v>
      </c>
      <c r="G122" s="33">
        <v>5</v>
      </c>
      <c r="H122" s="33">
        <v>6</v>
      </c>
      <c r="I122" s="33">
        <v>7</v>
      </c>
      <c r="J122" s="33">
        <v>8</v>
      </c>
      <c r="K122" s="33">
        <v>9</v>
      </c>
      <c r="L122" s="33">
        <v>10</v>
      </c>
      <c r="M122" s="33">
        <v>11</v>
      </c>
      <c r="N122" s="33">
        <v>12</v>
      </c>
      <c r="O122" s="33">
        <v>13</v>
      </c>
      <c r="P122" s="33">
        <v>14</v>
      </c>
      <c r="Q122" s="33">
        <v>15</v>
      </c>
      <c r="R122" s="33">
        <v>16</v>
      </c>
      <c r="S122" s="33">
        <v>17</v>
      </c>
      <c r="T122" s="33">
        <v>18</v>
      </c>
      <c r="U122" s="33">
        <v>19</v>
      </c>
      <c r="V122" s="33">
        <v>20</v>
      </c>
      <c r="W122" s="33">
        <v>21</v>
      </c>
      <c r="X122" s="33">
        <v>22</v>
      </c>
      <c r="Y122" s="33">
        <v>23</v>
      </c>
      <c r="Z122" s="33">
        <v>24</v>
      </c>
    </row>
    <row r="123" spans="1:27" x14ac:dyDescent="0.25">
      <c r="A123" s="40" t="s">
        <v>727</v>
      </c>
      <c r="B123" s="30" t="str">
        <f>CdTrp2!A76</f>
        <v>lot1</v>
      </c>
      <c r="C123" s="30">
        <f>CdTrp2!B76</f>
        <v>0</v>
      </c>
      <c r="D123" s="30">
        <f>CdTrp2!C76</f>
        <v>0</v>
      </c>
      <c r="E123" s="30">
        <f>CdTrp2!D76</f>
        <v>0</v>
      </c>
      <c r="F123" s="30">
        <f>CdTrp2!E76</f>
        <v>0</v>
      </c>
      <c r="G123" s="30">
        <f>CdTrp2!F76</f>
        <v>0</v>
      </c>
      <c r="H123" s="30">
        <f>CdTrp2!G76</f>
        <v>0</v>
      </c>
      <c r="I123" s="30">
        <f>CdTrp2!H76</f>
        <v>0</v>
      </c>
      <c r="J123" s="30">
        <f>CdTrp2!I76</f>
        <v>0</v>
      </c>
      <c r="K123" s="30">
        <f>CdTrp2!J76</f>
        <v>0</v>
      </c>
      <c r="L123" s="30">
        <f>CdTrp2!K76</f>
        <v>0</v>
      </c>
      <c r="M123" s="30">
        <f>CdTrp2!L76</f>
        <v>0</v>
      </c>
      <c r="N123" s="30">
        <f>CdTrp2!M76</f>
        <v>0</v>
      </c>
      <c r="O123" s="30">
        <f>CdTrp2!N76</f>
        <v>0</v>
      </c>
      <c r="P123" s="30">
        <f>CdTrp2!O76</f>
        <v>0</v>
      </c>
      <c r="Q123" s="30">
        <f>CdTrp2!P76</f>
        <v>0</v>
      </c>
      <c r="R123" s="30">
        <f>CdTrp2!Q76</f>
        <v>0</v>
      </c>
      <c r="S123" s="30">
        <f>CdTrp2!R76</f>
        <v>0</v>
      </c>
      <c r="T123" s="30">
        <f>CdTrp2!S76</f>
        <v>0</v>
      </c>
      <c r="U123" s="30">
        <f>CdTrp2!T76</f>
        <v>0</v>
      </c>
      <c r="V123" s="30">
        <f>CdTrp2!U76</f>
        <v>0</v>
      </c>
      <c r="W123" s="30">
        <f>CdTrp2!V76</f>
        <v>0</v>
      </c>
      <c r="X123" s="30">
        <f>CdTrp2!W76</f>
        <v>0</v>
      </c>
      <c r="Y123" s="30">
        <f>CdTrp2!X76</f>
        <v>0</v>
      </c>
      <c r="Z123" s="30">
        <f>CdTrp2!Y76</f>
        <v>0</v>
      </c>
    </row>
    <row r="124" spans="1:27" x14ac:dyDescent="0.25">
      <c r="B124" s="251" t="str">
        <f>CdTrp2!A77</f>
        <v>lot2</v>
      </c>
      <c r="C124" s="30">
        <f>CdTrp2!B77</f>
        <v>0</v>
      </c>
      <c r="D124" s="30">
        <f>CdTrp2!C77</f>
        <v>0</v>
      </c>
      <c r="E124" s="30">
        <f>CdTrp2!D77</f>
        <v>0</v>
      </c>
      <c r="F124" s="30">
        <f>CdTrp2!E77</f>
        <v>0</v>
      </c>
      <c r="G124" s="30">
        <f>CdTrp2!F77</f>
        <v>0</v>
      </c>
      <c r="H124" s="30">
        <f>CdTrp2!G77</f>
        <v>0</v>
      </c>
      <c r="I124" s="30">
        <f>CdTrp2!H77</f>
        <v>0</v>
      </c>
      <c r="J124" s="30">
        <f>CdTrp2!I77</f>
        <v>0</v>
      </c>
      <c r="K124" s="30">
        <f>CdTrp2!J77</f>
        <v>0</v>
      </c>
      <c r="L124" s="30">
        <f>CdTrp2!K77</f>
        <v>0</v>
      </c>
      <c r="M124" s="30">
        <f>CdTrp2!L77</f>
        <v>0</v>
      </c>
      <c r="N124" s="30">
        <f>CdTrp2!M77</f>
        <v>0</v>
      </c>
      <c r="O124" s="30">
        <f>CdTrp2!N77</f>
        <v>0</v>
      </c>
      <c r="P124" s="30">
        <f>CdTrp2!O77</f>
        <v>0</v>
      </c>
      <c r="Q124" s="30">
        <f>CdTrp2!P77</f>
        <v>0</v>
      </c>
      <c r="R124" s="30">
        <f>CdTrp2!Q77</f>
        <v>0</v>
      </c>
      <c r="S124" s="30">
        <f>CdTrp2!R77</f>
        <v>0</v>
      </c>
      <c r="T124" s="30">
        <f>CdTrp2!S77</f>
        <v>0</v>
      </c>
      <c r="U124" s="30">
        <f>CdTrp2!T77</f>
        <v>0</v>
      </c>
      <c r="V124" s="30">
        <f>CdTrp2!U77</f>
        <v>0</v>
      </c>
      <c r="W124" s="30">
        <f>CdTrp2!V77</f>
        <v>0</v>
      </c>
      <c r="X124" s="30">
        <f>CdTrp2!W77</f>
        <v>0</v>
      </c>
      <c r="Y124" s="30">
        <f>CdTrp2!X77</f>
        <v>0</v>
      </c>
      <c r="Z124" s="30">
        <f>CdTrp2!Y77</f>
        <v>0</v>
      </c>
    </row>
    <row r="125" spans="1:27" x14ac:dyDescent="0.25">
      <c r="B125" s="251" t="str">
        <f>CdTrp2!A78</f>
        <v>lot3</v>
      </c>
      <c r="C125" s="30">
        <f>CdTrp2!B78</f>
        <v>0</v>
      </c>
      <c r="D125" s="30">
        <f>CdTrp2!C78</f>
        <v>0</v>
      </c>
      <c r="E125" s="30">
        <f>CdTrp2!D78</f>
        <v>0</v>
      </c>
      <c r="F125" s="30">
        <f>CdTrp2!E78</f>
        <v>0</v>
      </c>
      <c r="G125" s="30">
        <f>CdTrp2!F78</f>
        <v>0</v>
      </c>
      <c r="H125" s="30">
        <f>CdTrp2!G78</f>
        <v>0</v>
      </c>
      <c r="I125" s="30">
        <f>CdTrp2!H78</f>
        <v>0</v>
      </c>
      <c r="J125" s="30">
        <f>CdTrp2!I78</f>
        <v>0</v>
      </c>
      <c r="K125" s="30">
        <f>CdTrp2!J78</f>
        <v>0</v>
      </c>
      <c r="L125" s="30">
        <f>CdTrp2!K78</f>
        <v>0</v>
      </c>
      <c r="M125" s="30">
        <f>CdTrp2!L78</f>
        <v>0</v>
      </c>
      <c r="N125" s="30">
        <f>CdTrp2!M78</f>
        <v>0</v>
      </c>
      <c r="O125" s="30">
        <f>CdTrp2!N78</f>
        <v>0</v>
      </c>
      <c r="P125" s="30">
        <f>CdTrp2!O78</f>
        <v>0</v>
      </c>
      <c r="Q125" s="30">
        <f>CdTrp2!P78</f>
        <v>0</v>
      </c>
      <c r="R125" s="30">
        <f>CdTrp2!Q78</f>
        <v>0</v>
      </c>
      <c r="S125" s="30">
        <f>CdTrp2!R78</f>
        <v>0</v>
      </c>
      <c r="T125" s="30">
        <f>CdTrp2!S78</f>
        <v>0</v>
      </c>
      <c r="U125" s="30">
        <f>CdTrp2!T78</f>
        <v>0</v>
      </c>
      <c r="V125" s="30">
        <f>CdTrp2!U78</f>
        <v>0</v>
      </c>
      <c r="W125" s="30">
        <f>CdTrp2!V78</f>
        <v>0</v>
      </c>
      <c r="X125" s="30">
        <f>CdTrp2!W78</f>
        <v>0</v>
      </c>
      <c r="Y125" s="30">
        <f>CdTrp2!X78</f>
        <v>0</v>
      </c>
      <c r="Z125" s="30">
        <f>CdTrp2!Y78</f>
        <v>0</v>
      </c>
    </row>
    <row r="126" spans="1:27" x14ac:dyDescent="0.25">
      <c r="B126" s="30" t="str">
        <f>CdTrp2!A79</f>
        <v>lot4</v>
      </c>
      <c r="C126" s="30">
        <f>CdTrp2!B79</f>
        <v>0</v>
      </c>
      <c r="D126" s="30">
        <f>CdTrp2!C79</f>
        <v>0</v>
      </c>
      <c r="E126" s="30">
        <f>CdTrp2!D79</f>
        <v>0</v>
      </c>
      <c r="F126" s="30">
        <f>CdTrp2!E79</f>
        <v>0</v>
      </c>
      <c r="G126" s="30">
        <f>CdTrp2!F79</f>
        <v>0</v>
      </c>
      <c r="H126" s="30">
        <f>CdTrp2!G79</f>
        <v>0</v>
      </c>
      <c r="I126" s="30">
        <f>CdTrp2!H79</f>
        <v>0</v>
      </c>
      <c r="J126" s="30">
        <f>CdTrp2!I79</f>
        <v>0</v>
      </c>
      <c r="K126" s="30">
        <f>CdTrp2!J79</f>
        <v>0</v>
      </c>
      <c r="L126" s="30">
        <f>CdTrp2!K79</f>
        <v>0</v>
      </c>
      <c r="M126" s="30">
        <f>CdTrp2!L79</f>
        <v>0</v>
      </c>
      <c r="N126" s="30">
        <f>CdTrp2!M79</f>
        <v>0</v>
      </c>
      <c r="O126" s="30">
        <f>CdTrp2!N79</f>
        <v>0</v>
      </c>
      <c r="P126" s="30">
        <f>CdTrp2!O79</f>
        <v>0</v>
      </c>
      <c r="Q126" s="30">
        <f>CdTrp2!P79</f>
        <v>0</v>
      </c>
      <c r="R126" s="30">
        <f>CdTrp2!Q79</f>
        <v>0</v>
      </c>
      <c r="S126" s="30">
        <f>CdTrp2!R79</f>
        <v>0</v>
      </c>
      <c r="T126" s="30">
        <f>CdTrp2!S79</f>
        <v>0</v>
      </c>
      <c r="U126" s="30">
        <f>CdTrp2!T79</f>
        <v>0</v>
      </c>
      <c r="V126" s="30">
        <f>CdTrp2!U79</f>
        <v>0</v>
      </c>
      <c r="W126" s="30">
        <f>CdTrp2!V79</f>
        <v>0</v>
      </c>
      <c r="X126" s="30">
        <f>CdTrp2!W79</f>
        <v>0</v>
      </c>
      <c r="Y126" s="30">
        <f>CdTrp2!X79</f>
        <v>0</v>
      </c>
      <c r="Z126" s="30">
        <f>CdTrp2!Y79</f>
        <v>0</v>
      </c>
    </row>
    <row r="127" spans="1:27" x14ac:dyDescent="0.25">
      <c r="B127" s="251" t="str">
        <f>CdTrp2!A80</f>
        <v>lot5</v>
      </c>
      <c r="C127" s="30">
        <f>CdTrp2!B80</f>
        <v>0</v>
      </c>
      <c r="D127" s="30">
        <f>CdTrp2!C80</f>
        <v>0</v>
      </c>
      <c r="E127" s="30">
        <f>CdTrp2!D80</f>
        <v>0</v>
      </c>
      <c r="F127" s="30">
        <f>CdTrp2!E80</f>
        <v>0</v>
      </c>
      <c r="G127" s="30">
        <f>CdTrp2!F80</f>
        <v>0</v>
      </c>
      <c r="H127" s="30">
        <f>CdTrp2!G80</f>
        <v>0</v>
      </c>
      <c r="I127" s="30">
        <f>CdTrp2!H80</f>
        <v>0</v>
      </c>
      <c r="J127" s="30">
        <f>CdTrp2!I80</f>
        <v>0</v>
      </c>
      <c r="K127" s="30">
        <f>CdTrp2!J80</f>
        <v>0</v>
      </c>
      <c r="L127" s="30">
        <f>CdTrp2!K80</f>
        <v>0</v>
      </c>
      <c r="M127" s="30">
        <f>CdTrp2!L80</f>
        <v>0</v>
      </c>
      <c r="N127" s="30">
        <f>CdTrp2!M80</f>
        <v>0</v>
      </c>
      <c r="O127" s="30">
        <f>CdTrp2!N80</f>
        <v>0</v>
      </c>
      <c r="P127" s="30">
        <f>CdTrp2!O80</f>
        <v>0</v>
      </c>
      <c r="Q127" s="30">
        <f>CdTrp2!P80</f>
        <v>0</v>
      </c>
      <c r="R127" s="30">
        <f>CdTrp2!Q80</f>
        <v>0</v>
      </c>
      <c r="S127" s="30">
        <f>CdTrp2!R80</f>
        <v>0</v>
      </c>
      <c r="T127" s="30">
        <f>CdTrp2!S80</f>
        <v>0</v>
      </c>
      <c r="U127" s="30">
        <f>CdTrp2!T80</f>
        <v>0</v>
      </c>
      <c r="V127" s="30">
        <f>CdTrp2!U80</f>
        <v>0</v>
      </c>
      <c r="W127" s="30">
        <f>CdTrp2!V80</f>
        <v>0</v>
      </c>
      <c r="X127" s="30">
        <f>CdTrp2!W80</f>
        <v>0</v>
      </c>
      <c r="Y127" s="30">
        <f>CdTrp2!X80</f>
        <v>0</v>
      </c>
      <c r="Z127" s="30">
        <f>CdTrp2!Y80</f>
        <v>0</v>
      </c>
    </row>
    <row r="128" spans="1:27" x14ac:dyDescent="0.25">
      <c r="B128" s="30" t="str">
        <f>CdTrp2!A81</f>
        <v>lot6</v>
      </c>
      <c r="C128" s="30">
        <f>CdTrp2!B81</f>
        <v>0</v>
      </c>
      <c r="D128" s="30">
        <f>CdTrp2!C81</f>
        <v>0</v>
      </c>
      <c r="E128" s="30">
        <f>CdTrp2!D81</f>
        <v>0</v>
      </c>
      <c r="F128" s="30">
        <f>CdTrp2!E81</f>
        <v>0</v>
      </c>
      <c r="G128" s="30">
        <f>CdTrp2!F81</f>
        <v>0</v>
      </c>
      <c r="H128" s="30">
        <f>CdTrp2!G81</f>
        <v>0</v>
      </c>
      <c r="I128" s="30">
        <f>CdTrp2!H81</f>
        <v>0</v>
      </c>
      <c r="J128" s="30">
        <f>CdTrp2!I81</f>
        <v>0</v>
      </c>
      <c r="K128" s="30">
        <f>CdTrp2!J81</f>
        <v>0</v>
      </c>
      <c r="L128" s="30">
        <f>CdTrp2!K81</f>
        <v>0</v>
      </c>
      <c r="M128" s="30">
        <f>CdTrp2!L81</f>
        <v>0</v>
      </c>
      <c r="N128" s="30">
        <f>CdTrp2!M81</f>
        <v>0</v>
      </c>
      <c r="O128" s="30">
        <f>CdTrp2!N81</f>
        <v>0</v>
      </c>
      <c r="P128" s="30">
        <f>CdTrp2!O81</f>
        <v>0</v>
      </c>
      <c r="Q128" s="30">
        <f>CdTrp2!P81</f>
        <v>0</v>
      </c>
      <c r="R128" s="30">
        <f>CdTrp2!Q81</f>
        <v>0</v>
      </c>
      <c r="S128" s="30">
        <f>CdTrp2!R81</f>
        <v>0</v>
      </c>
      <c r="T128" s="30">
        <f>CdTrp2!S81</f>
        <v>0</v>
      </c>
      <c r="U128" s="30">
        <f>CdTrp2!T81</f>
        <v>0</v>
      </c>
      <c r="V128" s="30">
        <f>CdTrp2!U81</f>
        <v>0</v>
      </c>
      <c r="W128" s="30">
        <f>CdTrp2!V81</f>
        <v>0</v>
      </c>
      <c r="X128" s="30">
        <f>CdTrp2!W81</f>
        <v>0</v>
      </c>
      <c r="Y128" s="30">
        <f>CdTrp2!X81</f>
        <v>0</v>
      </c>
      <c r="Z128" s="30">
        <f>CdTrp2!Y81</f>
        <v>0</v>
      </c>
    </row>
    <row r="129" spans="1:26" x14ac:dyDescent="0.25">
      <c r="B129" s="251" t="str">
        <f>CdTrp2!A82</f>
        <v>lot7</v>
      </c>
      <c r="C129" s="30">
        <f>CdTrp2!B82</f>
        <v>0</v>
      </c>
      <c r="D129" s="30">
        <f>CdTrp2!C82</f>
        <v>0</v>
      </c>
      <c r="E129" s="30">
        <f>CdTrp2!D82</f>
        <v>0</v>
      </c>
      <c r="F129" s="30">
        <f>CdTrp2!E82</f>
        <v>0</v>
      </c>
      <c r="G129" s="30">
        <f>CdTrp2!F82</f>
        <v>0</v>
      </c>
      <c r="H129" s="30">
        <f>CdTrp2!G82</f>
        <v>0</v>
      </c>
      <c r="I129" s="30">
        <f>CdTrp2!H82</f>
        <v>0</v>
      </c>
      <c r="J129" s="30">
        <f>CdTrp2!I82</f>
        <v>0</v>
      </c>
      <c r="K129" s="30">
        <f>CdTrp2!J82</f>
        <v>0</v>
      </c>
      <c r="L129" s="30">
        <f>CdTrp2!K82</f>
        <v>0</v>
      </c>
      <c r="M129" s="30">
        <f>CdTrp2!L82</f>
        <v>0</v>
      </c>
      <c r="N129" s="30">
        <f>CdTrp2!M82</f>
        <v>0</v>
      </c>
      <c r="O129" s="30">
        <f>CdTrp2!N82</f>
        <v>0</v>
      </c>
      <c r="P129" s="30">
        <f>CdTrp2!O82</f>
        <v>0</v>
      </c>
      <c r="Q129" s="30">
        <f>CdTrp2!P82</f>
        <v>0</v>
      </c>
      <c r="R129" s="30">
        <f>CdTrp2!Q82</f>
        <v>0</v>
      </c>
      <c r="S129" s="30">
        <f>CdTrp2!R82</f>
        <v>0</v>
      </c>
      <c r="T129" s="30">
        <f>CdTrp2!S82</f>
        <v>0</v>
      </c>
      <c r="U129" s="30">
        <f>CdTrp2!T82</f>
        <v>0</v>
      </c>
      <c r="V129" s="30">
        <f>CdTrp2!U82</f>
        <v>0</v>
      </c>
      <c r="W129" s="30">
        <f>CdTrp2!V82</f>
        <v>0</v>
      </c>
      <c r="X129" s="30">
        <f>CdTrp2!W82</f>
        <v>0</v>
      </c>
      <c r="Y129" s="30">
        <f>CdTrp2!X82</f>
        <v>0</v>
      </c>
      <c r="Z129" s="30">
        <f>CdTrp2!Y82</f>
        <v>0</v>
      </c>
    </row>
    <row r="130" spans="1:26" x14ac:dyDescent="0.25">
      <c r="B130" s="251" t="str">
        <f>CdTrp2!A83</f>
        <v>lot8</v>
      </c>
      <c r="C130" s="30">
        <f>CdTrp2!B83</f>
        <v>0</v>
      </c>
      <c r="D130" s="30">
        <f>CdTrp2!C83</f>
        <v>0</v>
      </c>
      <c r="E130" s="30">
        <f>CdTrp2!D83</f>
        <v>0</v>
      </c>
      <c r="F130" s="30">
        <f>CdTrp2!E83</f>
        <v>0</v>
      </c>
      <c r="G130" s="30">
        <f>CdTrp2!F83</f>
        <v>0</v>
      </c>
      <c r="H130" s="30">
        <f>CdTrp2!G83</f>
        <v>0</v>
      </c>
      <c r="I130" s="30">
        <f>CdTrp2!H83</f>
        <v>0</v>
      </c>
      <c r="J130" s="30">
        <f>CdTrp2!I83</f>
        <v>0</v>
      </c>
      <c r="K130" s="30">
        <f>CdTrp2!J83</f>
        <v>0</v>
      </c>
      <c r="L130" s="30">
        <f>CdTrp2!K83</f>
        <v>0</v>
      </c>
      <c r="M130" s="30">
        <f>CdTrp2!L83</f>
        <v>0</v>
      </c>
      <c r="N130" s="30">
        <f>CdTrp2!M83</f>
        <v>0</v>
      </c>
      <c r="O130" s="30">
        <f>CdTrp2!N83</f>
        <v>0</v>
      </c>
      <c r="P130" s="30">
        <f>CdTrp2!O83</f>
        <v>0</v>
      </c>
      <c r="Q130" s="30">
        <f>CdTrp2!P83</f>
        <v>0</v>
      </c>
      <c r="R130" s="30">
        <f>CdTrp2!Q83</f>
        <v>0</v>
      </c>
      <c r="S130" s="30">
        <f>CdTrp2!R83</f>
        <v>0</v>
      </c>
      <c r="T130" s="30">
        <f>CdTrp2!S83</f>
        <v>0</v>
      </c>
      <c r="U130" s="30">
        <f>CdTrp2!T83</f>
        <v>0</v>
      </c>
      <c r="V130" s="30">
        <f>CdTrp2!U83</f>
        <v>0</v>
      </c>
      <c r="W130" s="30">
        <f>CdTrp2!V83</f>
        <v>0</v>
      </c>
      <c r="X130" s="30">
        <f>CdTrp2!W83</f>
        <v>0</v>
      </c>
      <c r="Y130" s="30">
        <f>CdTrp2!X83</f>
        <v>0</v>
      </c>
      <c r="Z130" s="30">
        <f>CdTrp2!Y83</f>
        <v>0</v>
      </c>
    </row>
    <row r="131" spans="1:26" x14ac:dyDescent="0.25">
      <c r="B131" s="30" t="str">
        <f>CdTrp2!A84</f>
        <v>lot9</v>
      </c>
      <c r="C131" s="30">
        <f>CdTrp2!B84</f>
        <v>0</v>
      </c>
      <c r="D131" s="30">
        <f>CdTrp2!C84</f>
        <v>0</v>
      </c>
      <c r="E131" s="30">
        <f>CdTrp2!D84</f>
        <v>0</v>
      </c>
      <c r="F131" s="30">
        <f>CdTrp2!E84</f>
        <v>0</v>
      </c>
      <c r="G131" s="30">
        <f>CdTrp2!F84</f>
        <v>0</v>
      </c>
      <c r="H131" s="30">
        <f>CdTrp2!G84</f>
        <v>0</v>
      </c>
      <c r="I131" s="30">
        <f>CdTrp2!H84</f>
        <v>0</v>
      </c>
      <c r="J131" s="30">
        <f>CdTrp2!I84</f>
        <v>0</v>
      </c>
      <c r="K131" s="30">
        <f>CdTrp2!J84</f>
        <v>0</v>
      </c>
      <c r="L131" s="30">
        <f>CdTrp2!K84</f>
        <v>0</v>
      </c>
      <c r="M131" s="30">
        <f>CdTrp2!L84</f>
        <v>0</v>
      </c>
      <c r="N131" s="30">
        <f>CdTrp2!M84</f>
        <v>0</v>
      </c>
      <c r="O131" s="30">
        <f>CdTrp2!N84</f>
        <v>0</v>
      </c>
      <c r="P131" s="30">
        <f>CdTrp2!O84</f>
        <v>0</v>
      </c>
      <c r="Q131" s="30">
        <f>CdTrp2!P84</f>
        <v>0</v>
      </c>
      <c r="R131" s="30">
        <f>CdTrp2!Q84</f>
        <v>0</v>
      </c>
      <c r="S131" s="30">
        <f>CdTrp2!R84</f>
        <v>0</v>
      </c>
      <c r="T131" s="30">
        <f>CdTrp2!S84</f>
        <v>0</v>
      </c>
      <c r="U131" s="30">
        <f>CdTrp2!T84</f>
        <v>0</v>
      </c>
      <c r="V131" s="30">
        <f>CdTrp2!U84</f>
        <v>0</v>
      </c>
      <c r="W131" s="30">
        <f>CdTrp2!V84</f>
        <v>0</v>
      </c>
      <c r="X131" s="30">
        <f>CdTrp2!W84</f>
        <v>0</v>
      </c>
      <c r="Y131" s="30">
        <f>CdTrp2!X84</f>
        <v>0</v>
      </c>
      <c r="Z131" s="30">
        <f>CdTrp2!Y84</f>
        <v>0</v>
      </c>
    </row>
    <row r="132" spans="1:26" x14ac:dyDescent="0.25">
      <c r="B132" s="251" t="str">
        <f>CdTrp2!A85</f>
        <v>lot10</v>
      </c>
      <c r="C132" s="30">
        <f>CdTrp2!B85</f>
        <v>0</v>
      </c>
      <c r="D132" s="30">
        <f>CdTrp2!C85</f>
        <v>0</v>
      </c>
      <c r="E132" s="30">
        <f>CdTrp2!D85</f>
        <v>0</v>
      </c>
      <c r="F132" s="30">
        <f>CdTrp2!E85</f>
        <v>0</v>
      </c>
      <c r="G132" s="30">
        <f>CdTrp2!F85</f>
        <v>0</v>
      </c>
      <c r="H132" s="30">
        <f>CdTrp2!G85</f>
        <v>0</v>
      </c>
      <c r="I132" s="30">
        <f>CdTrp2!H85</f>
        <v>0</v>
      </c>
      <c r="J132" s="30">
        <f>CdTrp2!I85</f>
        <v>0</v>
      </c>
      <c r="K132" s="30">
        <f>CdTrp2!J85</f>
        <v>0</v>
      </c>
      <c r="L132" s="30">
        <f>CdTrp2!K85</f>
        <v>0</v>
      </c>
      <c r="M132" s="30">
        <f>CdTrp2!L85</f>
        <v>0</v>
      </c>
      <c r="N132" s="30">
        <f>CdTrp2!M85</f>
        <v>0</v>
      </c>
      <c r="O132" s="30">
        <f>CdTrp2!N85</f>
        <v>0</v>
      </c>
      <c r="P132" s="30">
        <f>CdTrp2!O85</f>
        <v>0</v>
      </c>
      <c r="Q132" s="30">
        <f>CdTrp2!P85</f>
        <v>0</v>
      </c>
      <c r="R132" s="30">
        <f>CdTrp2!Q85</f>
        <v>0</v>
      </c>
      <c r="S132" s="30">
        <f>CdTrp2!R85</f>
        <v>0</v>
      </c>
      <c r="T132" s="30">
        <f>CdTrp2!S85</f>
        <v>0</v>
      </c>
      <c r="U132" s="30">
        <f>CdTrp2!T85</f>
        <v>0</v>
      </c>
      <c r="V132" s="30">
        <f>CdTrp2!U85</f>
        <v>0</v>
      </c>
      <c r="W132" s="30">
        <f>CdTrp2!V85</f>
        <v>0</v>
      </c>
      <c r="X132" s="30">
        <f>CdTrp2!W85</f>
        <v>0</v>
      </c>
      <c r="Y132" s="30">
        <f>CdTrp2!X85</f>
        <v>0</v>
      </c>
      <c r="Z132" s="30">
        <f>CdTrp2!Y85</f>
        <v>0</v>
      </c>
    </row>
    <row r="133" spans="1:26" x14ac:dyDescent="0.25">
      <c r="A133"/>
    </row>
    <row r="134" spans="1:26" x14ac:dyDescent="0.25">
      <c r="A134"/>
    </row>
    <row r="135" spans="1:26" x14ac:dyDescent="0.25">
      <c r="A135"/>
    </row>
    <row r="136" spans="1:26" x14ac:dyDescent="0.25">
      <c r="A136"/>
    </row>
    <row r="137" spans="1:26" x14ac:dyDescent="0.25">
      <c r="A137"/>
    </row>
    <row r="138" spans="1:26" x14ac:dyDescent="0.25">
      <c r="A138"/>
    </row>
    <row r="139" spans="1:26" x14ac:dyDescent="0.25">
      <c r="A139"/>
    </row>
    <row r="140" spans="1:26" x14ac:dyDescent="0.25">
      <c r="A140"/>
    </row>
    <row r="141" spans="1:26" x14ac:dyDescent="0.25">
      <c r="A141"/>
    </row>
    <row r="142" spans="1:26" x14ac:dyDescent="0.25">
      <c r="A142"/>
    </row>
    <row r="143" spans="1:26" x14ac:dyDescent="0.25">
      <c r="A143"/>
    </row>
    <row r="144" spans="1:26" x14ac:dyDescent="0.25">
      <c r="A144"/>
    </row>
    <row r="145" spans="1:27" x14ac:dyDescent="0.25">
      <c r="A145"/>
    </row>
    <row r="146" spans="1:27" x14ac:dyDescent="0.25">
      <c r="A146"/>
    </row>
    <row r="147" spans="1:27" x14ac:dyDescent="0.25">
      <c r="A147"/>
    </row>
    <row r="148" spans="1:27" x14ac:dyDescent="0.25">
      <c r="A148"/>
    </row>
    <row r="149" spans="1:27" x14ac:dyDescent="0.25">
      <c r="A149"/>
    </row>
    <row r="150" spans="1:27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7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7" x14ac:dyDescent="0.25">
      <c r="A152" s="40" t="s">
        <v>96</v>
      </c>
      <c r="C152" s="33">
        <v>1</v>
      </c>
      <c r="D152" s="33">
        <v>2</v>
      </c>
      <c r="E152" s="33">
        <v>3</v>
      </c>
      <c r="F152" s="33">
        <v>4</v>
      </c>
      <c r="G152" s="33">
        <v>5</v>
      </c>
      <c r="H152" s="33">
        <v>6</v>
      </c>
      <c r="I152" s="33">
        <v>7</v>
      </c>
      <c r="J152" s="33">
        <v>8</v>
      </c>
      <c r="K152" s="33">
        <v>9</v>
      </c>
      <c r="L152" s="33">
        <v>10</v>
      </c>
      <c r="M152" s="33">
        <v>11</v>
      </c>
      <c r="N152" s="33">
        <v>12</v>
      </c>
      <c r="O152" s="33">
        <v>13</v>
      </c>
      <c r="P152" s="33">
        <v>14</v>
      </c>
      <c r="Q152" s="33">
        <v>15</v>
      </c>
      <c r="R152" s="33">
        <v>16</v>
      </c>
      <c r="S152" s="33">
        <v>17</v>
      </c>
      <c r="T152" s="33">
        <v>18</v>
      </c>
      <c r="U152" s="33">
        <v>19</v>
      </c>
      <c r="V152" s="33">
        <v>20</v>
      </c>
      <c r="W152" s="33">
        <v>21</v>
      </c>
      <c r="X152" s="33">
        <v>22</v>
      </c>
      <c r="Y152" s="33">
        <v>23</v>
      </c>
      <c r="Z152" s="33">
        <v>24</v>
      </c>
      <c r="AA152" s="176" t="s">
        <v>723</v>
      </c>
    </row>
    <row r="153" spans="1:27" x14ac:dyDescent="0.25">
      <c r="A153" s="40" t="s">
        <v>728</v>
      </c>
      <c r="B153" s="180" t="str">
        <f>CdTrp3!A52</f>
        <v>lot1</v>
      </c>
      <c r="C153" s="168">
        <f>IF($AA153=0,99,IF(C166&gt;3,CdTrp3!B76,CdTrp3!B52))</f>
        <v>99</v>
      </c>
      <c r="D153" s="168">
        <f>IF($AA153=0,99,IF(D166&gt;3,CdTrp3!C76,CdTrp3!C52))</f>
        <v>99</v>
      </c>
      <c r="E153" s="168">
        <f>IF($AA153=0,99,IF(E166&gt;3,CdTrp3!D76,CdTrp3!D52))</f>
        <v>99</v>
      </c>
      <c r="F153" s="168">
        <f>IF($AA153=0,99,IF(F166&gt;3,CdTrp3!E76,CdTrp3!E52))</f>
        <v>99</v>
      </c>
      <c r="G153" s="168">
        <f>IF($AA153=0,99,IF(G166&gt;3,CdTrp3!F76,CdTrp3!F52))</f>
        <v>99</v>
      </c>
      <c r="H153" s="168">
        <f>IF($AA153=0,99,IF(H166&gt;3,CdTrp3!G76,CdTrp3!G52))</f>
        <v>99</v>
      </c>
      <c r="I153" s="168">
        <f>IF($AA153=0,99,IF(I166&gt;3,CdTrp3!H76,CdTrp3!H52))</f>
        <v>99</v>
      </c>
      <c r="J153" s="168">
        <f>IF($AA153=0,99,IF(J166&gt;3,CdTrp3!I76,CdTrp3!I52))</f>
        <v>99</v>
      </c>
      <c r="K153" s="168">
        <f>IF($AA153=0,99,IF(K166&gt;3,CdTrp3!J76,CdTrp3!J52))</f>
        <v>99</v>
      </c>
      <c r="L153" s="168">
        <f>IF($AA153=0,99,IF(L166&gt;3,CdTrp3!K76,CdTrp3!K52))</f>
        <v>99</v>
      </c>
      <c r="M153" s="168">
        <f>IF($AA153=0,99,IF(M166&gt;3,CdTrp3!L76,CdTrp3!L52))</f>
        <v>99</v>
      </c>
      <c r="N153" s="168">
        <f>IF($AA153=0,99,IF(N166&gt;3,CdTrp3!M76,CdTrp3!M52))</f>
        <v>99</v>
      </c>
      <c r="O153" s="168">
        <f>IF($AA153=0,99,IF(O166&gt;3,CdTrp3!N76,CdTrp3!N52))</f>
        <v>99</v>
      </c>
      <c r="P153" s="168">
        <f>IF($AA153=0,99,IF(P166&gt;3,CdTrp3!O76,CdTrp3!O52))</f>
        <v>99</v>
      </c>
      <c r="Q153" s="168">
        <f>IF($AA153=0,99,IF(Q166&gt;3,CdTrp3!P76,CdTrp3!P52))</f>
        <v>99</v>
      </c>
      <c r="R153" s="168">
        <f>IF($AA153=0,99,IF(R166&gt;3,CdTrp3!Q76,CdTrp3!Q52))</f>
        <v>99</v>
      </c>
      <c r="S153" s="168">
        <f>IF($AA153=0,99,IF(S166&gt;3,CdTrp3!R76,CdTrp3!R52))</f>
        <v>99</v>
      </c>
      <c r="T153" s="168">
        <f>IF($AA153=0,99,IF(T166&gt;3,CdTrp3!S76,CdTrp3!S52))</f>
        <v>99</v>
      </c>
      <c r="U153" s="168">
        <f>IF($AA153=0,99,IF(U166&gt;3,CdTrp3!T76,CdTrp3!T52))</f>
        <v>99</v>
      </c>
      <c r="V153" s="168">
        <f>IF($AA153=0,99,IF(V166&gt;3,CdTrp3!U76,CdTrp3!U52))</f>
        <v>99</v>
      </c>
      <c r="W153" s="168">
        <f>IF($AA153=0,99,IF(W166&gt;3,CdTrp3!V76,CdTrp3!V52))</f>
        <v>99</v>
      </c>
      <c r="X153" s="168">
        <f>IF($AA153=0,99,IF(X166&gt;3,CdTrp3!W76,CdTrp3!W52))</f>
        <v>99</v>
      </c>
      <c r="Y153" s="168">
        <f>IF($AA153=0,99,IF(Y166&gt;3,CdTrp3!X76,CdTrp3!X52))</f>
        <v>99</v>
      </c>
      <c r="Z153" s="168">
        <f>IF($AA153=0,99,IF(Z166&gt;3,CdTrp3!Y76,CdTrp3!Y52))</f>
        <v>99</v>
      </c>
      <c r="AA153" s="177">
        <f>SUM(CdTrp3!B15:Y15)/24</f>
        <v>0</v>
      </c>
    </row>
    <row r="154" spans="1:27" x14ac:dyDescent="0.25">
      <c r="B154" s="254" t="str">
        <f>CdTrp3!A53</f>
        <v>lot2</v>
      </c>
      <c r="C154" s="168">
        <f>IF($AA154=0,99,IF(C167&gt;3,CdTrp3!B77,CdTrp3!B53))</f>
        <v>99</v>
      </c>
      <c r="D154" s="168">
        <f>IF($AA154=0,99,IF(D167&gt;3,CdTrp3!C77,CdTrp3!C53))</f>
        <v>99</v>
      </c>
      <c r="E154" s="168">
        <f>IF($AA154=0,99,IF(E167&gt;3,CdTrp3!D77,CdTrp3!D53))</f>
        <v>99</v>
      </c>
      <c r="F154" s="168">
        <f>IF($AA154=0,99,IF(F167&gt;3,CdTrp3!E77,CdTrp3!E53))</f>
        <v>99</v>
      </c>
      <c r="G154" s="168">
        <f>IF($AA154=0,99,IF(G167&gt;3,CdTrp3!F77,CdTrp3!F53))</f>
        <v>99</v>
      </c>
      <c r="H154" s="168">
        <f>IF($AA154=0,99,IF(H167&gt;3,CdTrp3!G77,CdTrp3!G53))</f>
        <v>99</v>
      </c>
      <c r="I154" s="168">
        <f>IF($AA154=0,99,IF(I167&gt;3,CdTrp3!H77,CdTrp3!H53))</f>
        <v>99</v>
      </c>
      <c r="J154" s="168">
        <f>IF($AA154=0,99,IF(J167&gt;3,CdTrp3!I77,CdTrp3!I53))</f>
        <v>99</v>
      </c>
      <c r="K154" s="168">
        <f>IF($AA154=0,99,IF(K167&gt;3,CdTrp3!J77,CdTrp3!J53))</f>
        <v>99</v>
      </c>
      <c r="L154" s="168">
        <f>IF($AA154=0,99,IF(L167&gt;3,CdTrp3!K77,CdTrp3!K53))</f>
        <v>99</v>
      </c>
      <c r="M154" s="168">
        <f>IF($AA154=0,99,IF(M167&gt;3,CdTrp3!L77,CdTrp3!L53))</f>
        <v>99</v>
      </c>
      <c r="N154" s="168">
        <f>IF($AA154=0,99,IF(N167&gt;3,CdTrp3!M77,CdTrp3!M53))</f>
        <v>99</v>
      </c>
      <c r="O154" s="168">
        <f>IF($AA154=0,99,IF(O167&gt;3,CdTrp3!N77,CdTrp3!N53))</f>
        <v>99</v>
      </c>
      <c r="P154" s="168">
        <f>IF($AA154=0,99,IF(P167&gt;3,CdTrp3!O77,CdTrp3!O53))</f>
        <v>99</v>
      </c>
      <c r="Q154" s="168">
        <f>IF($AA154=0,99,IF(Q167&gt;3,CdTrp3!P77,CdTrp3!P53))</f>
        <v>99</v>
      </c>
      <c r="R154" s="168">
        <f>IF($AA154=0,99,IF(R167&gt;3,CdTrp3!Q77,CdTrp3!Q53))</f>
        <v>99</v>
      </c>
      <c r="S154" s="168">
        <f>IF($AA154=0,99,IF(S167&gt;3,CdTrp3!R77,CdTrp3!R53))</f>
        <v>99</v>
      </c>
      <c r="T154" s="168">
        <f>IF($AA154=0,99,IF(T167&gt;3,CdTrp3!S77,CdTrp3!S53))</f>
        <v>99</v>
      </c>
      <c r="U154" s="168">
        <f>IF($AA154=0,99,IF(U167&gt;3,CdTrp3!T77,CdTrp3!T53))</f>
        <v>99</v>
      </c>
      <c r="V154" s="168">
        <f>IF($AA154=0,99,IF(V167&gt;3,CdTrp3!U77,CdTrp3!U53))</f>
        <v>99</v>
      </c>
      <c r="W154" s="168">
        <f>IF($AA154=0,99,IF(W167&gt;3,CdTrp3!V77,CdTrp3!V53))</f>
        <v>99</v>
      </c>
      <c r="X154" s="168">
        <f>IF($AA154=0,99,IF(X167&gt;3,CdTrp3!W77,CdTrp3!W53))</f>
        <v>99</v>
      </c>
      <c r="Y154" s="168">
        <f>IF($AA154=0,99,IF(Y167&gt;3,CdTrp3!X77,CdTrp3!X53))</f>
        <v>99</v>
      </c>
      <c r="Z154" s="168">
        <f>IF($AA154=0,99,IF(Z167&gt;3,CdTrp3!Y77,CdTrp3!Y53))</f>
        <v>99</v>
      </c>
      <c r="AA154" s="177">
        <f>SUM(CdTrp3!B16:Y16)/24</f>
        <v>0</v>
      </c>
    </row>
    <row r="155" spans="1:27" x14ac:dyDescent="0.25">
      <c r="B155" s="254" t="str">
        <f>CdTrp3!A54</f>
        <v>lot3</v>
      </c>
      <c r="C155" s="168">
        <f>IF($AA155=0,99,IF(C168&gt;3,CdTrp3!B78,CdTrp3!B54))</f>
        <v>99</v>
      </c>
      <c r="D155" s="168">
        <f>IF($AA155=0,99,IF(D168&gt;3,CdTrp3!C78,CdTrp3!C54))</f>
        <v>99</v>
      </c>
      <c r="E155" s="168">
        <f>IF($AA155=0,99,IF(E168&gt;3,CdTrp3!D78,CdTrp3!D54))</f>
        <v>99</v>
      </c>
      <c r="F155" s="168">
        <f>IF($AA155=0,99,IF(F168&gt;3,CdTrp3!E78,CdTrp3!E54))</f>
        <v>99</v>
      </c>
      <c r="G155" s="168">
        <f>IF($AA155=0,99,IF(G168&gt;3,CdTrp3!F78,CdTrp3!F54))</f>
        <v>99</v>
      </c>
      <c r="H155" s="168">
        <f>IF($AA155=0,99,IF(H168&gt;3,CdTrp3!G78,CdTrp3!G54))</f>
        <v>99</v>
      </c>
      <c r="I155" s="168">
        <f>IF($AA155=0,99,IF(I168&gt;3,CdTrp3!H78,CdTrp3!H54))</f>
        <v>99</v>
      </c>
      <c r="J155" s="168">
        <f>IF($AA155=0,99,IF(J168&gt;3,CdTrp3!I78,CdTrp3!I54))</f>
        <v>99</v>
      </c>
      <c r="K155" s="168">
        <f>IF($AA155=0,99,IF(K168&gt;3,CdTrp3!J78,CdTrp3!J54))</f>
        <v>99</v>
      </c>
      <c r="L155" s="168">
        <f>IF($AA155=0,99,IF(L168&gt;3,CdTrp3!K78,CdTrp3!K54))</f>
        <v>99</v>
      </c>
      <c r="M155" s="168">
        <f>IF($AA155=0,99,IF(M168&gt;3,CdTrp3!L78,CdTrp3!L54))</f>
        <v>99</v>
      </c>
      <c r="N155" s="168">
        <f>IF($AA155=0,99,IF(N168&gt;3,CdTrp3!M78,CdTrp3!M54))</f>
        <v>99</v>
      </c>
      <c r="O155" s="168">
        <f>IF($AA155=0,99,IF(O168&gt;3,CdTrp3!N78,CdTrp3!N54))</f>
        <v>99</v>
      </c>
      <c r="P155" s="168">
        <f>IF($AA155=0,99,IF(P168&gt;3,CdTrp3!O78,CdTrp3!O54))</f>
        <v>99</v>
      </c>
      <c r="Q155" s="168">
        <f>IF($AA155=0,99,IF(Q168&gt;3,CdTrp3!P78,CdTrp3!P54))</f>
        <v>99</v>
      </c>
      <c r="R155" s="168">
        <f>IF($AA155=0,99,IF(R168&gt;3,CdTrp3!Q78,CdTrp3!Q54))</f>
        <v>99</v>
      </c>
      <c r="S155" s="168">
        <f>IF($AA155=0,99,IF(S168&gt;3,CdTrp3!R78,CdTrp3!R54))</f>
        <v>99</v>
      </c>
      <c r="T155" s="168">
        <f>IF($AA155=0,99,IF(T168&gt;3,CdTrp3!S78,CdTrp3!S54))</f>
        <v>99</v>
      </c>
      <c r="U155" s="168">
        <f>IF($AA155=0,99,IF(U168&gt;3,CdTrp3!T78,CdTrp3!T54))</f>
        <v>99</v>
      </c>
      <c r="V155" s="168">
        <f>IF($AA155=0,99,IF(V168&gt;3,CdTrp3!U78,CdTrp3!U54))</f>
        <v>99</v>
      </c>
      <c r="W155" s="168">
        <f>IF($AA155=0,99,IF(W168&gt;3,CdTrp3!V78,CdTrp3!V54))</f>
        <v>99</v>
      </c>
      <c r="X155" s="168">
        <f>IF($AA155=0,99,IF(X168&gt;3,CdTrp3!W78,CdTrp3!W54))</f>
        <v>99</v>
      </c>
      <c r="Y155" s="168">
        <f>IF($AA155=0,99,IF(Y168&gt;3,CdTrp3!X78,CdTrp3!X54))</f>
        <v>99</v>
      </c>
      <c r="Z155" s="168">
        <f>IF($AA155=0,99,IF(Z168&gt;3,CdTrp3!Y78,CdTrp3!Y54))</f>
        <v>99</v>
      </c>
      <c r="AA155" s="177">
        <f>SUM(CdTrp3!B17:Y17)/24</f>
        <v>0</v>
      </c>
    </row>
    <row r="156" spans="1:27" x14ac:dyDescent="0.25">
      <c r="B156" s="180" t="str">
        <f>CdTrp3!A55</f>
        <v>lot4</v>
      </c>
      <c r="C156" s="168">
        <f>IF($AA156=0,99,IF(C169&gt;3,CdTrp3!B79,CdTrp3!B55))</f>
        <v>99</v>
      </c>
      <c r="D156" s="168">
        <f>IF($AA156=0,99,IF(D169&gt;3,CdTrp3!C79,CdTrp3!C55))</f>
        <v>99</v>
      </c>
      <c r="E156" s="168">
        <f>IF($AA156=0,99,IF(E169&gt;3,CdTrp3!D79,CdTrp3!D55))</f>
        <v>99</v>
      </c>
      <c r="F156" s="168">
        <f>IF($AA156=0,99,IF(F169&gt;3,CdTrp3!E79,CdTrp3!E55))</f>
        <v>99</v>
      </c>
      <c r="G156" s="168">
        <f>IF($AA156=0,99,IF(G169&gt;3,CdTrp3!F79,CdTrp3!F55))</f>
        <v>99</v>
      </c>
      <c r="H156" s="168">
        <f>IF($AA156=0,99,IF(H169&gt;3,CdTrp3!G79,CdTrp3!G55))</f>
        <v>99</v>
      </c>
      <c r="I156" s="168">
        <f>IF($AA156=0,99,IF(I169&gt;3,CdTrp3!H79,CdTrp3!H55))</f>
        <v>99</v>
      </c>
      <c r="J156" s="168">
        <f>IF($AA156=0,99,IF(J169&gt;3,CdTrp3!I79,CdTrp3!I55))</f>
        <v>99</v>
      </c>
      <c r="K156" s="168">
        <f>IF($AA156=0,99,IF(K169&gt;3,CdTrp3!J79,CdTrp3!J55))</f>
        <v>99</v>
      </c>
      <c r="L156" s="168">
        <f>IF($AA156=0,99,IF(L169&gt;3,CdTrp3!K79,CdTrp3!K55))</f>
        <v>99</v>
      </c>
      <c r="M156" s="168">
        <f>IF($AA156=0,99,IF(M169&gt;3,CdTrp3!L79,CdTrp3!L55))</f>
        <v>99</v>
      </c>
      <c r="N156" s="168">
        <f>IF($AA156=0,99,IF(N169&gt;3,CdTrp3!M79,CdTrp3!M55))</f>
        <v>99</v>
      </c>
      <c r="O156" s="168">
        <f>IF($AA156=0,99,IF(O169&gt;3,CdTrp3!N79,CdTrp3!N55))</f>
        <v>99</v>
      </c>
      <c r="P156" s="168">
        <f>IF($AA156=0,99,IF(P169&gt;3,CdTrp3!O79,CdTrp3!O55))</f>
        <v>99</v>
      </c>
      <c r="Q156" s="168">
        <f>IF($AA156=0,99,IF(Q169&gt;3,CdTrp3!P79,CdTrp3!P55))</f>
        <v>99</v>
      </c>
      <c r="R156" s="168">
        <f>IF($AA156=0,99,IF(R169&gt;3,CdTrp3!Q79,CdTrp3!Q55))</f>
        <v>99</v>
      </c>
      <c r="S156" s="168">
        <f>IF($AA156=0,99,IF(S169&gt;3,CdTrp3!R79,CdTrp3!R55))</f>
        <v>99</v>
      </c>
      <c r="T156" s="168">
        <f>IF($AA156=0,99,IF(T169&gt;3,CdTrp3!S79,CdTrp3!S55))</f>
        <v>99</v>
      </c>
      <c r="U156" s="168">
        <f>IF($AA156=0,99,IF(U169&gt;3,CdTrp3!T79,CdTrp3!T55))</f>
        <v>99</v>
      </c>
      <c r="V156" s="168">
        <f>IF($AA156=0,99,IF(V169&gt;3,CdTrp3!U79,CdTrp3!U55))</f>
        <v>99</v>
      </c>
      <c r="W156" s="168">
        <f>IF($AA156=0,99,IF(W169&gt;3,CdTrp3!V79,CdTrp3!V55))</f>
        <v>99</v>
      </c>
      <c r="X156" s="168">
        <f>IF($AA156=0,99,IF(X169&gt;3,CdTrp3!W79,CdTrp3!W55))</f>
        <v>99</v>
      </c>
      <c r="Y156" s="168">
        <f>IF($AA156=0,99,IF(Y169&gt;3,CdTrp3!X79,CdTrp3!X55))</f>
        <v>99</v>
      </c>
      <c r="Z156" s="168">
        <f>IF($AA156=0,99,IF(Z169&gt;3,CdTrp3!Y79,CdTrp3!Y55))</f>
        <v>99</v>
      </c>
      <c r="AA156" s="177">
        <f>SUM(CdTrp3!B18:Y18)/24</f>
        <v>0</v>
      </c>
    </row>
    <row r="157" spans="1:27" x14ac:dyDescent="0.25">
      <c r="B157" s="254" t="str">
        <f>CdTrp3!A56</f>
        <v>lot5</v>
      </c>
      <c r="C157" s="168">
        <f>IF($AA157=0,99,IF(C170&gt;3,CdTrp3!B80,CdTrp3!B56))</f>
        <v>99</v>
      </c>
      <c r="D157" s="168">
        <f>IF($AA157=0,99,IF(D170&gt;3,CdTrp3!C80,CdTrp3!C56))</f>
        <v>99</v>
      </c>
      <c r="E157" s="168">
        <f>IF($AA157=0,99,IF(E170&gt;3,CdTrp3!D80,CdTrp3!D56))</f>
        <v>99</v>
      </c>
      <c r="F157" s="168">
        <f>IF($AA157=0,99,IF(F170&gt;3,CdTrp3!E80,CdTrp3!E56))</f>
        <v>99</v>
      </c>
      <c r="G157" s="168">
        <f>IF($AA157=0,99,IF(G170&gt;3,CdTrp3!F80,CdTrp3!F56))</f>
        <v>99</v>
      </c>
      <c r="H157" s="168">
        <f>IF($AA157=0,99,IF(H170&gt;3,CdTrp3!G80,CdTrp3!G56))</f>
        <v>99</v>
      </c>
      <c r="I157" s="168">
        <f>IF($AA157=0,99,IF(I170&gt;3,CdTrp3!H80,CdTrp3!H56))</f>
        <v>99</v>
      </c>
      <c r="J157" s="168">
        <f>IF($AA157=0,99,IF(J170&gt;3,CdTrp3!I80,CdTrp3!I56))</f>
        <v>99</v>
      </c>
      <c r="K157" s="168">
        <f>IF($AA157=0,99,IF(K170&gt;3,CdTrp3!J80,CdTrp3!J56))</f>
        <v>99</v>
      </c>
      <c r="L157" s="168">
        <f>IF($AA157=0,99,IF(L170&gt;3,CdTrp3!K80,CdTrp3!K56))</f>
        <v>99</v>
      </c>
      <c r="M157" s="168">
        <f>IF($AA157=0,99,IF(M170&gt;3,CdTrp3!L80,CdTrp3!L56))</f>
        <v>99</v>
      </c>
      <c r="N157" s="168">
        <f>IF($AA157=0,99,IF(N170&gt;3,CdTrp3!M80,CdTrp3!M56))</f>
        <v>99</v>
      </c>
      <c r="O157" s="168">
        <f>IF($AA157=0,99,IF(O170&gt;3,CdTrp3!N80,CdTrp3!N56))</f>
        <v>99</v>
      </c>
      <c r="P157" s="168">
        <f>IF($AA157=0,99,IF(P170&gt;3,CdTrp3!O80,CdTrp3!O56))</f>
        <v>99</v>
      </c>
      <c r="Q157" s="168">
        <f>IF($AA157=0,99,IF(Q170&gt;3,CdTrp3!P80,CdTrp3!P56))</f>
        <v>99</v>
      </c>
      <c r="R157" s="168">
        <f>IF($AA157=0,99,IF(R170&gt;3,CdTrp3!Q80,CdTrp3!Q56))</f>
        <v>99</v>
      </c>
      <c r="S157" s="168">
        <f>IF($AA157=0,99,IF(S170&gt;3,CdTrp3!R80,CdTrp3!R56))</f>
        <v>99</v>
      </c>
      <c r="T157" s="168">
        <f>IF($AA157=0,99,IF(T170&gt;3,CdTrp3!S80,CdTrp3!S56))</f>
        <v>99</v>
      </c>
      <c r="U157" s="168">
        <f>IF($AA157=0,99,IF(U170&gt;3,CdTrp3!T80,CdTrp3!T56))</f>
        <v>99</v>
      </c>
      <c r="V157" s="168">
        <f>IF($AA157=0,99,IF(V170&gt;3,CdTrp3!U80,CdTrp3!U56))</f>
        <v>99</v>
      </c>
      <c r="W157" s="168">
        <f>IF($AA157=0,99,IF(W170&gt;3,CdTrp3!V80,CdTrp3!V56))</f>
        <v>99</v>
      </c>
      <c r="X157" s="168">
        <f>IF($AA157=0,99,IF(X170&gt;3,CdTrp3!W80,CdTrp3!W56))</f>
        <v>99</v>
      </c>
      <c r="Y157" s="168">
        <f>IF($AA157=0,99,IF(Y170&gt;3,CdTrp3!X80,CdTrp3!X56))</f>
        <v>99</v>
      </c>
      <c r="Z157" s="168">
        <f>IF($AA157=0,99,IF(Z170&gt;3,CdTrp3!Y80,CdTrp3!Y56))</f>
        <v>99</v>
      </c>
      <c r="AA157" s="177">
        <f>SUM(CdTrp3!B19:Y19)/24</f>
        <v>0</v>
      </c>
    </row>
    <row r="158" spans="1:27" x14ac:dyDescent="0.25">
      <c r="B158" s="180" t="str">
        <f>CdTrp3!A57</f>
        <v>lot6</v>
      </c>
      <c r="C158" s="168">
        <f>IF($AA158=0,99,IF(C171&gt;3,CdTrp3!B81,CdTrp3!B57))</f>
        <v>99</v>
      </c>
      <c r="D158" s="168">
        <f>IF($AA158=0,99,IF(D171&gt;3,CdTrp3!C81,CdTrp3!C57))</f>
        <v>99</v>
      </c>
      <c r="E158" s="168">
        <f>IF($AA158=0,99,IF(E171&gt;3,CdTrp3!D81,CdTrp3!D57))</f>
        <v>99</v>
      </c>
      <c r="F158" s="168">
        <f>IF($AA158=0,99,IF(F171&gt;3,CdTrp3!E81,CdTrp3!E57))</f>
        <v>99</v>
      </c>
      <c r="G158" s="168">
        <f>IF($AA158=0,99,IF(G171&gt;3,CdTrp3!F81,CdTrp3!F57))</f>
        <v>99</v>
      </c>
      <c r="H158" s="168">
        <f>IF($AA158=0,99,IF(H171&gt;3,CdTrp3!G81,CdTrp3!G57))</f>
        <v>99</v>
      </c>
      <c r="I158" s="168">
        <f>IF($AA158=0,99,IF(I171&gt;3,CdTrp3!H81,CdTrp3!H57))</f>
        <v>99</v>
      </c>
      <c r="J158" s="168">
        <f>IF($AA158=0,99,IF(J171&gt;3,CdTrp3!I81,CdTrp3!I57))</f>
        <v>99</v>
      </c>
      <c r="K158" s="168">
        <f>IF($AA158=0,99,IF(K171&gt;3,CdTrp3!J81,CdTrp3!J57))</f>
        <v>99</v>
      </c>
      <c r="L158" s="168">
        <f>IF($AA158=0,99,IF(L171&gt;3,CdTrp3!K81,CdTrp3!K57))</f>
        <v>99</v>
      </c>
      <c r="M158" s="168">
        <f>IF($AA158=0,99,IF(M171&gt;3,CdTrp3!L81,CdTrp3!L57))</f>
        <v>99</v>
      </c>
      <c r="N158" s="168">
        <f>IF($AA158=0,99,IF(N171&gt;3,CdTrp3!M81,CdTrp3!M57))</f>
        <v>99</v>
      </c>
      <c r="O158" s="168">
        <f>IF($AA158=0,99,IF(O171&gt;3,CdTrp3!N81,CdTrp3!N57))</f>
        <v>99</v>
      </c>
      <c r="P158" s="168">
        <f>IF($AA158=0,99,IF(P171&gt;3,CdTrp3!O81,CdTrp3!O57))</f>
        <v>99</v>
      </c>
      <c r="Q158" s="168">
        <f>IF($AA158=0,99,IF(Q171&gt;3,CdTrp3!P81,CdTrp3!P57))</f>
        <v>99</v>
      </c>
      <c r="R158" s="168">
        <f>IF($AA158=0,99,IF(R171&gt;3,CdTrp3!Q81,CdTrp3!Q57))</f>
        <v>99</v>
      </c>
      <c r="S158" s="168">
        <f>IF($AA158=0,99,IF(S171&gt;3,CdTrp3!R81,CdTrp3!R57))</f>
        <v>99</v>
      </c>
      <c r="T158" s="168">
        <f>IF($AA158=0,99,IF(T171&gt;3,CdTrp3!S81,CdTrp3!S57))</f>
        <v>99</v>
      </c>
      <c r="U158" s="168">
        <f>IF($AA158=0,99,IF(U171&gt;3,CdTrp3!T81,CdTrp3!T57))</f>
        <v>99</v>
      </c>
      <c r="V158" s="168">
        <f>IF($AA158=0,99,IF(V171&gt;3,CdTrp3!U81,CdTrp3!U57))</f>
        <v>99</v>
      </c>
      <c r="W158" s="168">
        <f>IF($AA158=0,99,IF(W171&gt;3,CdTrp3!V81,CdTrp3!V57))</f>
        <v>99</v>
      </c>
      <c r="X158" s="168">
        <f>IF($AA158=0,99,IF(X171&gt;3,CdTrp3!W81,CdTrp3!W57))</f>
        <v>99</v>
      </c>
      <c r="Y158" s="168">
        <f>IF($AA158=0,99,IF(Y171&gt;3,CdTrp3!X81,CdTrp3!X57))</f>
        <v>99</v>
      </c>
      <c r="Z158" s="168">
        <f>IF($AA158=0,99,IF(Z171&gt;3,CdTrp3!Y81,CdTrp3!Y57))</f>
        <v>99</v>
      </c>
      <c r="AA158" s="177">
        <f>SUM(CdTrp3!B20:Y20)/24</f>
        <v>0</v>
      </c>
    </row>
    <row r="159" spans="1:27" x14ac:dyDescent="0.25">
      <c r="B159" s="254" t="str">
        <f>CdTrp3!A58</f>
        <v>lot7</v>
      </c>
      <c r="C159" s="168">
        <f>IF($AA159=0,99,IF(C172&gt;3,CdTrp3!B82,CdTrp3!B58))</f>
        <v>99</v>
      </c>
      <c r="D159" s="168">
        <f>IF($AA159=0,99,IF(D172&gt;3,CdTrp3!C82,CdTrp3!C58))</f>
        <v>99</v>
      </c>
      <c r="E159" s="168">
        <f>IF($AA159=0,99,IF(E172&gt;3,CdTrp3!D82,CdTrp3!D58))</f>
        <v>99</v>
      </c>
      <c r="F159" s="168">
        <f>IF($AA159=0,99,IF(F172&gt;3,CdTrp3!E82,CdTrp3!E58))</f>
        <v>99</v>
      </c>
      <c r="G159" s="168">
        <f>IF($AA159=0,99,IF(G172&gt;3,CdTrp3!F82,CdTrp3!F58))</f>
        <v>99</v>
      </c>
      <c r="H159" s="168">
        <f>IF($AA159=0,99,IF(H172&gt;3,CdTrp3!G82,CdTrp3!G58))</f>
        <v>99</v>
      </c>
      <c r="I159" s="168">
        <f>IF($AA159=0,99,IF(I172&gt;3,CdTrp3!H82,CdTrp3!H58))</f>
        <v>99</v>
      </c>
      <c r="J159" s="168">
        <f>IF($AA159=0,99,IF(J172&gt;3,CdTrp3!I82,CdTrp3!I58))</f>
        <v>99</v>
      </c>
      <c r="K159" s="168">
        <f>IF($AA159=0,99,IF(K172&gt;3,CdTrp3!J82,CdTrp3!J58))</f>
        <v>99</v>
      </c>
      <c r="L159" s="168">
        <f>IF($AA159=0,99,IF(L172&gt;3,CdTrp3!K82,CdTrp3!K58))</f>
        <v>99</v>
      </c>
      <c r="M159" s="168">
        <f>IF($AA159=0,99,IF(M172&gt;3,CdTrp3!L82,CdTrp3!L58))</f>
        <v>99</v>
      </c>
      <c r="N159" s="168">
        <f>IF($AA159=0,99,IF(N172&gt;3,CdTrp3!M82,CdTrp3!M58))</f>
        <v>99</v>
      </c>
      <c r="O159" s="168">
        <f>IF($AA159=0,99,IF(O172&gt;3,CdTrp3!N82,CdTrp3!N58))</f>
        <v>99</v>
      </c>
      <c r="P159" s="168">
        <f>IF($AA159=0,99,IF(P172&gt;3,CdTrp3!O82,CdTrp3!O58))</f>
        <v>99</v>
      </c>
      <c r="Q159" s="168">
        <f>IF($AA159=0,99,IF(Q172&gt;3,CdTrp3!P82,CdTrp3!P58))</f>
        <v>99</v>
      </c>
      <c r="R159" s="168">
        <f>IF($AA159=0,99,IF(R172&gt;3,CdTrp3!Q82,CdTrp3!Q58))</f>
        <v>99</v>
      </c>
      <c r="S159" s="168">
        <f>IF($AA159=0,99,IF(S172&gt;3,CdTrp3!R82,CdTrp3!R58))</f>
        <v>99</v>
      </c>
      <c r="T159" s="168">
        <f>IF($AA159=0,99,IF(T172&gt;3,CdTrp3!S82,CdTrp3!S58))</f>
        <v>99</v>
      </c>
      <c r="U159" s="168">
        <f>IF($AA159=0,99,IF(U172&gt;3,CdTrp3!T82,CdTrp3!T58))</f>
        <v>99</v>
      </c>
      <c r="V159" s="168">
        <f>IF($AA159=0,99,IF(V172&gt;3,CdTrp3!U82,CdTrp3!U58))</f>
        <v>99</v>
      </c>
      <c r="W159" s="168">
        <f>IF($AA159=0,99,IF(W172&gt;3,CdTrp3!V82,CdTrp3!V58))</f>
        <v>99</v>
      </c>
      <c r="X159" s="168">
        <f>IF($AA159=0,99,IF(X172&gt;3,CdTrp3!W82,CdTrp3!W58))</f>
        <v>99</v>
      </c>
      <c r="Y159" s="168">
        <f>IF($AA159=0,99,IF(Y172&gt;3,CdTrp3!X82,CdTrp3!X58))</f>
        <v>99</v>
      </c>
      <c r="Z159" s="168">
        <f>IF($AA159=0,99,IF(Z172&gt;3,CdTrp3!Y82,CdTrp3!Y58))</f>
        <v>99</v>
      </c>
      <c r="AA159" s="177">
        <f>SUM(CdTrp3!B21:Y21)/24</f>
        <v>0</v>
      </c>
    </row>
    <row r="160" spans="1:27" x14ac:dyDescent="0.25">
      <c r="B160" s="254" t="str">
        <f>CdTrp3!A59</f>
        <v>lot8</v>
      </c>
      <c r="C160" s="168">
        <f>IF($AA160=0,99,IF(C173&gt;3,CdTrp3!B83,CdTrp3!B59))</f>
        <v>99</v>
      </c>
      <c r="D160" s="168">
        <f>IF($AA160=0,99,IF(D173&gt;3,CdTrp3!C83,CdTrp3!C59))</f>
        <v>99</v>
      </c>
      <c r="E160" s="168">
        <f>IF($AA160=0,99,IF(E173&gt;3,CdTrp3!D83,CdTrp3!D59))</f>
        <v>99</v>
      </c>
      <c r="F160" s="168">
        <f>IF($AA160=0,99,IF(F173&gt;3,CdTrp3!E83,CdTrp3!E59))</f>
        <v>99</v>
      </c>
      <c r="G160" s="168">
        <f>IF($AA160=0,99,IF(G173&gt;3,CdTrp3!F83,CdTrp3!F59))</f>
        <v>99</v>
      </c>
      <c r="H160" s="168">
        <f>IF($AA160=0,99,IF(H173&gt;3,CdTrp3!G83,CdTrp3!G59))</f>
        <v>99</v>
      </c>
      <c r="I160" s="168">
        <f>IF($AA160=0,99,IF(I173&gt;3,CdTrp3!H83,CdTrp3!H59))</f>
        <v>99</v>
      </c>
      <c r="J160" s="168">
        <f>IF($AA160=0,99,IF(J173&gt;3,CdTrp3!I83,CdTrp3!I59))</f>
        <v>99</v>
      </c>
      <c r="K160" s="168">
        <f>IF($AA160=0,99,IF(K173&gt;3,CdTrp3!J83,CdTrp3!J59))</f>
        <v>99</v>
      </c>
      <c r="L160" s="168">
        <f>IF($AA160=0,99,IF(L173&gt;3,CdTrp3!K83,CdTrp3!K59))</f>
        <v>99</v>
      </c>
      <c r="M160" s="168">
        <f>IF($AA160=0,99,IF(M173&gt;3,CdTrp3!L83,CdTrp3!L59))</f>
        <v>99</v>
      </c>
      <c r="N160" s="168">
        <f>IF($AA160=0,99,IF(N173&gt;3,CdTrp3!M83,CdTrp3!M59))</f>
        <v>99</v>
      </c>
      <c r="O160" s="168">
        <f>IF($AA160=0,99,IF(O173&gt;3,CdTrp3!N83,CdTrp3!N59))</f>
        <v>99</v>
      </c>
      <c r="P160" s="168">
        <f>IF($AA160=0,99,IF(P173&gt;3,CdTrp3!O83,CdTrp3!O59))</f>
        <v>99</v>
      </c>
      <c r="Q160" s="168">
        <f>IF($AA160=0,99,IF(Q173&gt;3,CdTrp3!P83,CdTrp3!P59))</f>
        <v>99</v>
      </c>
      <c r="R160" s="168">
        <f>IF($AA160=0,99,IF(R173&gt;3,CdTrp3!Q83,CdTrp3!Q59))</f>
        <v>99</v>
      </c>
      <c r="S160" s="168">
        <f>IF($AA160=0,99,IF(S173&gt;3,CdTrp3!R83,CdTrp3!R59))</f>
        <v>99</v>
      </c>
      <c r="T160" s="168">
        <f>IF($AA160=0,99,IF(T173&gt;3,CdTrp3!S83,CdTrp3!S59))</f>
        <v>99</v>
      </c>
      <c r="U160" s="168">
        <f>IF($AA160=0,99,IF(U173&gt;3,CdTrp3!T83,CdTrp3!T59))</f>
        <v>99</v>
      </c>
      <c r="V160" s="168">
        <f>IF($AA160=0,99,IF(V173&gt;3,CdTrp3!U83,CdTrp3!U59))</f>
        <v>99</v>
      </c>
      <c r="W160" s="168">
        <f>IF($AA160=0,99,IF(W173&gt;3,CdTrp3!V83,CdTrp3!V59))</f>
        <v>99</v>
      </c>
      <c r="X160" s="168">
        <f>IF($AA160=0,99,IF(X173&gt;3,CdTrp3!W83,CdTrp3!W59))</f>
        <v>99</v>
      </c>
      <c r="Y160" s="168">
        <f>IF($AA160=0,99,IF(Y173&gt;3,CdTrp3!X83,CdTrp3!X59))</f>
        <v>99</v>
      </c>
      <c r="Z160" s="168">
        <f>IF($AA160=0,99,IF(Z173&gt;3,CdTrp3!Y83,CdTrp3!Y59))</f>
        <v>99</v>
      </c>
      <c r="AA160" s="177">
        <f>SUM(CdTrp3!B22:Y22)/24</f>
        <v>0</v>
      </c>
    </row>
    <row r="161" spans="1:27" x14ac:dyDescent="0.25">
      <c r="B161" s="180" t="str">
        <f>CdTrp3!A60</f>
        <v>lot9</v>
      </c>
      <c r="C161" s="168">
        <f>IF($AA161=0,99,IF(C174&gt;3,CdTrp3!B84,CdTrp3!B60))</f>
        <v>99</v>
      </c>
      <c r="D161" s="168">
        <f>IF($AA161=0,99,IF(D174&gt;3,CdTrp3!C84,CdTrp3!C60))</f>
        <v>99</v>
      </c>
      <c r="E161" s="168">
        <f>IF($AA161=0,99,IF(E174&gt;3,CdTrp3!D84,CdTrp3!D60))</f>
        <v>99</v>
      </c>
      <c r="F161" s="168">
        <f>IF($AA161=0,99,IF(F174&gt;3,CdTrp3!E84,CdTrp3!E60))</f>
        <v>99</v>
      </c>
      <c r="G161" s="168">
        <f>IF($AA161=0,99,IF(G174&gt;3,CdTrp3!F84,CdTrp3!F60))</f>
        <v>99</v>
      </c>
      <c r="H161" s="168">
        <f>IF($AA161=0,99,IF(H174&gt;3,CdTrp3!G84,CdTrp3!G60))</f>
        <v>99</v>
      </c>
      <c r="I161" s="168">
        <f>IF($AA161=0,99,IF(I174&gt;3,CdTrp3!H84,CdTrp3!H60))</f>
        <v>99</v>
      </c>
      <c r="J161" s="168">
        <f>IF($AA161=0,99,IF(J174&gt;3,CdTrp3!I84,CdTrp3!I60))</f>
        <v>99</v>
      </c>
      <c r="K161" s="168">
        <f>IF($AA161=0,99,IF(K174&gt;3,CdTrp3!J84,CdTrp3!J60))</f>
        <v>99</v>
      </c>
      <c r="L161" s="168">
        <f>IF($AA161=0,99,IF(L174&gt;3,CdTrp3!K84,CdTrp3!K60))</f>
        <v>99</v>
      </c>
      <c r="M161" s="168">
        <f>IF($AA161=0,99,IF(M174&gt;3,CdTrp3!L84,CdTrp3!L60))</f>
        <v>99</v>
      </c>
      <c r="N161" s="168">
        <f>IF($AA161=0,99,IF(N174&gt;3,CdTrp3!M84,CdTrp3!M60))</f>
        <v>99</v>
      </c>
      <c r="O161" s="168">
        <f>IF($AA161=0,99,IF(O174&gt;3,CdTrp3!N84,CdTrp3!N60))</f>
        <v>99</v>
      </c>
      <c r="P161" s="168">
        <f>IF($AA161=0,99,IF(P174&gt;3,CdTrp3!O84,CdTrp3!O60))</f>
        <v>99</v>
      </c>
      <c r="Q161" s="168">
        <f>IF($AA161=0,99,IF(Q174&gt;3,CdTrp3!P84,CdTrp3!P60))</f>
        <v>99</v>
      </c>
      <c r="R161" s="168">
        <f>IF($AA161=0,99,IF(R174&gt;3,CdTrp3!Q84,CdTrp3!Q60))</f>
        <v>99</v>
      </c>
      <c r="S161" s="168">
        <f>IF($AA161=0,99,IF(S174&gt;3,CdTrp3!R84,CdTrp3!R60))</f>
        <v>99</v>
      </c>
      <c r="T161" s="168">
        <f>IF($AA161=0,99,IF(T174&gt;3,CdTrp3!S84,CdTrp3!S60))</f>
        <v>99</v>
      </c>
      <c r="U161" s="168">
        <f>IF($AA161=0,99,IF(U174&gt;3,CdTrp3!T84,CdTrp3!T60))</f>
        <v>99</v>
      </c>
      <c r="V161" s="168">
        <f>IF($AA161=0,99,IF(V174&gt;3,CdTrp3!U84,CdTrp3!U60))</f>
        <v>99</v>
      </c>
      <c r="W161" s="168">
        <f>IF($AA161=0,99,IF(W174&gt;3,CdTrp3!V84,CdTrp3!V60))</f>
        <v>99</v>
      </c>
      <c r="X161" s="168">
        <f>IF($AA161=0,99,IF(X174&gt;3,CdTrp3!W84,CdTrp3!W60))</f>
        <v>99</v>
      </c>
      <c r="Y161" s="168">
        <f>IF($AA161=0,99,IF(Y174&gt;3,CdTrp3!X84,CdTrp3!X60))</f>
        <v>99</v>
      </c>
      <c r="Z161" s="168">
        <f>IF($AA161=0,99,IF(Z174&gt;3,CdTrp3!Y84,CdTrp3!Y60))</f>
        <v>99</v>
      </c>
      <c r="AA161" s="177">
        <f>SUM(CdTrp3!B23:Y23)/24</f>
        <v>0</v>
      </c>
    </row>
    <row r="162" spans="1:27" x14ac:dyDescent="0.25">
      <c r="B162" s="254" t="str">
        <f>CdTrp3!A61</f>
        <v>lot10</v>
      </c>
      <c r="C162" s="168">
        <f>IF($AA162=0,99,IF(C175&gt;3,CdTrp3!B85,CdTrp3!B61))</f>
        <v>99</v>
      </c>
      <c r="D162" s="168">
        <f>IF($AA162=0,99,IF(D175&gt;3,CdTrp3!C85,CdTrp3!C61))</f>
        <v>99</v>
      </c>
      <c r="E162" s="168">
        <f>IF($AA162=0,99,IF(E175&gt;3,CdTrp3!D85,CdTrp3!D61))</f>
        <v>99</v>
      </c>
      <c r="F162" s="168">
        <f>IF($AA162=0,99,IF(F175&gt;3,CdTrp3!E85,CdTrp3!E61))</f>
        <v>99</v>
      </c>
      <c r="G162" s="168">
        <f>IF($AA162=0,99,IF(G175&gt;3,CdTrp3!F85,CdTrp3!F61))</f>
        <v>99</v>
      </c>
      <c r="H162" s="168">
        <f>IF($AA162=0,99,IF(H175&gt;3,CdTrp3!G85,CdTrp3!G61))</f>
        <v>99</v>
      </c>
      <c r="I162" s="168">
        <f>IF($AA162=0,99,IF(I175&gt;3,CdTrp3!H85,CdTrp3!H61))</f>
        <v>99</v>
      </c>
      <c r="J162" s="168">
        <f>IF($AA162=0,99,IF(J175&gt;3,CdTrp3!I85,CdTrp3!I61))</f>
        <v>99</v>
      </c>
      <c r="K162" s="168">
        <f>IF($AA162=0,99,IF(K175&gt;3,CdTrp3!J85,CdTrp3!J61))</f>
        <v>99</v>
      </c>
      <c r="L162" s="168">
        <f>IF($AA162=0,99,IF(L175&gt;3,CdTrp3!K85,CdTrp3!K61))</f>
        <v>99</v>
      </c>
      <c r="M162" s="168">
        <f>IF($AA162=0,99,IF(M175&gt;3,CdTrp3!L85,CdTrp3!L61))</f>
        <v>99</v>
      </c>
      <c r="N162" s="168">
        <f>IF($AA162=0,99,IF(N175&gt;3,CdTrp3!M85,CdTrp3!M61))</f>
        <v>99</v>
      </c>
      <c r="O162" s="168">
        <f>IF($AA162=0,99,IF(O175&gt;3,CdTrp3!N85,CdTrp3!N61))</f>
        <v>99</v>
      </c>
      <c r="P162" s="168">
        <f>IF($AA162=0,99,IF(P175&gt;3,CdTrp3!O85,CdTrp3!O61))</f>
        <v>99</v>
      </c>
      <c r="Q162" s="168">
        <f>IF($AA162=0,99,IF(Q175&gt;3,CdTrp3!P85,CdTrp3!P61))</f>
        <v>99</v>
      </c>
      <c r="R162" s="168">
        <f>IF($AA162=0,99,IF(R175&gt;3,CdTrp3!Q85,CdTrp3!Q61))</f>
        <v>99</v>
      </c>
      <c r="S162" s="168">
        <f>IF($AA162=0,99,IF(S175&gt;3,CdTrp3!R85,CdTrp3!R61))</f>
        <v>99</v>
      </c>
      <c r="T162" s="168">
        <f>IF($AA162=0,99,IF(T175&gt;3,CdTrp3!S85,CdTrp3!S61))</f>
        <v>99</v>
      </c>
      <c r="U162" s="168">
        <f>IF($AA162=0,99,IF(U175&gt;3,CdTrp3!T85,CdTrp3!T61))</f>
        <v>99</v>
      </c>
      <c r="V162" s="168">
        <f>IF($AA162=0,99,IF(V175&gt;3,CdTrp3!U85,CdTrp3!U61))</f>
        <v>99</v>
      </c>
      <c r="W162" s="168">
        <f>IF($AA162=0,99,IF(W175&gt;3,CdTrp3!V85,CdTrp3!V61))</f>
        <v>99</v>
      </c>
      <c r="X162" s="168">
        <f>IF($AA162=0,99,IF(X175&gt;3,CdTrp3!W85,CdTrp3!W61))</f>
        <v>99</v>
      </c>
      <c r="Y162" s="168">
        <f>IF($AA162=0,99,IF(Y175&gt;3,CdTrp3!X85,CdTrp3!X61))</f>
        <v>99</v>
      </c>
      <c r="Z162" s="168">
        <f>IF($AA162=0,99,IF(Z175&gt;3,CdTrp3!Y85,CdTrp3!Y61))</f>
        <v>99</v>
      </c>
      <c r="AA162" s="177">
        <f>SUM(CdTrp3!B24:Y24)/24</f>
        <v>0</v>
      </c>
    </row>
    <row r="163" spans="1:27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5" spans="1:27" x14ac:dyDescent="0.25">
      <c r="A165" s="40" t="s">
        <v>96</v>
      </c>
      <c r="B165">
        <f>Troupeau!D3</f>
        <v>0</v>
      </c>
      <c r="C165" s="33">
        <v>1</v>
      </c>
      <c r="D165" s="33">
        <v>2</v>
      </c>
      <c r="E165" s="33">
        <v>3</v>
      </c>
      <c r="F165" s="33">
        <v>4</v>
      </c>
      <c r="G165" s="33">
        <v>5</v>
      </c>
      <c r="H165" s="33">
        <v>6</v>
      </c>
      <c r="I165" s="33">
        <v>7</v>
      </c>
      <c r="J165" s="33">
        <v>8</v>
      </c>
      <c r="K165" s="33">
        <v>9</v>
      </c>
      <c r="L165" s="33">
        <v>10</v>
      </c>
      <c r="M165" s="33">
        <v>11</v>
      </c>
      <c r="N165" s="33">
        <v>12</v>
      </c>
      <c r="O165" s="33">
        <v>13</v>
      </c>
      <c r="P165" s="33">
        <v>14</v>
      </c>
      <c r="Q165" s="33">
        <v>15</v>
      </c>
      <c r="R165" s="33">
        <v>16</v>
      </c>
      <c r="S165" s="33">
        <v>17</v>
      </c>
      <c r="T165" s="33">
        <v>18</v>
      </c>
      <c r="U165" s="33">
        <v>19</v>
      </c>
      <c r="V165" s="33">
        <v>20</v>
      </c>
      <c r="W165" s="33">
        <v>21</v>
      </c>
      <c r="X165" s="33">
        <v>22</v>
      </c>
      <c r="Y165" s="33">
        <v>23</v>
      </c>
      <c r="Z165" s="33">
        <v>24</v>
      </c>
    </row>
    <row r="166" spans="1:27" x14ac:dyDescent="0.25">
      <c r="A166" s="40" t="s">
        <v>725</v>
      </c>
      <c r="B166" s="30" t="str">
        <f>CdTrp3!A76</f>
        <v>lot1</v>
      </c>
      <c r="C166" s="30">
        <f>CdTrp3!B76</f>
        <v>0</v>
      </c>
      <c r="D166" s="30">
        <f>CdTrp3!C76</f>
        <v>0</v>
      </c>
      <c r="E166" s="30">
        <f>CdTrp3!D76</f>
        <v>0</v>
      </c>
      <c r="F166" s="30">
        <f>CdTrp3!E76</f>
        <v>0</v>
      </c>
      <c r="G166" s="30">
        <f>CdTrp3!F76</f>
        <v>0</v>
      </c>
      <c r="H166" s="30">
        <f>CdTrp3!G76</f>
        <v>0</v>
      </c>
      <c r="I166" s="30">
        <f>CdTrp3!H76</f>
        <v>0</v>
      </c>
      <c r="J166" s="30">
        <f>CdTrp3!I76</f>
        <v>0</v>
      </c>
      <c r="K166" s="30">
        <f>CdTrp3!J76</f>
        <v>0</v>
      </c>
      <c r="L166" s="30">
        <f>CdTrp3!K76</f>
        <v>0</v>
      </c>
      <c r="M166" s="30">
        <f>CdTrp3!L76</f>
        <v>0</v>
      </c>
      <c r="N166" s="30">
        <f>CdTrp3!M76</f>
        <v>0</v>
      </c>
      <c r="O166" s="30">
        <f>CdTrp3!N76</f>
        <v>0</v>
      </c>
      <c r="P166" s="30">
        <f>CdTrp3!O76</f>
        <v>0</v>
      </c>
      <c r="Q166" s="30">
        <f>CdTrp3!P76</f>
        <v>0</v>
      </c>
      <c r="R166" s="30">
        <f>CdTrp3!Q76</f>
        <v>0</v>
      </c>
      <c r="S166" s="30">
        <f>CdTrp3!R76</f>
        <v>0</v>
      </c>
      <c r="T166" s="30">
        <f>CdTrp3!S76</f>
        <v>0</v>
      </c>
      <c r="U166" s="30">
        <f>CdTrp3!T76</f>
        <v>0</v>
      </c>
      <c r="V166" s="30">
        <f>CdTrp3!U76</f>
        <v>0</v>
      </c>
      <c r="W166" s="30">
        <f>CdTrp3!V76</f>
        <v>0</v>
      </c>
      <c r="X166" s="30">
        <f>CdTrp3!W76</f>
        <v>0</v>
      </c>
      <c r="Y166" s="30">
        <f>CdTrp3!X76</f>
        <v>0</v>
      </c>
      <c r="Z166" s="30">
        <f>CdTrp3!Y76</f>
        <v>0</v>
      </c>
    </row>
    <row r="167" spans="1:27" x14ac:dyDescent="0.25">
      <c r="B167" s="251" t="str">
        <f>CdTrp3!A77</f>
        <v>lot2</v>
      </c>
      <c r="C167" s="30">
        <f>CdTrp3!B77</f>
        <v>0</v>
      </c>
      <c r="D167" s="30">
        <f>CdTrp3!C77</f>
        <v>0</v>
      </c>
      <c r="E167" s="30">
        <f>CdTrp3!D77</f>
        <v>0</v>
      </c>
      <c r="F167" s="30">
        <f>CdTrp3!E77</f>
        <v>0</v>
      </c>
      <c r="G167" s="30">
        <f>CdTrp3!F77</f>
        <v>0</v>
      </c>
      <c r="H167" s="30">
        <f>CdTrp3!G77</f>
        <v>0</v>
      </c>
      <c r="I167" s="30">
        <f>CdTrp3!H77</f>
        <v>0</v>
      </c>
      <c r="J167" s="30">
        <f>CdTrp3!I77</f>
        <v>0</v>
      </c>
      <c r="K167" s="30">
        <f>CdTrp3!J77</f>
        <v>0</v>
      </c>
      <c r="L167" s="30">
        <f>CdTrp3!K77</f>
        <v>0</v>
      </c>
      <c r="M167" s="30">
        <f>CdTrp3!L77</f>
        <v>0</v>
      </c>
      <c r="N167" s="30">
        <f>CdTrp3!M77</f>
        <v>0</v>
      </c>
      <c r="O167" s="30">
        <f>CdTrp3!N77</f>
        <v>0</v>
      </c>
      <c r="P167" s="30">
        <f>CdTrp3!O77</f>
        <v>0</v>
      </c>
      <c r="Q167" s="30">
        <f>CdTrp3!P77</f>
        <v>0</v>
      </c>
      <c r="R167" s="30">
        <f>CdTrp3!Q77</f>
        <v>0</v>
      </c>
      <c r="S167" s="30">
        <f>CdTrp3!R77</f>
        <v>0</v>
      </c>
      <c r="T167" s="30">
        <f>CdTrp3!S77</f>
        <v>0</v>
      </c>
      <c r="U167" s="30">
        <f>CdTrp3!T77</f>
        <v>0</v>
      </c>
      <c r="V167" s="30">
        <f>CdTrp3!U77</f>
        <v>0</v>
      </c>
      <c r="W167" s="30">
        <f>CdTrp3!V77</f>
        <v>0</v>
      </c>
      <c r="X167" s="30">
        <f>CdTrp3!W77</f>
        <v>0</v>
      </c>
      <c r="Y167" s="30">
        <f>CdTrp3!X77</f>
        <v>0</v>
      </c>
      <c r="Z167" s="30">
        <f>CdTrp3!Y77</f>
        <v>0</v>
      </c>
    </row>
    <row r="168" spans="1:27" x14ac:dyDescent="0.25">
      <c r="B168" s="251" t="str">
        <f>CdTrp3!A78</f>
        <v>lot3</v>
      </c>
      <c r="C168" s="30">
        <f>CdTrp3!B78</f>
        <v>0</v>
      </c>
      <c r="D168" s="30">
        <f>CdTrp3!C78</f>
        <v>0</v>
      </c>
      <c r="E168" s="30">
        <f>CdTrp3!D78</f>
        <v>0</v>
      </c>
      <c r="F168" s="30">
        <f>CdTrp3!E78</f>
        <v>0</v>
      </c>
      <c r="G168" s="30">
        <f>CdTrp3!F78</f>
        <v>0</v>
      </c>
      <c r="H168" s="30">
        <f>CdTrp3!G78</f>
        <v>0</v>
      </c>
      <c r="I168" s="30">
        <f>CdTrp3!H78</f>
        <v>0</v>
      </c>
      <c r="J168" s="30">
        <f>CdTrp3!I78</f>
        <v>0</v>
      </c>
      <c r="K168" s="30">
        <f>CdTrp3!J78</f>
        <v>0</v>
      </c>
      <c r="L168" s="30">
        <f>CdTrp3!K78</f>
        <v>0</v>
      </c>
      <c r="M168" s="30">
        <f>CdTrp3!L78</f>
        <v>0</v>
      </c>
      <c r="N168" s="30">
        <f>CdTrp3!M78</f>
        <v>0</v>
      </c>
      <c r="O168" s="30">
        <f>CdTrp3!N78</f>
        <v>0</v>
      </c>
      <c r="P168" s="30">
        <f>CdTrp3!O78</f>
        <v>0</v>
      </c>
      <c r="Q168" s="30">
        <f>CdTrp3!P78</f>
        <v>0</v>
      </c>
      <c r="R168" s="30">
        <f>CdTrp3!Q78</f>
        <v>0</v>
      </c>
      <c r="S168" s="30">
        <f>CdTrp3!R78</f>
        <v>0</v>
      </c>
      <c r="T168" s="30">
        <f>CdTrp3!S78</f>
        <v>0</v>
      </c>
      <c r="U168" s="30">
        <f>CdTrp3!T78</f>
        <v>0</v>
      </c>
      <c r="V168" s="30">
        <f>CdTrp3!U78</f>
        <v>0</v>
      </c>
      <c r="W168" s="30">
        <f>CdTrp3!V78</f>
        <v>0</v>
      </c>
      <c r="X168" s="30">
        <f>CdTrp3!W78</f>
        <v>0</v>
      </c>
      <c r="Y168" s="30">
        <f>CdTrp3!X78</f>
        <v>0</v>
      </c>
      <c r="Z168" s="30">
        <f>CdTrp3!Y78</f>
        <v>0</v>
      </c>
    </row>
    <row r="169" spans="1:27" x14ac:dyDescent="0.25">
      <c r="B169" s="30" t="str">
        <f>CdTrp3!A79</f>
        <v>lot4</v>
      </c>
      <c r="C169" s="30">
        <f>CdTrp3!B79</f>
        <v>0</v>
      </c>
      <c r="D169" s="30">
        <f>CdTrp3!C79</f>
        <v>0</v>
      </c>
      <c r="E169" s="30">
        <f>CdTrp3!D79</f>
        <v>0</v>
      </c>
      <c r="F169" s="30">
        <f>CdTrp3!E79</f>
        <v>0</v>
      </c>
      <c r="G169" s="30">
        <f>CdTrp3!F79</f>
        <v>0</v>
      </c>
      <c r="H169" s="30">
        <f>CdTrp3!G79</f>
        <v>0</v>
      </c>
      <c r="I169" s="30">
        <f>CdTrp3!H79</f>
        <v>0</v>
      </c>
      <c r="J169" s="30">
        <f>CdTrp3!I79</f>
        <v>0</v>
      </c>
      <c r="K169" s="30">
        <f>CdTrp3!J79</f>
        <v>0</v>
      </c>
      <c r="L169" s="30">
        <f>CdTrp3!K79</f>
        <v>0</v>
      </c>
      <c r="M169" s="30">
        <f>CdTrp3!L79</f>
        <v>0</v>
      </c>
      <c r="N169" s="30">
        <f>CdTrp3!M79</f>
        <v>0</v>
      </c>
      <c r="O169" s="30">
        <f>CdTrp3!N79</f>
        <v>0</v>
      </c>
      <c r="P169" s="30">
        <f>CdTrp3!O79</f>
        <v>0</v>
      </c>
      <c r="Q169" s="30">
        <f>CdTrp3!P79</f>
        <v>0</v>
      </c>
      <c r="R169" s="30">
        <f>CdTrp3!Q79</f>
        <v>0</v>
      </c>
      <c r="S169" s="30">
        <f>CdTrp3!R79</f>
        <v>0</v>
      </c>
      <c r="T169" s="30">
        <f>CdTrp3!S79</f>
        <v>0</v>
      </c>
      <c r="U169" s="30">
        <f>CdTrp3!T79</f>
        <v>0</v>
      </c>
      <c r="V169" s="30">
        <f>CdTrp3!U79</f>
        <v>0</v>
      </c>
      <c r="W169" s="30">
        <f>CdTrp3!V79</f>
        <v>0</v>
      </c>
      <c r="X169" s="30">
        <f>CdTrp3!W79</f>
        <v>0</v>
      </c>
      <c r="Y169" s="30">
        <f>CdTrp3!X79</f>
        <v>0</v>
      </c>
      <c r="Z169" s="30">
        <f>CdTrp3!Y79</f>
        <v>0</v>
      </c>
    </row>
    <row r="170" spans="1:27" x14ac:dyDescent="0.25">
      <c r="B170" s="251" t="str">
        <f>CdTrp3!A80</f>
        <v>lot5</v>
      </c>
      <c r="C170" s="30">
        <f>CdTrp3!B80</f>
        <v>0</v>
      </c>
      <c r="D170" s="30">
        <f>CdTrp3!C80</f>
        <v>0</v>
      </c>
      <c r="E170" s="30">
        <f>CdTrp3!D80</f>
        <v>0</v>
      </c>
      <c r="F170" s="30">
        <f>CdTrp3!E80</f>
        <v>0</v>
      </c>
      <c r="G170" s="30">
        <f>CdTrp3!F80</f>
        <v>0</v>
      </c>
      <c r="H170" s="30">
        <f>CdTrp3!G80</f>
        <v>0</v>
      </c>
      <c r="I170" s="30">
        <f>CdTrp3!H80</f>
        <v>0</v>
      </c>
      <c r="J170" s="30">
        <f>CdTrp3!I80</f>
        <v>0</v>
      </c>
      <c r="K170" s="30">
        <f>CdTrp3!J80</f>
        <v>0</v>
      </c>
      <c r="L170" s="30">
        <f>CdTrp3!K80</f>
        <v>0</v>
      </c>
      <c r="M170" s="30">
        <f>CdTrp3!L80</f>
        <v>0</v>
      </c>
      <c r="N170" s="30">
        <f>CdTrp3!M80</f>
        <v>0</v>
      </c>
      <c r="O170" s="30">
        <f>CdTrp3!N80</f>
        <v>0</v>
      </c>
      <c r="P170" s="30">
        <f>CdTrp3!O80</f>
        <v>0</v>
      </c>
      <c r="Q170" s="30">
        <f>CdTrp3!P80</f>
        <v>0</v>
      </c>
      <c r="R170" s="30">
        <f>CdTrp3!Q80</f>
        <v>0</v>
      </c>
      <c r="S170" s="30">
        <f>CdTrp3!R80</f>
        <v>0</v>
      </c>
      <c r="T170" s="30">
        <f>CdTrp3!S80</f>
        <v>0</v>
      </c>
      <c r="U170" s="30">
        <f>CdTrp3!T80</f>
        <v>0</v>
      </c>
      <c r="V170" s="30">
        <f>CdTrp3!U80</f>
        <v>0</v>
      </c>
      <c r="W170" s="30">
        <f>CdTrp3!V80</f>
        <v>0</v>
      </c>
      <c r="X170" s="30">
        <f>CdTrp3!W80</f>
        <v>0</v>
      </c>
      <c r="Y170" s="30">
        <f>CdTrp3!X80</f>
        <v>0</v>
      </c>
      <c r="Z170" s="30">
        <f>CdTrp3!Y80</f>
        <v>0</v>
      </c>
    </row>
    <row r="171" spans="1:27" x14ac:dyDescent="0.25">
      <c r="B171" s="30" t="str">
        <f>CdTrp3!A81</f>
        <v>lot6</v>
      </c>
      <c r="C171" s="30">
        <f>CdTrp3!B81</f>
        <v>0</v>
      </c>
      <c r="D171" s="30">
        <f>CdTrp3!C81</f>
        <v>0</v>
      </c>
      <c r="E171" s="30">
        <f>CdTrp3!D81</f>
        <v>0</v>
      </c>
      <c r="F171" s="30">
        <f>CdTrp3!E81</f>
        <v>0</v>
      </c>
      <c r="G171" s="30">
        <f>CdTrp3!F81</f>
        <v>0</v>
      </c>
      <c r="H171" s="30">
        <f>CdTrp3!G81</f>
        <v>0</v>
      </c>
      <c r="I171" s="30">
        <f>CdTrp3!H81</f>
        <v>0</v>
      </c>
      <c r="J171" s="30">
        <f>CdTrp3!I81</f>
        <v>0</v>
      </c>
      <c r="K171" s="30">
        <f>CdTrp3!J81</f>
        <v>0</v>
      </c>
      <c r="L171" s="30">
        <f>CdTrp3!K81</f>
        <v>0</v>
      </c>
      <c r="M171" s="30">
        <f>CdTrp3!L81</f>
        <v>0</v>
      </c>
      <c r="N171" s="30">
        <f>CdTrp3!M81</f>
        <v>0</v>
      </c>
      <c r="O171" s="30">
        <f>CdTrp3!N81</f>
        <v>0</v>
      </c>
      <c r="P171" s="30">
        <f>CdTrp3!O81</f>
        <v>0</v>
      </c>
      <c r="Q171" s="30">
        <f>CdTrp3!P81</f>
        <v>0</v>
      </c>
      <c r="R171" s="30">
        <f>CdTrp3!Q81</f>
        <v>0</v>
      </c>
      <c r="S171" s="30">
        <f>CdTrp3!R81</f>
        <v>0</v>
      </c>
      <c r="T171" s="30">
        <f>CdTrp3!S81</f>
        <v>0</v>
      </c>
      <c r="U171" s="30">
        <f>CdTrp3!T81</f>
        <v>0</v>
      </c>
      <c r="V171" s="30">
        <f>CdTrp3!U81</f>
        <v>0</v>
      </c>
      <c r="W171" s="30">
        <f>CdTrp3!V81</f>
        <v>0</v>
      </c>
      <c r="X171" s="30">
        <f>CdTrp3!W81</f>
        <v>0</v>
      </c>
      <c r="Y171" s="30">
        <f>CdTrp3!X81</f>
        <v>0</v>
      </c>
      <c r="Z171" s="30">
        <f>CdTrp3!Y81</f>
        <v>0</v>
      </c>
    </row>
    <row r="172" spans="1:27" x14ac:dyDescent="0.25">
      <c r="B172" s="251" t="str">
        <f>CdTrp3!A82</f>
        <v>lot7</v>
      </c>
      <c r="C172" s="30">
        <f>CdTrp3!B82</f>
        <v>0</v>
      </c>
      <c r="D172" s="30">
        <f>CdTrp3!C82</f>
        <v>0</v>
      </c>
      <c r="E172" s="30">
        <f>CdTrp3!D82</f>
        <v>0</v>
      </c>
      <c r="F172" s="30">
        <f>CdTrp3!E82</f>
        <v>0</v>
      </c>
      <c r="G172" s="30">
        <f>CdTrp3!F82</f>
        <v>0</v>
      </c>
      <c r="H172" s="30">
        <f>CdTrp3!G82</f>
        <v>0</v>
      </c>
      <c r="I172" s="30">
        <f>CdTrp3!H82</f>
        <v>0</v>
      </c>
      <c r="J172" s="30">
        <f>CdTrp3!I82</f>
        <v>0</v>
      </c>
      <c r="K172" s="30">
        <f>CdTrp3!J82</f>
        <v>0</v>
      </c>
      <c r="L172" s="30">
        <f>CdTrp3!K82</f>
        <v>0</v>
      </c>
      <c r="M172" s="30">
        <f>CdTrp3!L82</f>
        <v>0</v>
      </c>
      <c r="N172" s="30">
        <f>CdTrp3!M82</f>
        <v>0</v>
      </c>
      <c r="O172" s="30">
        <f>CdTrp3!N82</f>
        <v>0</v>
      </c>
      <c r="P172" s="30">
        <f>CdTrp3!O82</f>
        <v>0</v>
      </c>
      <c r="Q172" s="30">
        <f>CdTrp3!P82</f>
        <v>0</v>
      </c>
      <c r="R172" s="30">
        <f>CdTrp3!Q82</f>
        <v>0</v>
      </c>
      <c r="S172" s="30">
        <f>CdTrp3!R82</f>
        <v>0</v>
      </c>
      <c r="T172" s="30">
        <f>CdTrp3!S82</f>
        <v>0</v>
      </c>
      <c r="U172" s="30">
        <f>CdTrp3!T82</f>
        <v>0</v>
      </c>
      <c r="V172" s="30">
        <f>CdTrp3!U82</f>
        <v>0</v>
      </c>
      <c r="W172" s="30">
        <f>CdTrp3!V82</f>
        <v>0</v>
      </c>
      <c r="X172" s="30">
        <f>CdTrp3!W82</f>
        <v>0</v>
      </c>
      <c r="Y172" s="30">
        <f>CdTrp3!X82</f>
        <v>0</v>
      </c>
      <c r="Z172" s="30">
        <f>CdTrp3!Y82</f>
        <v>0</v>
      </c>
    </row>
    <row r="173" spans="1:27" x14ac:dyDescent="0.25">
      <c r="B173" s="251" t="str">
        <f>CdTrp3!A83</f>
        <v>lot8</v>
      </c>
      <c r="C173" s="30">
        <f>CdTrp3!B83</f>
        <v>0</v>
      </c>
      <c r="D173" s="30">
        <f>CdTrp3!C83</f>
        <v>0</v>
      </c>
      <c r="E173" s="30">
        <f>CdTrp3!D83</f>
        <v>0</v>
      </c>
      <c r="F173" s="30">
        <f>CdTrp3!E83</f>
        <v>0</v>
      </c>
      <c r="G173" s="30">
        <f>CdTrp3!F83</f>
        <v>0</v>
      </c>
      <c r="H173" s="30">
        <f>CdTrp3!G83</f>
        <v>0</v>
      </c>
      <c r="I173" s="30">
        <f>CdTrp3!H83</f>
        <v>0</v>
      </c>
      <c r="J173" s="30">
        <f>CdTrp3!I83</f>
        <v>0</v>
      </c>
      <c r="K173" s="30">
        <f>CdTrp3!J83</f>
        <v>0</v>
      </c>
      <c r="L173" s="30">
        <f>CdTrp3!K83</f>
        <v>0</v>
      </c>
      <c r="M173" s="30">
        <f>CdTrp3!L83</f>
        <v>0</v>
      </c>
      <c r="N173" s="30">
        <f>CdTrp3!M83</f>
        <v>0</v>
      </c>
      <c r="O173" s="30">
        <f>CdTrp3!N83</f>
        <v>0</v>
      </c>
      <c r="P173" s="30">
        <f>CdTrp3!O83</f>
        <v>0</v>
      </c>
      <c r="Q173" s="30">
        <f>CdTrp3!P83</f>
        <v>0</v>
      </c>
      <c r="R173" s="30">
        <f>CdTrp3!Q83</f>
        <v>0</v>
      </c>
      <c r="S173" s="30">
        <f>CdTrp3!R83</f>
        <v>0</v>
      </c>
      <c r="T173" s="30">
        <f>CdTrp3!S83</f>
        <v>0</v>
      </c>
      <c r="U173" s="30">
        <f>CdTrp3!T83</f>
        <v>0</v>
      </c>
      <c r="V173" s="30">
        <f>CdTrp3!U83</f>
        <v>0</v>
      </c>
      <c r="W173" s="30">
        <f>CdTrp3!V83</f>
        <v>0</v>
      </c>
      <c r="X173" s="30">
        <f>CdTrp3!W83</f>
        <v>0</v>
      </c>
      <c r="Y173" s="30">
        <f>CdTrp3!X83</f>
        <v>0</v>
      </c>
      <c r="Z173" s="30">
        <f>CdTrp3!Y83</f>
        <v>0</v>
      </c>
    </row>
    <row r="174" spans="1:27" x14ac:dyDescent="0.25">
      <c r="B174" s="30" t="str">
        <f>CdTrp3!A84</f>
        <v>lot9</v>
      </c>
      <c r="C174" s="30">
        <f>CdTrp3!B84</f>
        <v>0</v>
      </c>
      <c r="D174" s="30">
        <f>CdTrp3!C84</f>
        <v>0</v>
      </c>
      <c r="E174" s="30">
        <f>CdTrp3!D84</f>
        <v>0</v>
      </c>
      <c r="F174" s="30">
        <f>CdTrp3!E84</f>
        <v>0</v>
      </c>
      <c r="G174" s="30">
        <f>CdTrp3!F84</f>
        <v>0</v>
      </c>
      <c r="H174" s="30">
        <f>CdTrp3!G84</f>
        <v>0</v>
      </c>
      <c r="I174" s="30">
        <f>CdTrp3!H84</f>
        <v>0</v>
      </c>
      <c r="J174" s="30">
        <f>CdTrp3!I84</f>
        <v>0</v>
      </c>
      <c r="K174" s="30">
        <f>CdTrp3!J84</f>
        <v>0</v>
      </c>
      <c r="L174" s="30">
        <f>CdTrp3!K84</f>
        <v>0</v>
      </c>
      <c r="M174" s="30">
        <f>CdTrp3!L84</f>
        <v>0</v>
      </c>
      <c r="N174" s="30">
        <f>CdTrp3!M84</f>
        <v>0</v>
      </c>
      <c r="O174" s="30">
        <f>CdTrp3!N84</f>
        <v>0</v>
      </c>
      <c r="P174" s="30">
        <f>CdTrp3!O84</f>
        <v>0</v>
      </c>
      <c r="Q174" s="30">
        <f>CdTrp3!P84</f>
        <v>0</v>
      </c>
      <c r="R174" s="30">
        <f>CdTrp3!Q84</f>
        <v>0</v>
      </c>
      <c r="S174" s="30">
        <f>CdTrp3!R84</f>
        <v>0</v>
      </c>
      <c r="T174" s="30">
        <f>CdTrp3!S84</f>
        <v>0</v>
      </c>
      <c r="U174" s="30">
        <f>CdTrp3!T84</f>
        <v>0</v>
      </c>
      <c r="V174" s="30">
        <f>CdTrp3!U84</f>
        <v>0</v>
      </c>
      <c r="W174" s="30">
        <f>CdTrp3!V84</f>
        <v>0</v>
      </c>
      <c r="X174" s="30">
        <f>CdTrp3!W84</f>
        <v>0</v>
      </c>
      <c r="Y174" s="30">
        <f>CdTrp3!X84</f>
        <v>0</v>
      </c>
      <c r="Z174" s="30">
        <f>CdTrp3!Y84</f>
        <v>0</v>
      </c>
    </row>
    <row r="175" spans="1:27" x14ac:dyDescent="0.25">
      <c r="B175" s="251" t="str">
        <f>CdTrp3!A85</f>
        <v>lot10</v>
      </c>
      <c r="C175" s="30">
        <f>CdTrp3!B85</f>
        <v>0</v>
      </c>
      <c r="D175" s="30">
        <f>CdTrp3!C85</f>
        <v>0</v>
      </c>
      <c r="E175" s="30">
        <f>CdTrp3!D85</f>
        <v>0</v>
      </c>
      <c r="F175" s="30">
        <f>CdTrp3!E85</f>
        <v>0</v>
      </c>
      <c r="G175" s="30">
        <f>CdTrp3!F85</f>
        <v>0</v>
      </c>
      <c r="H175" s="30">
        <f>CdTrp3!G85</f>
        <v>0</v>
      </c>
      <c r="I175" s="30">
        <f>CdTrp3!H85</f>
        <v>0</v>
      </c>
      <c r="J175" s="30">
        <f>CdTrp3!I85</f>
        <v>0</v>
      </c>
      <c r="K175" s="30">
        <f>CdTrp3!J85</f>
        <v>0</v>
      </c>
      <c r="L175" s="30">
        <f>CdTrp3!K85</f>
        <v>0</v>
      </c>
      <c r="M175" s="30">
        <f>CdTrp3!L85</f>
        <v>0</v>
      </c>
      <c r="N175" s="30">
        <f>CdTrp3!M85</f>
        <v>0</v>
      </c>
      <c r="O175" s="30">
        <f>CdTrp3!N85</f>
        <v>0</v>
      </c>
      <c r="P175" s="30">
        <f>CdTrp3!O85</f>
        <v>0</v>
      </c>
      <c r="Q175" s="30">
        <f>CdTrp3!P85</f>
        <v>0</v>
      </c>
      <c r="R175" s="30">
        <f>CdTrp3!Q85</f>
        <v>0</v>
      </c>
      <c r="S175" s="30">
        <f>CdTrp3!R85</f>
        <v>0</v>
      </c>
      <c r="T175" s="30">
        <f>CdTrp3!S85</f>
        <v>0</v>
      </c>
      <c r="U175" s="30">
        <f>CdTrp3!T85</f>
        <v>0</v>
      </c>
      <c r="V175" s="30">
        <f>CdTrp3!U85</f>
        <v>0</v>
      </c>
      <c r="W175" s="30">
        <f>CdTrp3!V85</f>
        <v>0</v>
      </c>
      <c r="X175" s="30">
        <f>CdTrp3!W85</f>
        <v>0</v>
      </c>
      <c r="Y175" s="30">
        <f>CdTrp3!X85</f>
        <v>0</v>
      </c>
      <c r="Z175" s="30">
        <f>CdTrp3!Y85</f>
        <v>0</v>
      </c>
    </row>
    <row r="176" spans="1:27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x14ac:dyDescent="0.25">
      <c r="A177"/>
    </row>
    <row r="178" spans="1:26" x14ac:dyDescent="0.25">
      <c r="A178"/>
    </row>
    <row r="179" spans="1:26" x14ac:dyDescent="0.25">
      <c r="A179"/>
    </row>
    <row r="180" spans="1:26" x14ac:dyDescent="0.25">
      <c r="A180" t="s">
        <v>1392</v>
      </c>
      <c r="C180" s="168">
        <f>IF(Troupeau!$B$3="OL",Protection!C18,0)</f>
        <v>0</v>
      </c>
      <c r="D180" s="168">
        <f>IF(Troupeau!$B$3="OL",Protection!D18,0)</f>
        <v>0</v>
      </c>
      <c r="E180" s="168">
        <f>IF(Troupeau!$B$3="OL",Protection!E18,0)</f>
        <v>0</v>
      </c>
      <c r="F180" s="168">
        <f>IF(Troupeau!$B$3="OL",Protection!F18,0)</f>
        <v>0</v>
      </c>
      <c r="G180" s="168">
        <f>IF(Troupeau!$B$3="OL",Protection!G18,0)</f>
        <v>0</v>
      </c>
      <c r="H180" s="168">
        <f>IF(Troupeau!$B$3="OL",Protection!H18,0)</f>
        <v>0</v>
      </c>
      <c r="I180" s="168">
        <f>IF(Troupeau!$B$3="OL",Protection!I18,0)</f>
        <v>0</v>
      </c>
      <c r="J180" s="168">
        <f>IF(Troupeau!$B$3="OL",Protection!J18,0)</f>
        <v>0</v>
      </c>
      <c r="K180" s="168">
        <f>IF(Troupeau!$B$3="OL",Protection!K18,0)</f>
        <v>0</v>
      </c>
      <c r="L180" s="168">
        <f>IF(Troupeau!$B$3="OL",Protection!L18,0)</f>
        <v>0</v>
      </c>
      <c r="M180" s="168">
        <f>IF(Troupeau!$B$3="OL",Protection!M18,0)</f>
        <v>0</v>
      </c>
      <c r="N180" s="168">
        <f>IF(Troupeau!$B$3="OL",Protection!N18,0)</f>
        <v>0</v>
      </c>
      <c r="O180" s="168">
        <f>IF(Troupeau!$B$3="OL",Protection!O18,0)</f>
        <v>0</v>
      </c>
      <c r="P180" s="168">
        <f>IF(Troupeau!$B$3="OL",Protection!P18,0)</f>
        <v>0</v>
      </c>
      <c r="Q180" s="168">
        <f>IF(Troupeau!$B$3="OL",Protection!Q18,0)</f>
        <v>0</v>
      </c>
      <c r="R180" s="168">
        <f>IF(Troupeau!$B$3="OL",Protection!R18,0)</f>
        <v>0</v>
      </c>
      <c r="S180" s="168">
        <f>IF(Troupeau!$B$3="OL",Protection!S18,0)</f>
        <v>0</v>
      </c>
      <c r="T180" s="168">
        <f>IF(Troupeau!$B$3="OL",Protection!T18,0)</f>
        <v>0</v>
      </c>
      <c r="U180" s="168">
        <f>IF(Troupeau!$B$3="OL",Protection!U18,0)</f>
        <v>0</v>
      </c>
      <c r="V180" s="168">
        <f>IF(Troupeau!$B$3="OL",Protection!V18,0)</f>
        <v>0</v>
      </c>
      <c r="W180" s="168">
        <f>IF(Troupeau!$B$3="OL",Protection!W18,0)</f>
        <v>0</v>
      </c>
      <c r="X180" s="168">
        <f>IF(Troupeau!$B$3="OL",Protection!X18,0)</f>
        <v>0</v>
      </c>
      <c r="Y180" s="168">
        <f>IF(Troupeau!$B$3="OL",Protection!Y18,0)</f>
        <v>0</v>
      </c>
      <c r="Z180" s="168">
        <f>IF(Troupeau!$B$3="OL",Protection!Z18,0)</f>
        <v>0</v>
      </c>
    </row>
    <row r="181" spans="1:26" x14ac:dyDescent="0.25">
      <c r="A181" t="s">
        <v>1393</v>
      </c>
      <c r="C181" s="168">
        <f>IF(Troupeau!$B$3="OL",Protection!C19+C21,0)</f>
        <v>0</v>
      </c>
      <c r="D181" s="168">
        <f>IF(Troupeau!$B$3="OL",Protection!D19+D21,0)</f>
        <v>0</v>
      </c>
      <c r="E181" s="168">
        <f>IF(Troupeau!$B$3="OL",Protection!E19+E21,0)</f>
        <v>0</v>
      </c>
      <c r="F181" s="168">
        <f>IF(Troupeau!$B$3="OL",Protection!F19+F21,0)</f>
        <v>0</v>
      </c>
      <c r="G181" s="168">
        <f>IF(Troupeau!$B$3="OL",Protection!G19+G21,0)</f>
        <v>0</v>
      </c>
      <c r="H181" s="168">
        <f>IF(Troupeau!$B$3="OL",Protection!H19+H21,0)</f>
        <v>0</v>
      </c>
      <c r="I181" s="168">
        <f>IF(Troupeau!$B$3="OL",Protection!I19+I21,0)</f>
        <v>0</v>
      </c>
      <c r="J181" s="168">
        <f>IF(Troupeau!$B$3="OL",Protection!J19+J21,0)</f>
        <v>0</v>
      </c>
      <c r="K181" s="168">
        <f>IF(Troupeau!$B$3="OL",Protection!K19+K21,0)</f>
        <v>0</v>
      </c>
      <c r="L181" s="168">
        <f>IF(Troupeau!$B$3="OL",Protection!L19+L21,0)</f>
        <v>0</v>
      </c>
      <c r="M181" s="168">
        <f>IF(Troupeau!$B$3="OL",Protection!M19+M21,0)</f>
        <v>0</v>
      </c>
      <c r="N181" s="168">
        <f>IF(Troupeau!$B$3="OL",Protection!N19+N21,0)</f>
        <v>0</v>
      </c>
      <c r="O181" s="168">
        <f>IF(Troupeau!$B$3="OL",Protection!O19+O21,0)</f>
        <v>0</v>
      </c>
      <c r="P181" s="168">
        <f>IF(Troupeau!$B$3="OL",Protection!P19+P21,0)</f>
        <v>0</v>
      </c>
      <c r="Q181" s="168">
        <f>IF(Troupeau!$B$3="OL",Protection!Q19+Q21,0)</f>
        <v>0</v>
      </c>
      <c r="R181" s="168">
        <f>IF(Troupeau!$B$3="OL",Protection!R19+R21,0)</f>
        <v>0</v>
      </c>
      <c r="S181" s="168">
        <f>IF(Troupeau!$B$3="OL",Protection!S19+S21,0)</f>
        <v>0</v>
      </c>
      <c r="T181" s="168">
        <f>IF(Troupeau!$B$3="OL",Protection!T19+T21,0)</f>
        <v>0</v>
      </c>
      <c r="U181" s="168">
        <f>IF(Troupeau!$B$3="OL",Protection!U19+U21,0)</f>
        <v>0</v>
      </c>
      <c r="V181" s="168">
        <f>IF(Troupeau!$B$3="OL",Protection!V19+V21,0)</f>
        <v>0</v>
      </c>
      <c r="W181" s="168">
        <f>IF(Troupeau!$B$3="OL",Protection!W19+W21,0)</f>
        <v>0</v>
      </c>
      <c r="X181" s="168">
        <f>IF(Troupeau!$B$3="OL",Protection!X19+X21,0)</f>
        <v>0</v>
      </c>
      <c r="Y181" s="168">
        <f>IF(Troupeau!$B$3="OL",Protection!Y19+Y21,0)</f>
        <v>0</v>
      </c>
      <c r="Z181" s="168">
        <f>IF(Troupeau!$B$3="OL",Protection!Z19+Z21,0)</f>
        <v>0</v>
      </c>
    </row>
    <row r="182" spans="1:26" x14ac:dyDescent="0.25">
      <c r="A182"/>
    </row>
    <row r="183" spans="1:26" x14ac:dyDescent="0.25">
      <c r="A183" t="s">
        <v>1394</v>
      </c>
      <c r="C183" s="168">
        <f>IF(AND(OR(Troupeau!$B$3="BV",Troupeau!$B$3="BL"),Scénario!$K$91&gt;0),Protection!C18,0)</f>
        <v>0</v>
      </c>
      <c r="D183" s="168">
        <f>IF(AND(OR(Troupeau!$B$3="BV",Troupeau!$B$3="BL"),Scénario!$K$91&gt;0),Protection!D18,0)</f>
        <v>0</v>
      </c>
      <c r="E183" s="168">
        <f>IF(AND(OR(Troupeau!$B$3="BV",Troupeau!$B$3="BL"),Scénario!$K$91&gt;0),Protection!E18,0)</f>
        <v>0</v>
      </c>
      <c r="F183" s="168">
        <f>IF(AND(OR(Troupeau!$B$3="BV",Troupeau!$B$3="BL"),Scénario!$K$91&gt;0),Protection!F18,0)</f>
        <v>0</v>
      </c>
      <c r="G183" s="168">
        <f>IF(AND(OR(Troupeau!$B$3="BV",Troupeau!$B$3="BL"),Scénario!$K$91&gt;0),Protection!G18,0)</f>
        <v>0</v>
      </c>
      <c r="H183" s="168">
        <f>IF(AND(OR(Troupeau!$B$3="BV",Troupeau!$B$3="BL"),Scénario!$K$91&gt;0),Protection!H18,0)</f>
        <v>0</v>
      </c>
      <c r="I183" s="168">
        <f>IF(AND(OR(Troupeau!$B$3="BV",Troupeau!$B$3="BL"),Scénario!$K$91&gt;0),Protection!I18,0)</f>
        <v>0</v>
      </c>
      <c r="J183" s="168">
        <f>IF(AND(OR(Troupeau!$B$3="BV",Troupeau!$B$3="BL"),Scénario!$K$91&gt;0),Protection!J18,0)</f>
        <v>0</v>
      </c>
      <c r="K183" s="168">
        <f>IF(AND(OR(Troupeau!$B$3="BV",Troupeau!$B$3="BL"),Scénario!$K$91&gt;0),Protection!K18,0)</f>
        <v>0</v>
      </c>
      <c r="L183" s="168">
        <f>IF(AND(OR(Troupeau!$B$3="BV",Troupeau!$B$3="BL"),Scénario!$K$91&gt;0),Protection!L18,0)</f>
        <v>0</v>
      </c>
      <c r="M183" s="168">
        <f>IF(AND(OR(Troupeau!$B$3="BV",Troupeau!$B$3="BL"),Scénario!$K$91&gt;0),Protection!M18,0)</f>
        <v>0</v>
      </c>
      <c r="N183" s="168">
        <f>IF(AND(OR(Troupeau!$B$3="BV",Troupeau!$B$3="BL"),Scénario!$K$91&gt;0),Protection!N18,0)</f>
        <v>0</v>
      </c>
      <c r="O183" s="168">
        <f>IF(AND(OR(Troupeau!$B$3="BV",Troupeau!$B$3="BL"),Scénario!$K$91&gt;0),Protection!O18,0)</f>
        <v>0</v>
      </c>
      <c r="P183" s="168">
        <f>IF(AND(OR(Troupeau!$B$3="BV",Troupeau!$B$3="BL"),Scénario!$K$91&gt;0),Protection!P18,0)</f>
        <v>0</v>
      </c>
      <c r="Q183" s="168">
        <f>IF(AND(OR(Troupeau!$B$3="BV",Troupeau!$B$3="BL"),Scénario!$K$91&gt;0),Protection!Q18,0)</f>
        <v>0</v>
      </c>
      <c r="R183" s="168">
        <f>IF(AND(OR(Troupeau!$B$3="BV",Troupeau!$B$3="BL"),Scénario!$K$91&gt;0),Protection!R18,0)</f>
        <v>0</v>
      </c>
      <c r="S183" s="168">
        <f>IF(AND(OR(Troupeau!$B$3="BV",Troupeau!$B$3="BL"),Scénario!$K$91&gt;0),Protection!S18,0)</f>
        <v>0</v>
      </c>
      <c r="T183" s="168">
        <f>IF(AND(OR(Troupeau!$B$3="BV",Troupeau!$B$3="BL"),Scénario!$K$91&gt;0),Protection!T18,0)</f>
        <v>0</v>
      </c>
      <c r="U183" s="168">
        <f>IF(AND(OR(Troupeau!$B$3="BV",Troupeau!$B$3="BL"),Scénario!$K$91&gt;0),Protection!U18,0)</f>
        <v>0</v>
      </c>
      <c r="V183" s="168">
        <f>IF(AND(OR(Troupeau!$B$3="BV",Troupeau!$B$3="BL"),Scénario!$K$91&gt;0),Protection!V18,0)</f>
        <v>0</v>
      </c>
      <c r="W183" s="168">
        <f>IF(AND(OR(Troupeau!$B$3="BV",Troupeau!$B$3="BL"),Scénario!$K$91&gt;0),Protection!W18,0)</f>
        <v>0</v>
      </c>
      <c r="X183" s="168">
        <f>IF(AND(OR(Troupeau!$B$3="BV",Troupeau!$B$3="BL"),Scénario!$K$91&gt;0),Protection!X18,0)</f>
        <v>0</v>
      </c>
      <c r="Y183" s="168">
        <f>IF(AND(OR(Troupeau!$B$3="BV",Troupeau!$B$3="BL"),Scénario!$K$91&gt;0),Protection!Y18,0)</f>
        <v>0</v>
      </c>
      <c r="Z183" s="168">
        <f>IF(AND(OR(Troupeau!$B$3="BV",Troupeau!$B$3="BL"),Scénario!$K$91&gt;0),Protection!Z18,0)</f>
        <v>0</v>
      </c>
    </row>
    <row r="184" spans="1:26" x14ac:dyDescent="0.25">
      <c r="A184" t="s">
        <v>1395</v>
      </c>
      <c r="C184" s="168">
        <f>IF(AND(OR(Troupeau!$B$3="BV",Troupeau!$B$3="BL"),Scénario!$K$93&gt;1),Protection!C19+C21,0)</f>
        <v>0</v>
      </c>
      <c r="D184" s="168">
        <f>IF(AND(OR(Troupeau!$B$3="BV",Troupeau!$B$3="BL"),Scénario!$K$93&gt;1),Protection!D19+D21,0)</f>
        <v>0</v>
      </c>
      <c r="E184" s="168">
        <f>IF(AND(OR(Troupeau!$B$3="BV",Troupeau!$B$3="BL"),Scénario!$K$93&gt;1),Protection!E19+E21,0)</f>
        <v>0</v>
      </c>
      <c r="F184" s="168">
        <f>IF(AND(OR(Troupeau!$B$3="BV",Troupeau!$B$3="BL"),Scénario!$K$93&gt;1),Protection!F19+F21,0)</f>
        <v>0</v>
      </c>
      <c r="G184" s="168">
        <f>IF(AND(OR(Troupeau!$B$3="BV",Troupeau!$B$3="BL"),Scénario!$K$93&gt;1),Protection!G19+G21,0)</f>
        <v>0</v>
      </c>
      <c r="H184" s="168">
        <f>IF(AND(OR(Troupeau!$B$3="BV",Troupeau!$B$3="BL"),Scénario!$K$93&gt;1),Protection!H19+H21,0)</f>
        <v>0</v>
      </c>
      <c r="I184" s="168">
        <f>IF(AND(OR(Troupeau!$B$3="BV",Troupeau!$B$3="BL"),Scénario!$K$93&gt;1),Protection!I19+I21,0)</f>
        <v>0</v>
      </c>
      <c r="J184" s="168">
        <f>IF(AND(OR(Troupeau!$B$3="BV",Troupeau!$B$3="BL"),Scénario!$K$93&gt;1),Protection!J19+J21,0)</f>
        <v>0</v>
      </c>
      <c r="K184" s="168">
        <f>IF(AND(OR(Troupeau!$B$3="BV",Troupeau!$B$3="BL"),Scénario!$K$93&gt;1),Protection!K19+K21,0)</f>
        <v>0</v>
      </c>
      <c r="L184" s="168">
        <f>IF(AND(OR(Troupeau!$B$3="BV",Troupeau!$B$3="BL"),Scénario!$K$93&gt;1),Protection!L19+L21,0)</f>
        <v>0</v>
      </c>
      <c r="M184" s="168">
        <f>IF(AND(OR(Troupeau!$B$3="BV",Troupeau!$B$3="BL"),Scénario!$K$93&gt;1),Protection!M19+M21,0)</f>
        <v>0</v>
      </c>
      <c r="N184" s="168">
        <f>IF(AND(OR(Troupeau!$B$3="BV",Troupeau!$B$3="BL"),Scénario!$K$93&gt;1),Protection!N19+N21,0)</f>
        <v>0</v>
      </c>
      <c r="O184" s="168">
        <f>IF(AND(OR(Troupeau!$B$3="BV",Troupeau!$B$3="BL"),Scénario!$K$93&gt;1),Protection!O19+O21,0)</f>
        <v>0</v>
      </c>
      <c r="P184" s="168">
        <f>IF(AND(OR(Troupeau!$B$3="BV",Troupeau!$B$3="BL"),Scénario!$K$93&gt;1),Protection!P19+P21,0)</f>
        <v>0</v>
      </c>
      <c r="Q184" s="168">
        <f>IF(AND(OR(Troupeau!$B$3="BV",Troupeau!$B$3="BL"),Scénario!$K$93&gt;1),Protection!Q19+Q21,0)</f>
        <v>0</v>
      </c>
      <c r="R184" s="168">
        <f>IF(AND(OR(Troupeau!$B$3="BV",Troupeau!$B$3="BL"),Scénario!$K$93&gt;1),Protection!R19+R21,0)</f>
        <v>0</v>
      </c>
      <c r="S184" s="168">
        <f>IF(AND(OR(Troupeau!$B$3="BV",Troupeau!$B$3="BL"),Scénario!$K$93&gt;1),Protection!S19+S21,0)</f>
        <v>0</v>
      </c>
      <c r="T184" s="168">
        <f>IF(AND(OR(Troupeau!$B$3="BV",Troupeau!$B$3="BL"),Scénario!$K$93&gt;1),Protection!T19+T21,0)</f>
        <v>0</v>
      </c>
      <c r="U184" s="168">
        <f>IF(AND(OR(Troupeau!$B$3="BV",Troupeau!$B$3="BL"),Scénario!$K$93&gt;1),Protection!U19+U21,0)</f>
        <v>0</v>
      </c>
      <c r="V184" s="168">
        <f>IF(AND(OR(Troupeau!$B$3="BV",Troupeau!$B$3="BL"),Scénario!$K$93&gt;1),Protection!V19+V21,0)</f>
        <v>0</v>
      </c>
      <c r="W184" s="168">
        <f>IF(AND(OR(Troupeau!$B$3="BV",Troupeau!$B$3="BL"),Scénario!$K$93&gt;1),Protection!W19+W21,0)</f>
        <v>0</v>
      </c>
      <c r="X184" s="168">
        <f>IF(AND(OR(Troupeau!$B$3="BV",Troupeau!$B$3="BL"),Scénario!$K$93&gt;1),Protection!X19+X21,0)</f>
        <v>0</v>
      </c>
      <c r="Y184" s="168">
        <f>IF(AND(OR(Troupeau!$B$3="BV",Troupeau!$B$3="BL"),Scénario!$K$93&gt;1),Protection!Y19+Y21,0)</f>
        <v>0</v>
      </c>
      <c r="Z184" s="168">
        <f>IF(AND(OR(Troupeau!$B$3="BV",Troupeau!$B$3="BL"),Scénario!$K$93&gt;1),Protection!Z19+Z21,0)</f>
        <v>0</v>
      </c>
    </row>
    <row r="185" spans="1:26" x14ac:dyDescent="0.25">
      <c r="A185" t="s">
        <v>1396</v>
      </c>
      <c r="C185" s="168">
        <f>IF(Scénario!$K$91&gt;0,Protection!C39,0)</f>
        <v>0</v>
      </c>
      <c r="D185" s="168">
        <f>IF(Scénario!$K$91&gt;0,Protection!D39,0)</f>
        <v>0</v>
      </c>
      <c r="E185" s="168">
        <f>IF(Scénario!$K$91&gt;0,Protection!E39,0)</f>
        <v>0</v>
      </c>
      <c r="F185" s="168">
        <f>IF(Scénario!$K$91&gt;0,Protection!F39,0)</f>
        <v>0</v>
      </c>
      <c r="G185" s="168">
        <f>IF(Scénario!$K$91&gt;0,Protection!G39,0)</f>
        <v>0</v>
      </c>
      <c r="H185" s="168">
        <f>IF(Scénario!$K$91&gt;0,Protection!H39,0)</f>
        <v>0</v>
      </c>
      <c r="I185" s="168">
        <f>IF(Scénario!$K$91&gt;0,Protection!I39,0)</f>
        <v>0</v>
      </c>
      <c r="J185" s="168">
        <f>IF(Scénario!$K$91&gt;0,Protection!J39,0)</f>
        <v>0</v>
      </c>
      <c r="K185" s="168">
        <f>IF(Scénario!$K$91&gt;0,Protection!K39,0)</f>
        <v>0</v>
      </c>
      <c r="L185" s="168">
        <f>IF(Scénario!$K$91&gt;0,Protection!L39,0)</f>
        <v>0</v>
      </c>
      <c r="M185" s="168">
        <f>IF(Scénario!$K$91&gt;0,Protection!M39,0)</f>
        <v>0</v>
      </c>
      <c r="N185" s="168">
        <f>IF(Scénario!$K$91&gt;0,Protection!N39,0)</f>
        <v>0</v>
      </c>
      <c r="O185" s="168">
        <f>IF(Scénario!$K$91&gt;0,Protection!O39,0)</f>
        <v>0</v>
      </c>
      <c r="P185" s="168">
        <f>IF(Scénario!$K$91&gt;0,Protection!P39,0)</f>
        <v>0</v>
      </c>
      <c r="Q185" s="168">
        <f>IF(Scénario!$K$91&gt;0,Protection!Q39,0)</f>
        <v>0</v>
      </c>
      <c r="R185" s="168">
        <f>IF(Scénario!$K$91&gt;0,Protection!R39,0)</f>
        <v>0</v>
      </c>
      <c r="S185" s="168">
        <f>IF(Scénario!$K$91&gt;0,Protection!S39,0)</f>
        <v>0</v>
      </c>
      <c r="T185" s="168">
        <f>IF(Scénario!$K$91&gt;0,Protection!T39,0)</f>
        <v>0</v>
      </c>
      <c r="U185" s="168">
        <f>IF(Scénario!$K$91&gt;0,Protection!U39,0)</f>
        <v>0</v>
      </c>
      <c r="V185" s="168">
        <f>IF(Scénario!$K$91&gt;0,Protection!V39,0)</f>
        <v>0</v>
      </c>
      <c r="W185" s="168">
        <f>IF(Scénario!$K$91&gt;0,Protection!W39,0)</f>
        <v>0</v>
      </c>
      <c r="X185" s="168">
        <f>IF(Scénario!$K$91&gt;0,Protection!X39,0)</f>
        <v>0</v>
      </c>
      <c r="Y185" s="168">
        <f>IF(Scénario!$K$91&gt;0,Protection!Y39,0)</f>
        <v>0</v>
      </c>
      <c r="Z185" s="168">
        <f>IF(Scénario!$K$91&gt;0,Protection!Z39,0)</f>
        <v>0</v>
      </c>
    </row>
    <row r="186" spans="1:26" x14ac:dyDescent="0.25">
      <c r="A186" t="s">
        <v>1397</v>
      </c>
      <c r="C186" s="168">
        <f>IF(Scénario!$K$93&gt;1,Protection!C40+C42,0)</f>
        <v>0</v>
      </c>
      <c r="D186" s="168">
        <f>IF(Scénario!$K$93&gt;1,Protection!D40+D42,0)</f>
        <v>0</v>
      </c>
      <c r="E186" s="168">
        <f>IF(Scénario!$K$93&gt;1,Protection!E40+E42,0)</f>
        <v>0</v>
      </c>
      <c r="F186" s="168">
        <f>IF(Scénario!$K$93&gt;1,Protection!F40+F42,0)</f>
        <v>0</v>
      </c>
      <c r="G186" s="168">
        <f>IF(Scénario!$K$93&gt;1,Protection!G40+G42,0)</f>
        <v>0</v>
      </c>
      <c r="H186" s="168">
        <f>IF(Scénario!$K$93&gt;1,Protection!H40+H42,0)</f>
        <v>0</v>
      </c>
      <c r="I186" s="168">
        <f>IF(Scénario!$K$93&gt;1,Protection!I40+I42,0)</f>
        <v>0</v>
      </c>
      <c r="J186" s="168">
        <f>IF(Scénario!$K$93&gt;1,Protection!J40+J42,0)</f>
        <v>0</v>
      </c>
      <c r="K186" s="168">
        <f>IF(Scénario!$K$93&gt;1,Protection!K40+K42,0)</f>
        <v>0</v>
      </c>
      <c r="L186" s="168">
        <f>IF(Scénario!$K$93&gt;1,Protection!L40+L42,0)</f>
        <v>0</v>
      </c>
      <c r="M186" s="168">
        <f>IF(Scénario!$K$93&gt;1,Protection!M40+M42,0)</f>
        <v>0</v>
      </c>
      <c r="N186" s="168">
        <f>IF(Scénario!$K$93&gt;1,Protection!N40+N42,0)</f>
        <v>0</v>
      </c>
      <c r="O186" s="168">
        <f>IF(Scénario!$K$93&gt;1,Protection!O40+O42,0)</f>
        <v>0</v>
      </c>
      <c r="P186" s="168">
        <f>IF(Scénario!$K$93&gt;1,Protection!P40+P42,0)</f>
        <v>0</v>
      </c>
      <c r="Q186" s="168">
        <f>IF(Scénario!$K$93&gt;1,Protection!Q40+Q42,0)</f>
        <v>0</v>
      </c>
      <c r="R186" s="168">
        <f>IF(Scénario!$K$93&gt;1,Protection!R40+R42,0)</f>
        <v>0</v>
      </c>
      <c r="S186" s="168">
        <f>IF(Scénario!$K$93&gt;1,Protection!S40+S42,0)</f>
        <v>0</v>
      </c>
      <c r="T186" s="168">
        <f>IF(Scénario!$K$93&gt;1,Protection!T40+T42,0)</f>
        <v>0</v>
      </c>
      <c r="U186" s="168">
        <f>IF(Scénario!$K$93&gt;1,Protection!U40+U42,0)</f>
        <v>0</v>
      </c>
      <c r="V186" s="168">
        <f>IF(Scénario!$K$93&gt;1,Protection!V40+V42,0)</f>
        <v>0</v>
      </c>
      <c r="W186" s="168">
        <f>IF(Scénario!$K$93&gt;1,Protection!W40+W42,0)</f>
        <v>0</v>
      </c>
      <c r="X186" s="168">
        <f>IF(Scénario!$K$93&gt;1,Protection!X40+X42,0)</f>
        <v>0</v>
      </c>
      <c r="Y186" s="168">
        <f>IF(Scénario!$K$93&gt;1,Protection!Y40+Y42,0)</f>
        <v>0</v>
      </c>
      <c r="Z186" s="168">
        <f>IF(Scénario!$K$93&gt;1,Protection!Z40+Z42,0)</f>
        <v>0</v>
      </c>
    </row>
    <row r="187" spans="1:26" x14ac:dyDescent="0.25">
      <c r="A187" t="s">
        <v>1398</v>
      </c>
      <c r="C187" s="168">
        <f>IF(Scénario!$K$91&gt;0,C60,0)</f>
        <v>0</v>
      </c>
      <c r="D187" s="168">
        <f>IF(Scénario!$K$91&gt;0,D60,0)</f>
        <v>0</v>
      </c>
      <c r="E187" s="168">
        <f>IF(Scénario!$K$91&gt;0,E60,0)</f>
        <v>0</v>
      </c>
      <c r="F187" s="168">
        <f>IF(Scénario!$K$91&gt;0,F60,0)</f>
        <v>0</v>
      </c>
      <c r="G187" s="168">
        <f>IF(Scénario!$K$91&gt;0,G60,0)</f>
        <v>0</v>
      </c>
      <c r="H187" s="168">
        <f>IF(Scénario!$K$91&gt;0,H60,0)</f>
        <v>0</v>
      </c>
      <c r="I187" s="168">
        <f>IF(Scénario!$K$91&gt;0,I60,0)</f>
        <v>0</v>
      </c>
      <c r="J187" s="168">
        <f>IF(Scénario!$K$91&gt;0,J60,0)</f>
        <v>0</v>
      </c>
      <c r="K187" s="168">
        <f>IF(Scénario!$K$91&gt;0,K60,0)</f>
        <v>0</v>
      </c>
      <c r="L187" s="168">
        <f>IF(Scénario!$K$91&gt;0,L60,0)</f>
        <v>0</v>
      </c>
      <c r="M187" s="168">
        <f>IF(Scénario!$K$91&gt;0,M60,0)</f>
        <v>0</v>
      </c>
      <c r="N187" s="168">
        <f>IF(Scénario!$K$91&gt;0,N60,0)</f>
        <v>0</v>
      </c>
      <c r="O187" s="168">
        <f>IF(Scénario!$K$91&gt;0,O60,0)</f>
        <v>0</v>
      </c>
      <c r="P187" s="168">
        <f>IF(Scénario!$K$91&gt;0,P60,0)</f>
        <v>0</v>
      </c>
      <c r="Q187" s="168">
        <f>IF(Scénario!$K$91&gt;0,Q60,0)</f>
        <v>0</v>
      </c>
      <c r="R187" s="168">
        <f>IF(Scénario!$K$91&gt;0,R60,0)</f>
        <v>0</v>
      </c>
      <c r="S187" s="168">
        <f>IF(Scénario!$K$91&gt;0,S60,0)</f>
        <v>0</v>
      </c>
      <c r="T187" s="168">
        <f>IF(Scénario!$K$91&gt;0,T60,0)</f>
        <v>0</v>
      </c>
      <c r="U187" s="168">
        <f>IF(Scénario!$K$91&gt;0,U60,0)</f>
        <v>0</v>
      </c>
      <c r="V187" s="168">
        <f>IF(Scénario!$K$91&gt;0,V60,0)</f>
        <v>0</v>
      </c>
      <c r="W187" s="168">
        <f>IF(Scénario!$K$91&gt;0,W60,0)</f>
        <v>0</v>
      </c>
      <c r="X187" s="168">
        <f>IF(Scénario!$K$91&gt;0,X60,0)</f>
        <v>0</v>
      </c>
      <c r="Y187" s="168">
        <f>IF(Scénario!$K$91&gt;0,Y60,0)</f>
        <v>0</v>
      </c>
      <c r="Z187" s="168">
        <f>IF(Scénario!$K$91&gt;0,Z60,0)</f>
        <v>0</v>
      </c>
    </row>
    <row r="188" spans="1:26" x14ac:dyDescent="0.25">
      <c r="A188" t="s">
        <v>1399</v>
      </c>
      <c r="C188" s="168">
        <f>IF(Scénario!$K$93&gt;1,Protection!C61+C63,0)</f>
        <v>0</v>
      </c>
      <c r="D188" s="168">
        <f>IF(Scénario!$K$93&gt;1,Protection!D61+D63,0)</f>
        <v>0</v>
      </c>
      <c r="E188" s="168">
        <f>IF(Scénario!$K$93&gt;1,Protection!E61+E63,0)</f>
        <v>0</v>
      </c>
      <c r="F188" s="168">
        <f>IF(Scénario!$K$93&gt;1,Protection!F61+F63,0)</f>
        <v>0</v>
      </c>
      <c r="G188" s="168">
        <f>IF(Scénario!$K$93&gt;1,Protection!G61+G63,0)</f>
        <v>0</v>
      </c>
      <c r="H188" s="168">
        <f>IF(Scénario!$K$93&gt;1,Protection!H61+H63,0)</f>
        <v>0</v>
      </c>
      <c r="I188" s="168">
        <f>IF(Scénario!$K$93&gt;1,Protection!I61+I63,0)</f>
        <v>0</v>
      </c>
      <c r="J188" s="168">
        <f>IF(Scénario!$K$93&gt;1,Protection!J61+J63,0)</f>
        <v>0</v>
      </c>
      <c r="K188" s="168">
        <f>IF(Scénario!$K$93&gt;1,Protection!K61+K63,0)</f>
        <v>0</v>
      </c>
      <c r="L188" s="168">
        <f>IF(Scénario!$K$93&gt;1,Protection!L61+L63,0)</f>
        <v>0</v>
      </c>
      <c r="M188" s="168">
        <f>IF(Scénario!$K$93&gt;1,Protection!M61+M63,0)</f>
        <v>0</v>
      </c>
      <c r="N188" s="168">
        <f>IF(Scénario!$K$93&gt;1,Protection!N61+N63,0)</f>
        <v>0</v>
      </c>
      <c r="O188" s="168">
        <f>IF(Scénario!$K$93&gt;1,Protection!O61+O63,0)</f>
        <v>0</v>
      </c>
      <c r="P188" s="168">
        <f>IF(Scénario!$K$93&gt;1,Protection!P61+P63,0)</f>
        <v>0</v>
      </c>
      <c r="Q188" s="168">
        <f>IF(Scénario!$K$93&gt;1,Protection!Q61+Q63,0)</f>
        <v>0</v>
      </c>
      <c r="R188" s="168">
        <f>IF(Scénario!$K$93&gt;1,Protection!R61+R63,0)</f>
        <v>0</v>
      </c>
      <c r="S188" s="168">
        <f>IF(Scénario!$K$93&gt;1,Protection!S61+S63,0)</f>
        <v>0</v>
      </c>
      <c r="T188" s="168">
        <f>IF(Scénario!$K$93&gt;1,Protection!T61+T63,0)</f>
        <v>0</v>
      </c>
      <c r="U188" s="168">
        <f>IF(Scénario!$K$93&gt;1,Protection!U61+U63,0)</f>
        <v>0</v>
      </c>
      <c r="V188" s="168">
        <f>IF(Scénario!$K$93&gt;1,Protection!V61+V63,0)</f>
        <v>0</v>
      </c>
      <c r="W188" s="168">
        <f>IF(Scénario!$K$93&gt;1,Protection!W61+W63,0)</f>
        <v>0</v>
      </c>
      <c r="X188" s="168">
        <f>IF(Scénario!$K$93&gt;1,Protection!X61+X63,0)</f>
        <v>0</v>
      </c>
      <c r="Y188" s="168">
        <f>IF(Scénario!$K$93&gt;1,Protection!Y61+Y63,0)</f>
        <v>0</v>
      </c>
      <c r="Z188" s="168">
        <f>IF(Scénario!$K$93&gt;1,Protection!Z61+Z63,0)</f>
        <v>0</v>
      </c>
    </row>
    <row r="191" spans="1:26" x14ac:dyDescent="0.25">
      <c r="A191"/>
    </row>
    <row r="192" spans="1:26" x14ac:dyDescent="0.25">
      <c r="A192"/>
    </row>
    <row r="195" spans="1:26" x14ac:dyDescent="0.25">
      <c r="B195" s="14" t="s">
        <v>1400</v>
      </c>
      <c r="C195" s="168">
        <f>C180+C183+C185+C187</f>
        <v>0</v>
      </c>
      <c r="D195" s="168">
        <f t="shared" ref="D195:Z196" si="48">D180+D183+D185+D187</f>
        <v>0</v>
      </c>
      <c r="E195" s="168">
        <f t="shared" si="48"/>
        <v>0</v>
      </c>
      <c r="F195" s="168">
        <f t="shared" si="48"/>
        <v>0</v>
      </c>
      <c r="G195" s="168">
        <f t="shared" si="48"/>
        <v>0</v>
      </c>
      <c r="H195" s="168">
        <f t="shared" si="48"/>
        <v>0</v>
      </c>
      <c r="I195" s="168">
        <f t="shared" si="48"/>
        <v>0</v>
      </c>
      <c r="J195" s="168">
        <f t="shared" si="48"/>
        <v>0</v>
      </c>
      <c r="K195" s="168">
        <f t="shared" si="48"/>
        <v>0</v>
      </c>
      <c r="L195" s="168">
        <f t="shared" si="48"/>
        <v>0</v>
      </c>
      <c r="M195" s="168">
        <f t="shared" si="48"/>
        <v>0</v>
      </c>
      <c r="N195" s="168">
        <f t="shared" si="48"/>
        <v>0</v>
      </c>
      <c r="O195" s="168">
        <f t="shared" si="48"/>
        <v>0</v>
      </c>
      <c r="P195" s="168">
        <f t="shared" si="48"/>
        <v>0</v>
      </c>
      <c r="Q195" s="168">
        <f t="shared" si="48"/>
        <v>0</v>
      </c>
      <c r="R195" s="168">
        <f t="shared" si="48"/>
        <v>0</v>
      </c>
      <c r="S195" s="168">
        <f t="shared" si="48"/>
        <v>0</v>
      </c>
      <c r="T195" s="168">
        <f t="shared" si="48"/>
        <v>0</v>
      </c>
      <c r="U195" s="168">
        <f t="shared" si="48"/>
        <v>0</v>
      </c>
      <c r="V195" s="168">
        <f t="shared" si="48"/>
        <v>0</v>
      </c>
      <c r="W195" s="168">
        <f t="shared" si="48"/>
        <v>0</v>
      </c>
      <c r="X195" s="168">
        <f t="shared" si="48"/>
        <v>0</v>
      </c>
      <c r="Y195" s="168">
        <f t="shared" si="48"/>
        <v>0</v>
      </c>
      <c r="Z195" s="168">
        <f t="shared" si="48"/>
        <v>0</v>
      </c>
    </row>
    <row r="196" spans="1:26" x14ac:dyDescent="0.25">
      <c r="B196" s="14" t="s">
        <v>1401</v>
      </c>
      <c r="C196" s="168">
        <f>C181+C184+C186+C188</f>
        <v>0</v>
      </c>
      <c r="D196" s="168">
        <f t="shared" si="48"/>
        <v>0</v>
      </c>
      <c r="E196" s="168">
        <f t="shared" si="48"/>
        <v>0</v>
      </c>
      <c r="F196" s="168">
        <f t="shared" si="48"/>
        <v>0</v>
      </c>
      <c r="G196" s="168">
        <f t="shared" si="48"/>
        <v>0</v>
      </c>
      <c r="H196" s="168">
        <f t="shared" si="48"/>
        <v>0</v>
      </c>
      <c r="I196" s="168">
        <f t="shared" si="48"/>
        <v>0</v>
      </c>
      <c r="J196" s="168">
        <f t="shared" si="48"/>
        <v>0</v>
      </c>
      <c r="K196" s="168">
        <f t="shared" si="48"/>
        <v>0</v>
      </c>
      <c r="L196" s="168">
        <f t="shared" si="48"/>
        <v>0</v>
      </c>
      <c r="M196" s="168">
        <f t="shared" si="48"/>
        <v>0</v>
      </c>
      <c r="N196" s="168">
        <f t="shared" si="48"/>
        <v>0</v>
      </c>
      <c r="O196" s="168">
        <f t="shared" si="48"/>
        <v>0</v>
      </c>
      <c r="P196" s="168">
        <f t="shared" si="48"/>
        <v>0</v>
      </c>
      <c r="Q196" s="168">
        <f t="shared" si="48"/>
        <v>0</v>
      </c>
      <c r="R196" s="168">
        <f t="shared" si="48"/>
        <v>0</v>
      </c>
      <c r="S196" s="168">
        <f t="shared" si="48"/>
        <v>0</v>
      </c>
      <c r="T196" s="168">
        <f t="shared" si="48"/>
        <v>0</v>
      </c>
      <c r="U196" s="168">
        <f t="shared" si="48"/>
        <v>0</v>
      </c>
      <c r="V196" s="168">
        <f t="shared" si="48"/>
        <v>0</v>
      </c>
      <c r="W196" s="168">
        <f t="shared" si="48"/>
        <v>0</v>
      </c>
      <c r="X196" s="168">
        <f t="shared" si="48"/>
        <v>0</v>
      </c>
      <c r="Y196" s="168">
        <f t="shared" si="48"/>
        <v>0</v>
      </c>
      <c r="Z196" s="168">
        <f t="shared" si="48"/>
        <v>0</v>
      </c>
    </row>
    <row r="201" spans="1:26" x14ac:dyDescent="0.25">
      <c r="A201" t="s">
        <v>1402</v>
      </c>
      <c r="C201" s="168">
        <f>IF(Troupeau!$B$3="OL",C8+C9,0)</f>
        <v>0</v>
      </c>
      <c r="D201" s="168">
        <f>IF(Troupeau!$B$3="OL",D8+D9,0)</f>
        <v>0</v>
      </c>
      <c r="E201" s="168">
        <f>IF(Troupeau!$B$3="OL",E8+E9,0)</f>
        <v>0</v>
      </c>
      <c r="F201" s="168">
        <f>IF(Troupeau!$B$3="OL",F8+F9,0)</f>
        <v>0</v>
      </c>
      <c r="G201" s="168">
        <f>IF(Troupeau!$B$3="OL",G8+G9,0)</f>
        <v>0</v>
      </c>
      <c r="H201" s="168">
        <f>IF(Troupeau!$B$3="OL",H8+H9,0)</f>
        <v>0</v>
      </c>
      <c r="I201" s="168">
        <f>IF(Troupeau!$B$3="OL",I8+I9,0)</f>
        <v>0</v>
      </c>
      <c r="J201" s="168">
        <f>IF(Troupeau!$B$3="OL",J8+J9,0)</f>
        <v>0</v>
      </c>
      <c r="K201" s="168">
        <f>IF(Troupeau!$B$3="OL",K8+K9,0)</f>
        <v>0</v>
      </c>
      <c r="L201" s="168">
        <f>IF(Troupeau!$B$3="OL",L8+L9,0)</f>
        <v>0</v>
      </c>
      <c r="M201" s="168">
        <f>IF(Troupeau!$B$3="OL",M8+M9,0)</f>
        <v>0</v>
      </c>
      <c r="N201" s="168">
        <f>IF(Troupeau!$B$3="OL",N8+N9,0)</f>
        <v>0</v>
      </c>
      <c r="O201" s="168">
        <f>IF(Troupeau!$B$3="OL",O8+O9,0)</f>
        <v>0</v>
      </c>
      <c r="P201" s="168">
        <f>IF(Troupeau!$B$3="OL",P8+P9,0)</f>
        <v>0</v>
      </c>
      <c r="Q201" s="168">
        <f>IF(Troupeau!$B$3="OL",Q8+Q9,0)</f>
        <v>0</v>
      </c>
      <c r="R201" s="168">
        <f>IF(Troupeau!$B$3="OL",R8+R9,0)</f>
        <v>0</v>
      </c>
      <c r="S201" s="168">
        <f>IF(Troupeau!$B$3="OL",S8+S9,0)</f>
        <v>0</v>
      </c>
      <c r="T201" s="168">
        <f>IF(Troupeau!$B$3="OL",T8+T9,0)</f>
        <v>0</v>
      </c>
      <c r="U201" s="168">
        <f>IF(Troupeau!$B$3="OL",U8+U9,0)</f>
        <v>0</v>
      </c>
      <c r="V201" s="168">
        <f>IF(Troupeau!$B$3="OL",V8+V9,0)</f>
        <v>0</v>
      </c>
      <c r="W201" s="168">
        <f>IF(Troupeau!$B$3="OL",W8+W9,0)</f>
        <v>0</v>
      </c>
      <c r="X201" s="168">
        <f>IF(Troupeau!$B$3="OL",X8+X9,0)</f>
        <v>0</v>
      </c>
      <c r="Y201" s="168">
        <f>IF(Troupeau!$B$3="OL",Y8+Y9,0)</f>
        <v>0</v>
      </c>
      <c r="Z201" s="168">
        <f>IF(Troupeau!$B$3="OL",Z8+Z9,0)</f>
        <v>0</v>
      </c>
    </row>
    <row r="202" spans="1:26" x14ac:dyDescent="0.25">
      <c r="A202" t="s">
        <v>1403</v>
      </c>
      <c r="C202" s="168">
        <f>IF(Troupeau!$B$3="OL",C10+C12,0)</f>
        <v>0</v>
      </c>
      <c r="D202" s="168">
        <f>IF(Troupeau!$B$3="OL",D10+D12,0)</f>
        <v>0</v>
      </c>
      <c r="E202" s="168">
        <f>IF(Troupeau!$B$3="OL",E10+E12,0)</f>
        <v>0</v>
      </c>
      <c r="F202" s="168">
        <f>IF(Troupeau!$B$3="OL",F10+F12,0)</f>
        <v>0</v>
      </c>
      <c r="G202" s="168">
        <f>IF(Troupeau!$B$3="OL",G10+G12,0)</f>
        <v>0</v>
      </c>
      <c r="H202" s="168">
        <f>IF(Troupeau!$B$3="OL",H10+H12,0)</f>
        <v>0</v>
      </c>
      <c r="I202" s="168">
        <f>IF(Troupeau!$B$3="OL",I10+I12,0)</f>
        <v>0</v>
      </c>
      <c r="J202" s="168">
        <f>IF(Troupeau!$B$3="OL",J10+J12,0)</f>
        <v>0</v>
      </c>
      <c r="K202" s="168">
        <f>IF(Troupeau!$B$3="OL",K10+K12,0)</f>
        <v>0</v>
      </c>
      <c r="L202" s="168">
        <f>IF(Troupeau!$B$3="OL",L10+L12,0)</f>
        <v>0</v>
      </c>
      <c r="M202" s="168">
        <f>IF(Troupeau!$B$3="OL",M10+M12,0)</f>
        <v>0</v>
      </c>
      <c r="N202" s="168">
        <f>IF(Troupeau!$B$3="OL",N10+N12,0)</f>
        <v>0</v>
      </c>
      <c r="O202" s="168">
        <f>IF(Troupeau!$B$3="OL",O10+O12,0)</f>
        <v>0</v>
      </c>
      <c r="P202" s="168">
        <f>IF(Troupeau!$B$3="OL",P10+P12,0)</f>
        <v>0</v>
      </c>
      <c r="Q202" s="168">
        <f>IF(Troupeau!$B$3="OL",Q10+Q12,0)</f>
        <v>0</v>
      </c>
      <c r="R202" s="168">
        <f>IF(Troupeau!$B$3="OL",R10+R12,0)</f>
        <v>0</v>
      </c>
      <c r="S202" s="168">
        <f>IF(Troupeau!$B$3="OL",S10+S12,0)</f>
        <v>0</v>
      </c>
      <c r="T202" s="168">
        <f>IF(Troupeau!$B$3="OL",T10+T12,0)</f>
        <v>0</v>
      </c>
      <c r="U202" s="168">
        <f>IF(Troupeau!$B$3="OL",U10+U12,0)</f>
        <v>0</v>
      </c>
      <c r="V202" s="168">
        <f>IF(Troupeau!$B$3="OL",V10+V12,0)</f>
        <v>0</v>
      </c>
      <c r="W202" s="168">
        <f>IF(Troupeau!$B$3="OL",W10+W12,0)</f>
        <v>0</v>
      </c>
      <c r="X202" s="168">
        <f>IF(Troupeau!$B$3="OL",X10+X12,0)</f>
        <v>0</v>
      </c>
      <c r="Y202" s="168">
        <f>IF(Troupeau!$B$3="OL",Y10+Y12,0)</f>
        <v>0</v>
      </c>
      <c r="Z202" s="168">
        <f>IF(Troupeau!$B$3="OL",Z10+Z12,0)</f>
        <v>0</v>
      </c>
    </row>
    <row r="203" spans="1:26" x14ac:dyDescent="0.25">
      <c r="A203" t="s">
        <v>1422</v>
      </c>
      <c r="C203" s="168">
        <f>SUM(C201:C202)</f>
        <v>0</v>
      </c>
      <c r="D203" s="168">
        <f t="shared" ref="D203:Z203" si="49">SUM(D201:D202)</f>
        <v>0</v>
      </c>
      <c r="E203" s="168">
        <f t="shared" si="49"/>
        <v>0</v>
      </c>
      <c r="F203" s="168">
        <f t="shared" si="49"/>
        <v>0</v>
      </c>
      <c r="G203" s="168">
        <f t="shared" si="49"/>
        <v>0</v>
      </c>
      <c r="H203" s="168">
        <f t="shared" si="49"/>
        <v>0</v>
      </c>
      <c r="I203" s="168">
        <f t="shared" si="49"/>
        <v>0</v>
      </c>
      <c r="J203" s="168">
        <f t="shared" si="49"/>
        <v>0</v>
      </c>
      <c r="K203" s="168">
        <f t="shared" si="49"/>
        <v>0</v>
      </c>
      <c r="L203" s="168">
        <f t="shared" si="49"/>
        <v>0</v>
      </c>
      <c r="M203" s="168">
        <f t="shared" si="49"/>
        <v>0</v>
      </c>
      <c r="N203" s="168">
        <f t="shared" si="49"/>
        <v>0</v>
      </c>
      <c r="O203" s="168">
        <f t="shared" si="49"/>
        <v>0</v>
      </c>
      <c r="P203" s="168">
        <f t="shared" si="49"/>
        <v>0</v>
      </c>
      <c r="Q203" s="168">
        <f t="shared" si="49"/>
        <v>0</v>
      </c>
      <c r="R203" s="168">
        <f t="shared" si="49"/>
        <v>0</v>
      </c>
      <c r="S203" s="168">
        <f t="shared" si="49"/>
        <v>0</v>
      </c>
      <c r="T203" s="168">
        <f t="shared" si="49"/>
        <v>0</v>
      </c>
      <c r="U203" s="168">
        <f t="shared" si="49"/>
        <v>0</v>
      </c>
      <c r="V203" s="168">
        <f t="shared" si="49"/>
        <v>0</v>
      </c>
      <c r="W203" s="168">
        <f t="shared" si="49"/>
        <v>0</v>
      </c>
      <c r="X203" s="168">
        <f t="shared" si="49"/>
        <v>0</v>
      </c>
      <c r="Y203" s="168">
        <f t="shared" si="49"/>
        <v>0</v>
      </c>
      <c r="Z203" s="168">
        <f t="shared" si="49"/>
        <v>0</v>
      </c>
    </row>
    <row r="204" spans="1:26" x14ac:dyDescent="0.25">
      <c r="A204" t="s">
        <v>1404</v>
      </c>
      <c r="C204" s="168">
        <f>IF(AND(OR(Troupeau!$B$3="BV",Troupeau!$B$3="BL"),Scénario!$K$91&gt;0),C8+C9,0)</f>
        <v>0</v>
      </c>
      <c r="D204" s="168">
        <f>IF(AND(OR(Troupeau!$B$3="BV",Troupeau!$B$3="BL"),Scénario!$K$91&gt;0),D8+D9,0)</f>
        <v>0</v>
      </c>
      <c r="E204" s="168">
        <f>IF(AND(OR(Troupeau!$B$3="BV",Troupeau!$B$3="BL"),Scénario!$K$91&gt;0),E8+E9,0)</f>
        <v>0</v>
      </c>
      <c r="F204" s="168">
        <f>IF(AND(OR(Troupeau!$B$3="BV",Troupeau!$B$3="BL"),Scénario!$K$91&gt;0),F8+F9,0)</f>
        <v>0</v>
      </c>
      <c r="G204" s="168">
        <f>IF(AND(OR(Troupeau!$B$3="BV",Troupeau!$B$3="BL"),Scénario!$K$91&gt;0),G8+G9,0)</f>
        <v>0</v>
      </c>
      <c r="H204" s="168">
        <f>IF(AND(OR(Troupeau!$B$3="BV",Troupeau!$B$3="BL"),Scénario!$K$91&gt;0),H8+H9,0)</f>
        <v>0</v>
      </c>
      <c r="I204" s="168">
        <f>IF(AND(OR(Troupeau!$B$3="BV",Troupeau!$B$3="BL"),Scénario!$K$91&gt;0),I8+I9,0)</f>
        <v>0</v>
      </c>
      <c r="J204" s="168">
        <f>IF(AND(OR(Troupeau!$B$3="BV",Troupeau!$B$3="BL"),Scénario!$K$91&gt;0),J8+J9,0)</f>
        <v>0</v>
      </c>
      <c r="K204" s="168">
        <f>IF(AND(OR(Troupeau!$B$3="BV",Troupeau!$B$3="BL"),Scénario!$K$91&gt;0),K8+K9,0)</f>
        <v>0</v>
      </c>
      <c r="L204" s="168">
        <f>IF(AND(OR(Troupeau!$B$3="BV",Troupeau!$B$3="BL"),Scénario!$K$91&gt;0),L8+L9,0)</f>
        <v>0</v>
      </c>
      <c r="M204" s="168">
        <f>IF(AND(OR(Troupeau!$B$3="BV",Troupeau!$B$3="BL"),Scénario!$K$91&gt;0),M8+M9,0)</f>
        <v>0</v>
      </c>
      <c r="N204" s="168">
        <f>IF(AND(OR(Troupeau!$B$3="BV",Troupeau!$B$3="BL"),Scénario!$K$91&gt;0),N8+N9,0)</f>
        <v>0</v>
      </c>
      <c r="O204" s="168">
        <f>IF(AND(OR(Troupeau!$B$3="BV",Troupeau!$B$3="BL"),Scénario!$K$91&gt;0),O8+O9,0)</f>
        <v>0</v>
      </c>
      <c r="P204" s="168">
        <f>IF(AND(OR(Troupeau!$B$3="BV",Troupeau!$B$3="BL"),Scénario!$K$91&gt;0),P8+P9,0)</f>
        <v>0</v>
      </c>
      <c r="Q204" s="168">
        <f>IF(AND(OR(Troupeau!$B$3="BV",Troupeau!$B$3="BL"),Scénario!$K$91&gt;0),Q8+Q9,0)</f>
        <v>0</v>
      </c>
      <c r="R204" s="168">
        <f>IF(AND(OR(Troupeau!$B$3="BV",Troupeau!$B$3="BL"),Scénario!$K$91&gt;0),R8+R9,0)</f>
        <v>0</v>
      </c>
      <c r="S204" s="168">
        <f>IF(AND(OR(Troupeau!$B$3="BV",Troupeau!$B$3="BL"),Scénario!$K$91&gt;0),S8+S9,0)</f>
        <v>0</v>
      </c>
      <c r="T204" s="168">
        <f>IF(AND(OR(Troupeau!$B$3="BV",Troupeau!$B$3="BL"),Scénario!$K$91&gt;0),T8+T9,0)</f>
        <v>0</v>
      </c>
      <c r="U204" s="168">
        <f>IF(AND(OR(Troupeau!$B$3="BV",Troupeau!$B$3="BL"),Scénario!$K$91&gt;0),U8+U9,0)</f>
        <v>0</v>
      </c>
      <c r="V204" s="168">
        <f>IF(AND(OR(Troupeau!$B$3="BV",Troupeau!$B$3="BL"),Scénario!$K$91&gt;0),V8+V9,0)</f>
        <v>0</v>
      </c>
      <c r="W204" s="168">
        <f>IF(AND(OR(Troupeau!$B$3="BV",Troupeau!$B$3="BL"),Scénario!$K$91&gt;0),W8+W9,0)</f>
        <v>0</v>
      </c>
      <c r="X204" s="168">
        <f>IF(AND(OR(Troupeau!$B$3="BV",Troupeau!$B$3="BL"),Scénario!$K$91&gt;0),X8+X9,0)</f>
        <v>0</v>
      </c>
      <c r="Y204" s="168">
        <f>IF(AND(OR(Troupeau!$B$3="BV",Troupeau!$B$3="BL"),Scénario!$K$91&gt;0),Y8+Y9,0)</f>
        <v>0</v>
      </c>
      <c r="Z204" s="168">
        <f>IF(AND(OR(Troupeau!$B$3="BV",Troupeau!$B$3="BL"),Scénario!$K$91&gt;0),Z8+Z9,0)</f>
        <v>0</v>
      </c>
    </row>
    <row r="205" spans="1:26" x14ac:dyDescent="0.25">
      <c r="A205" t="s">
        <v>1405</v>
      </c>
      <c r="C205" s="168">
        <f>IF(AND(OR(Troupeau!$B$3="BV",Troupeau!$B$3="BL"),Scénario!$K$93&gt;1),C10+C12,0)</f>
        <v>0</v>
      </c>
      <c r="D205" s="168">
        <f>IF(AND(OR(Troupeau!$B$3="BV",Troupeau!$B$3="BL"),Scénario!$K$93&gt;1),D10+D12,0)</f>
        <v>0</v>
      </c>
      <c r="E205" s="168">
        <f>IF(AND(OR(Troupeau!$B$3="BV",Troupeau!$B$3="BL"),Scénario!$K$93&gt;1),E10+E12,0)</f>
        <v>0</v>
      </c>
      <c r="F205" s="168">
        <f>IF(AND(OR(Troupeau!$B$3="BV",Troupeau!$B$3="BL"),Scénario!$K$93&gt;1),F10+F12,0)</f>
        <v>0</v>
      </c>
      <c r="G205" s="168">
        <f>IF(AND(OR(Troupeau!$B$3="BV",Troupeau!$B$3="BL"),Scénario!$K$93&gt;1),G10+G12,0)</f>
        <v>0</v>
      </c>
      <c r="H205" s="168">
        <f>IF(AND(OR(Troupeau!$B$3="BV",Troupeau!$B$3="BL"),Scénario!$K$93&gt;1),H10+H12,0)</f>
        <v>0</v>
      </c>
      <c r="I205" s="168">
        <f>IF(AND(OR(Troupeau!$B$3="BV",Troupeau!$B$3="BL"),Scénario!$K$93&gt;1),I10+I12,0)</f>
        <v>0</v>
      </c>
      <c r="J205" s="168">
        <f>IF(AND(OR(Troupeau!$B$3="BV",Troupeau!$B$3="BL"),Scénario!$K$93&gt;1),J10+J12,0)</f>
        <v>0</v>
      </c>
      <c r="K205" s="168">
        <f>IF(AND(OR(Troupeau!$B$3="BV",Troupeau!$B$3="BL"),Scénario!$K$93&gt;1),K10+K12,0)</f>
        <v>0</v>
      </c>
      <c r="L205" s="168">
        <f>IF(AND(OR(Troupeau!$B$3="BV",Troupeau!$B$3="BL"),Scénario!$K$93&gt;1),L10+L12,0)</f>
        <v>0</v>
      </c>
      <c r="M205" s="168">
        <f>IF(AND(OR(Troupeau!$B$3="BV",Troupeau!$B$3="BL"),Scénario!$K$93&gt;1),M10+M12,0)</f>
        <v>0</v>
      </c>
      <c r="N205" s="168">
        <f>IF(AND(OR(Troupeau!$B$3="BV",Troupeau!$B$3="BL"),Scénario!$K$93&gt;1),N10+N12,0)</f>
        <v>0</v>
      </c>
      <c r="O205" s="168">
        <f>IF(AND(OR(Troupeau!$B$3="BV",Troupeau!$B$3="BL"),Scénario!$K$93&gt;1),O10+O12,0)</f>
        <v>0</v>
      </c>
      <c r="P205" s="168">
        <f>IF(AND(OR(Troupeau!$B$3="BV",Troupeau!$B$3="BL"),Scénario!$K$93&gt;1),P10+P12,0)</f>
        <v>0</v>
      </c>
      <c r="Q205" s="168">
        <f>IF(AND(OR(Troupeau!$B$3="BV",Troupeau!$B$3="BL"),Scénario!$K$93&gt;1),Q10+Q12,0)</f>
        <v>0</v>
      </c>
      <c r="R205" s="168">
        <f>IF(AND(OR(Troupeau!$B$3="BV",Troupeau!$B$3="BL"),Scénario!$K$93&gt;1),R10+R12,0)</f>
        <v>0</v>
      </c>
      <c r="S205" s="168">
        <f>IF(AND(OR(Troupeau!$B$3="BV",Troupeau!$B$3="BL"),Scénario!$K$93&gt;1),S10+S12,0)</f>
        <v>0</v>
      </c>
      <c r="T205" s="168">
        <f>IF(AND(OR(Troupeau!$B$3="BV",Troupeau!$B$3="BL"),Scénario!$K$93&gt;1),T10+T12,0)</f>
        <v>0</v>
      </c>
      <c r="U205" s="168">
        <f>IF(AND(OR(Troupeau!$B$3="BV",Troupeau!$B$3="BL"),Scénario!$K$93&gt;1),U10+U12,0)</f>
        <v>0</v>
      </c>
      <c r="V205" s="168">
        <f>IF(AND(OR(Troupeau!$B$3="BV",Troupeau!$B$3="BL"),Scénario!$K$93&gt;1),V10+V12,0)</f>
        <v>0</v>
      </c>
      <c r="W205" s="168">
        <f>IF(AND(OR(Troupeau!$B$3="BV",Troupeau!$B$3="BL"),Scénario!$K$93&gt;1),W10+W12,0)</f>
        <v>0</v>
      </c>
      <c r="X205" s="168">
        <f>IF(AND(OR(Troupeau!$B$3="BV",Troupeau!$B$3="BL"),Scénario!$K$93&gt;1),X10+X12,0)</f>
        <v>0</v>
      </c>
      <c r="Y205" s="168">
        <f>IF(AND(OR(Troupeau!$B$3="BV",Troupeau!$B$3="BL"),Scénario!$K$93&gt;1),Y10+Y12,0)</f>
        <v>0</v>
      </c>
      <c r="Z205" s="168">
        <f>IF(AND(OR(Troupeau!$B$3="BV",Troupeau!$B$3="BL"),Scénario!$K$93&gt;1),Z10+Z12,0)</f>
        <v>0</v>
      </c>
    </row>
    <row r="206" spans="1:26" x14ac:dyDescent="0.25">
      <c r="A206" t="s">
        <v>1406</v>
      </c>
      <c r="C206" s="168">
        <f>IF(Scénario!$K$91&gt;0,C30+C29,0)</f>
        <v>0</v>
      </c>
      <c r="D206" s="168">
        <f>IF(Scénario!$K$91&gt;0,D30+D29,0)</f>
        <v>0</v>
      </c>
      <c r="E206" s="168">
        <f>IF(Scénario!$K$91&gt;0,E30+E29,0)</f>
        <v>0</v>
      </c>
      <c r="F206" s="168">
        <f>IF(Scénario!$K$91&gt;0,F30+F29,0)</f>
        <v>0</v>
      </c>
      <c r="G206" s="168">
        <f>IF(Scénario!$K$91&gt;0,G30+G29,0)</f>
        <v>0</v>
      </c>
      <c r="H206" s="168">
        <f>IF(Scénario!$K$91&gt;0,H30+H29,0)</f>
        <v>0</v>
      </c>
      <c r="I206" s="168">
        <f>IF(Scénario!$K$91&gt;0,I30+I29,0)</f>
        <v>0</v>
      </c>
      <c r="J206" s="168">
        <f>IF(Scénario!$K$91&gt;0,J30+J29,0)</f>
        <v>0</v>
      </c>
      <c r="K206" s="168">
        <f>IF(Scénario!$K$91&gt;0,K30+K29,0)</f>
        <v>0</v>
      </c>
      <c r="L206" s="168">
        <f>IF(Scénario!$K$91&gt;0,L30+L29,0)</f>
        <v>0</v>
      </c>
      <c r="M206" s="168">
        <f>IF(Scénario!$K$91&gt;0,M30+M29,0)</f>
        <v>0</v>
      </c>
      <c r="N206" s="168">
        <f>IF(Scénario!$K$91&gt;0,N30+N29,0)</f>
        <v>0</v>
      </c>
      <c r="O206" s="168">
        <f>IF(Scénario!$K$91&gt;0,O30+O29,0)</f>
        <v>0</v>
      </c>
      <c r="P206" s="168">
        <f>IF(Scénario!$K$91&gt;0,P30+P29,0)</f>
        <v>0</v>
      </c>
      <c r="Q206" s="168">
        <f>IF(Scénario!$K$91&gt;0,Q30+Q29,0)</f>
        <v>0</v>
      </c>
      <c r="R206" s="168">
        <f>IF(Scénario!$K$91&gt;0,R30+R29,0)</f>
        <v>0</v>
      </c>
      <c r="S206" s="168">
        <f>IF(Scénario!$K$91&gt;0,S30+S29,0)</f>
        <v>0</v>
      </c>
      <c r="T206" s="168">
        <f>IF(Scénario!$K$91&gt;0,T30+T29,0)</f>
        <v>0</v>
      </c>
      <c r="U206" s="168">
        <f>IF(Scénario!$K$91&gt;0,U30+U29,0)</f>
        <v>0</v>
      </c>
      <c r="V206" s="168">
        <f>IF(Scénario!$K$91&gt;0,V30+V29,0)</f>
        <v>0</v>
      </c>
      <c r="W206" s="168">
        <f>IF(Scénario!$K$91&gt;0,W30+W29,0)</f>
        <v>0</v>
      </c>
      <c r="X206" s="168">
        <f>IF(Scénario!$K$91&gt;0,X30+X29,0)</f>
        <v>0</v>
      </c>
      <c r="Y206" s="168">
        <f>IF(Scénario!$K$91&gt;0,Y30+Y29,0)</f>
        <v>0</v>
      </c>
      <c r="Z206" s="168">
        <f>IF(Scénario!$K$91&gt;0,Z30+Z29,0)</f>
        <v>0</v>
      </c>
    </row>
    <row r="207" spans="1:26" x14ac:dyDescent="0.25">
      <c r="A207" t="s">
        <v>1407</v>
      </c>
      <c r="C207" s="168">
        <f>IF(Scénario!$K$93&gt;1,Protection!C31+C33,0)</f>
        <v>0</v>
      </c>
      <c r="D207" s="168">
        <f>IF(Scénario!$K$93&gt;1,Protection!D31+D33,0)</f>
        <v>0</v>
      </c>
      <c r="E207" s="168">
        <f>IF(Scénario!$K$93&gt;1,Protection!E31+E33,0)</f>
        <v>0</v>
      </c>
      <c r="F207" s="168">
        <f>IF(Scénario!$K$93&gt;1,Protection!F31+F33,0)</f>
        <v>0</v>
      </c>
      <c r="G207" s="168">
        <f>IF(Scénario!$K$93&gt;1,Protection!G31+G33,0)</f>
        <v>0</v>
      </c>
      <c r="H207" s="168">
        <f>IF(Scénario!$K$93&gt;1,Protection!H31+H33,0)</f>
        <v>0</v>
      </c>
      <c r="I207" s="168">
        <f>IF(Scénario!$K$93&gt;1,Protection!I31+I33,0)</f>
        <v>0</v>
      </c>
      <c r="J207" s="168">
        <f>IF(Scénario!$K$93&gt;1,Protection!J31+J33,0)</f>
        <v>0</v>
      </c>
      <c r="K207" s="168">
        <f>IF(Scénario!$K$93&gt;1,Protection!K31+K33,0)</f>
        <v>0</v>
      </c>
      <c r="L207" s="168">
        <f>IF(Scénario!$K$93&gt;1,Protection!L31+L33,0)</f>
        <v>0</v>
      </c>
      <c r="M207" s="168">
        <f>IF(Scénario!$K$93&gt;1,Protection!M31+M33,0)</f>
        <v>0</v>
      </c>
      <c r="N207" s="168">
        <f>IF(Scénario!$K$93&gt;1,Protection!N31+N33,0)</f>
        <v>0</v>
      </c>
      <c r="O207" s="168">
        <f>IF(Scénario!$K$93&gt;1,Protection!O31+O33,0)</f>
        <v>0</v>
      </c>
      <c r="P207" s="168">
        <f>IF(Scénario!$K$93&gt;1,Protection!P31+P33,0)</f>
        <v>0</v>
      </c>
      <c r="Q207" s="168">
        <f>IF(Scénario!$K$93&gt;1,Protection!Q31+Q33,0)</f>
        <v>0</v>
      </c>
      <c r="R207" s="168">
        <f>IF(Scénario!$K$93&gt;1,Protection!R31+R33,0)</f>
        <v>0</v>
      </c>
      <c r="S207" s="168">
        <f>IF(Scénario!$K$93&gt;1,Protection!S31+S33,0)</f>
        <v>0</v>
      </c>
      <c r="T207" s="168">
        <f>IF(Scénario!$K$93&gt;1,Protection!T31+T33,0)</f>
        <v>0</v>
      </c>
      <c r="U207" s="168">
        <f>IF(Scénario!$K$93&gt;1,Protection!U31+U33,0)</f>
        <v>0</v>
      </c>
      <c r="V207" s="168">
        <f>IF(Scénario!$K$93&gt;1,Protection!V31+V33,0)</f>
        <v>0</v>
      </c>
      <c r="W207" s="168">
        <f>IF(Scénario!$K$93&gt;1,Protection!W31+W33,0)</f>
        <v>0</v>
      </c>
      <c r="X207" s="168">
        <f>IF(Scénario!$K$93&gt;1,Protection!X31+X33,0)</f>
        <v>0</v>
      </c>
      <c r="Y207" s="168">
        <f>IF(Scénario!$K$93&gt;1,Protection!Y31+Y33,0)</f>
        <v>0</v>
      </c>
      <c r="Z207" s="168">
        <f>IF(Scénario!$K$93&gt;1,Protection!Z31+Z33,0)</f>
        <v>0</v>
      </c>
    </row>
    <row r="208" spans="1:26" x14ac:dyDescent="0.25">
      <c r="A208" t="s">
        <v>1408</v>
      </c>
      <c r="C208" s="168">
        <f>IF(Scénario!$K$91&gt;0,C50+C51,0)</f>
        <v>0</v>
      </c>
      <c r="D208" s="168">
        <f>IF(Scénario!$K$91&gt;0,D50+D51,0)</f>
        <v>0</v>
      </c>
      <c r="E208" s="168">
        <f>IF(Scénario!$K$91&gt;0,E50+E51,0)</f>
        <v>0</v>
      </c>
      <c r="F208" s="168">
        <f>IF(Scénario!$K$91&gt;0,F50+F51,0)</f>
        <v>0</v>
      </c>
      <c r="G208" s="168">
        <f>IF(Scénario!$K$91&gt;0,G50+G51,0)</f>
        <v>0</v>
      </c>
      <c r="H208" s="168">
        <f>IF(Scénario!$K$91&gt;0,H50+H51,0)</f>
        <v>0</v>
      </c>
      <c r="I208" s="168">
        <f>IF(Scénario!$K$91&gt;0,I50+I51,0)</f>
        <v>0</v>
      </c>
      <c r="J208" s="168">
        <f>IF(Scénario!$K$91&gt;0,J50+J51,0)</f>
        <v>0</v>
      </c>
      <c r="K208" s="168">
        <f>IF(Scénario!$K$91&gt;0,K50+K51,0)</f>
        <v>0</v>
      </c>
      <c r="L208" s="168">
        <f>IF(Scénario!$K$91&gt;0,L50+L51,0)</f>
        <v>0</v>
      </c>
      <c r="M208" s="168">
        <f>IF(Scénario!$K$91&gt;0,M50+M51,0)</f>
        <v>0</v>
      </c>
      <c r="N208" s="168">
        <f>IF(Scénario!$K$91&gt;0,N50+N51,0)</f>
        <v>0</v>
      </c>
      <c r="O208" s="168">
        <f>IF(Scénario!$K$91&gt;0,O50+O51,0)</f>
        <v>0</v>
      </c>
      <c r="P208" s="168">
        <f>IF(Scénario!$K$91&gt;0,P50+P51,0)</f>
        <v>0</v>
      </c>
      <c r="Q208" s="168">
        <f>IF(Scénario!$K$91&gt;0,Q50+Q51,0)</f>
        <v>0</v>
      </c>
      <c r="R208" s="168">
        <f>IF(Scénario!$K$91&gt;0,R50+R51,0)</f>
        <v>0</v>
      </c>
      <c r="S208" s="168">
        <f>IF(Scénario!$K$91&gt;0,S50+S51,0)</f>
        <v>0</v>
      </c>
      <c r="T208" s="168">
        <f>IF(Scénario!$K$91&gt;0,T50+T51,0)</f>
        <v>0</v>
      </c>
      <c r="U208" s="168">
        <f>IF(Scénario!$K$91&gt;0,U50+U51,0)</f>
        <v>0</v>
      </c>
      <c r="V208" s="168">
        <f>IF(Scénario!$K$91&gt;0,V50+V51,0)</f>
        <v>0</v>
      </c>
      <c r="W208" s="168">
        <f>IF(Scénario!$K$91&gt;0,W50+W51,0)</f>
        <v>0</v>
      </c>
      <c r="X208" s="168">
        <f>IF(Scénario!$K$91&gt;0,X50+X51,0)</f>
        <v>0</v>
      </c>
      <c r="Y208" s="168">
        <f>IF(Scénario!$K$91&gt;0,Y50+Y51,0)</f>
        <v>0</v>
      </c>
      <c r="Z208" s="168">
        <f>IF(Scénario!$K$91&gt;0,Z50+Z51,0)</f>
        <v>0</v>
      </c>
    </row>
    <row r="209" spans="1:26" x14ac:dyDescent="0.25">
      <c r="A209" t="s">
        <v>1409</v>
      </c>
      <c r="C209" s="168">
        <f>IF(Scénario!$K$93&gt;1,Protection!C52+C54,0)</f>
        <v>0</v>
      </c>
      <c r="D209" s="168">
        <f>IF(Scénario!$K$93&gt;1,Protection!D52+D54,0)</f>
        <v>0</v>
      </c>
      <c r="E209" s="168">
        <f>IF(Scénario!$K$93&gt;1,Protection!E52+E54,0)</f>
        <v>0</v>
      </c>
      <c r="F209" s="168">
        <f>IF(Scénario!$K$93&gt;1,Protection!F52+F54,0)</f>
        <v>0</v>
      </c>
      <c r="G209" s="168">
        <f>IF(Scénario!$K$93&gt;1,Protection!G52+G54,0)</f>
        <v>0</v>
      </c>
      <c r="H209" s="168">
        <f>IF(Scénario!$K$93&gt;1,Protection!H52+H54,0)</f>
        <v>0</v>
      </c>
      <c r="I209" s="168">
        <f>IF(Scénario!$K$93&gt;1,Protection!I52+I54,0)</f>
        <v>0</v>
      </c>
      <c r="J209" s="168">
        <f>IF(Scénario!$K$93&gt;1,Protection!J52+J54,0)</f>
        <v>0</v>
      </c>
      <c r="K209" s="168">
        <f>IF(Scénario!$K$93&gt;1,Protection!K52+K54,0)</f>
        <v>0</v>
      </c>
      <c r="L209" s="168">
        <f>IF(Scénario!$K$93&gt;1,Protection!L52+L54,0)</f>
        <v>0</v>
      </c>
      <c r="M209" s="168">
        <f>IF(Scénario!$K$93&gt;1,Protection!M52+M54,0)</f>
        <v>0</v>
      </c>
      <c r="N209" s="168">
        <f>IF(Scénario!$K$93&gt;1,Protection!N52+N54,0)</f>
        <v>0</v>
      </c>
      <c r="O209" s="168">
        <f>IF(Scénario!$K$93&gt;1,Protection!O52+O54,0)</f>
        <v>0</v>
      </c>
      <c r="P209" s="168">
        <f>IF(Scénario!$K$93&gt;1,Protection!P52+P54,0)</f>
        <v>0</v>
      </c>
      <c r="Q209" s="168">
        <f>IF(Scénario!$K$93&gt;1,Protection!Q52+Q54,0)</f>
        <v>0</v>
      </c>
      <c r="R209" s="168">
        <f>IF(Scénario!$K$93&gt;1,Protection!R52+R54,0)</f>
        <v>0</v>
      </c>
      <c r="S209" s="168">
        <f>IF(Scénario!$K$93&gt;1,Protection!S52+S54,0)</f>
        <v>0</v>
      </c>
      <c r="T209" s="168">
        <f>IF(Scénario!$K$93&gt;1,Protection!T52+T54,0)</f>
        <v>0</v>
      </c>
      <c r="U209" s="168">
        <f>IF(Scénario!$K$93&gt;1,Protection!U52+U54,0)</f>
        <v>0</v>
      </c>
      <c r="V209" s="168">
        <f>IF(Scénario!$K$93&gt;1,Protection!V52+V54,0)</f>
        <v>0</v>
      </c>
      <c r="W209" s="168">
        <f>IF(Scénario!$K$93&gt;1,Protection!W52+W54,0)</f>
        <v>0</v>
      </c>
      <c r="X209" s="168">
        <f>IF(Scénario!$K$93&gt;1,Protection!X52+X54,0)</f>
        <v>0</v>
      </c>
      <c r="Y209" s="168">
        <f>IF(Scénario!$K$93&gt;1,Protection!Y52+Y54,0)</f>
        <v>0</v>
      </c>
      <c r="Z209" s="168">
        <f>IF(Scénario!$K$93&gt;1,Protection!Z52+Z54,0)</f>
        <v>0</v>
      </c>
    </row>
    <row r="212" spans="1:26" x14ac:dyDescent="0.25">
      <c r="A212" s="15" t="s">
        <v>1410</v>
      </c>
      <c r="C212" s="168">
        <f>C201+C204+C206+C208</f>
        <v>0</v>
      </c>
      <c r="D212" s="168">
        <f t="shared" ref="D212:Z213" si="50">D201+D204+D206+D208</f>
        <v>0</v>
      </c>
      <c r="E212" s="168">
        <f t="shared" si="50"/>
        <v>0</v>
      </c>
      <c r="F212" s="168">
        <f t="shared" si="50"/>
        <v>0</v>
      </c>
      <c r="G212" s="168">
        <f t="shared" si="50"/>
        <v>0</v>
      </c>
      <c r="H212" s="168">
        <f t="shared" si="50"/>
        <v>0</v>
      </c>
      <c r="I212" s="168">
        <f t="shared" si="50"/>
        <v>0</v>
      </c>
      <c r="J212" s="168">
        <f t="shared" si="50"/>
        <v>0</v>
      </c>
      <c r="K212" s="168">
        <f t="shared" si="50"/>
        <v>0</v>
      </c>
      <c r="L212" s="168">
        <f t="shared" si="50"/>
        <v>0</v>
      </c>
      <c r="M212" s="168">
        <f t="shared" si="50"/>
        <v>0</v>
      </c>
      <c r="N212" s="168">
        <f t="shared" si="50"/>
        <v>0</v>
      </c>
      <c r="O212" s="168">
        <f t="shared" si="50"/>
        <v>0</v>
      </c>
      <c r="P212" s="168">
        <f t="shared" si="50"/>
        <v>0</v>
      </c>
      <c r="Q212" s="168">
        <f t="shared" si="50"/>
        <v>0</v>
      </c>
      <c r="R212" s="168">
        <f t="shared" si="50"/>
        <v>0</v>
      </c>
      <c r="S212" s="168">
        <f t="shared" si="50"/>
        <v>0</v>
      </c>
      <c r="T212" s="168">
        <f t="shared" si="50"/>
        <v>0</v>
      </c>
      <c r="U212" s="168">
        <f t="shared" si="50"/>
        <v>0</v>
      </c>
      <c r="V212" s="168">
        <f t="shared" si="50"/>
        <v>0</v>
      </c>
      <c r="W212" s="168">
        <f t="shared" si="50"/>
        <v>0</v>
      </c>
      <c r="X212" s="168">
        <f t="shared" si="50"/>
        <v>0</v>
      </c>
      <c r="Y212" s="168">
        <f t="shared" si="50"/>
        <v>0</v>
      </c>
      <c r="Z212" s="168">
        <f t="shared" si="50"/>
        <v>0</v>
      </c>
    </row>
    <row r="213" spans="1:26" x14ac:dyDescent="0.25">
      <c r="A213" s="15" t="s">
        <v>1411</v>
      </c>
      <c r="C213" s="168">
        <f>C202+C205+C207+C209</f>
        <v>0</v>
      </c>
      <c r="D213" s="168">
        <f t="shared" si="50"/>
        <v>0</v>
      </c>
      <c r="E213" s="168">
        <f t="shared" si="50"/>
        <v>0</v>
      </c>
      <c r="F213" s="168">
        <f t="shared" si="50"/>
        <v>0</v>
      </c>
      <c r="G213" s="168">
        <f t="shared" si="50"/>
        <v>0</v>
      </c>
      <c r="H213" s="168">
        <f t="shared" si="50"/>
        <v>0</v>
      </c>
      <c r="I213" s="168">
        <f t="shared" si="50"/>
        <v>0</v>
      </c>
      <c r="J213" s="168">
        <f t="shared" si="50"/>
        <v>0</v>
      </c>
      <c r="K213" s="168">
        <f t="shared" si="50"/>
        <v>0</v>
      </c>
      <c r="L213" s="168">
        <f t="shared" si="50"/>
        <v>0</v>
      </c>
      <c r="M213" s="168">
        <f t="shared" si="50"/>
        <v>0</v>
      </c>
      <c r="N213" s="168">
        <f t="shared" si="50"/>
        <v>0</v>
      </c>
      <c r="O213" s="168">
        <f t="shared" si="50"/>
        <v>0</v>
      </c>
      <c r="P213" s="168">
        <f t="shared" si="50"/>
        <v>0</v>
      </c>
      <c r="Q213" s="168">
        <f t="shared" si="50"/>
        <v>0</v>
      </c>
      <c r="R213" s="168">
        <f t="shared" si="50"/>
        <v>0</v>
      </c>
      <c r="S213" s="168">
        <f t="shared" si="50"/>
        <v>0</v>
      </c>
      <c r="T213" s="168">
        <f t="shared" si="50"/>
        <v>0</v>
      </c>
      <c r="U213" s="168">
        <f t="shared" si="50"/>
        <v>0</v>
      </c>
      <c r="V213" s="168">
        <f t="shared" si="50"/>
        <v>0</v>
      </c>
      <c r="W213" s="168">
        <f t="shared" si="50"/>
        <v>0</v>
      </c>
      <c r="X213" s="168">
        <f t="shared" si="50"/>
        <v>0</v>
      </c>
      <c r="Y213" s="168">
        <f t="shared" si="50"/>
        <v>0</v>
      </c>
      <c r="Z213" s="168">
        <f t="shared" si="50"/>
        <v>0</v>
      </c>
    </row>
    <row r="214" spans="1:26" x14ac:dyDescent="0.25">
      <c r="A214" s="15" t="s">
        <v>1412</v>
      </c>
      <c r="C214" s="168">
        <f>C212+C213</f>
        <v>0</v>
      </c>
      <c r="D214" s="168">
        <f t="shared" ref="D214:Z214" si="51">D212+D213</f>
        <v>0</v>
      </c>
      <c r="E214" s="168">
        <f t="shared" si="51"/>
        <v>0</v>
      </c>
      <c r="F214" s="168">
        <f t="shared" si="51"/>
        <v>0</v>
      </c>
      <c r="G214" s="168">
        <f t="shared" si="51"/>
        <v>0</v>
      </c>
      <c r="H214" s="168">
        <f t="shared" si="51"/>
        <v>0</v>
      </c>
      <c r="I214" s="168">
        <f t="shared" si="51"/>
        <v>0</v>
      </c>
      <c r="J214" s="168">
        <f t="shared" si="51"/>
        <v>0</v>
      </c>
      <c r="K214" s="168">
        <f t="shared" si="51"/>
        <v>0</v>
      </c>
      <c r="L214" s="168">
        <f t="shared" si="51"/>
        <v>0</v>
      </c>
      <c r="M214" s="168">
        <f t="shared" si="51"/>
        <v>0</v>
      </c>
      <c r="N214" s="168">
        <f t="shared" si="51"/>
        <v>0</v>
      </c>
      <c r="O214" s="168">
        <f t="shared" si="51"/>
        <v>0</v>
      </c>
      <c r="P214" s="168">
        <f t="shared" si="51"/>
        <v>0</v>
      </c>
      <c r="Q214" s="168">
        <f t="shared" si="51"/>
        <v>0</v>
      </c>
      <c r="R214" s="168">
        <f t="shared" si="51"/>
        <v>0</v>
      </c>
      <c r="S214" s="168">
        <f t="shared" si="51"/>
        <v>0</v>
      </c>
      <c r="T214" s="168">
        <f t="shared" si="51"/>
        <v>0</v>
      </c>
      <c r="U214" s="168">
        <f t="shared" si="51"/>
        <v>0</v>
      </c>
      <c r="V214" s="168">
        <f t="shared" si="51"/>
        <v>0</v>
      </c>
      <c r="W214" s="168">
        <f t="shared" si="51"/>
        <v>0</v>
      </c>
      <c r="X214" s="168">
        <f t="shared" si="51"/>
        <v>0</v>
      </c>
      <c r="Y214" s="168">
        <f t="shared" si="51"/>
        <v>0</v>
      </c>
      <c r="Z214" s="168">
        <f t="shared" si="51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06"/>
  <sheetViews>
    <sheetView zoomScaleNormal="100" workbookViewId="0">
      <pane ySplit="1" topLeftCell="A69" activePane="bottomLeft" state="frozen"/>
      <selection activeCell="B1" sqref="B1"/>
      <selection pane="bottomLeft" activeCell="F73" sqref="F73"/>
    </sheetView>
  </sheetViews>
  <sheetFormatPr baseColWidth="10" defaultRowHeight="15" x14ac:dyDescent="0.25"/>
  <cols>
    <col min="1" max="1" width="69.140625" bestFit="1" customWidth="1"/>
    <col min="2" max="3" width="11" customWidth="1"/>
    <col min="4" max="5" width="11" style="5" customWidth="1"/>
    <col min="6" max="6" width="19.5703125" style="165" customWidth="1"/>
    <col min="7" max="30" width="5.85546875" customWidth="1"/>
    <col min="31" max="31" width="5" bestFit="1" customWidth="1"/>
    <col min="32" max="32" width="6.7109375" customWidth="1"/>
    <col min="33" max="33" width="6" customWidth="1"/>
    <col min="44" max="44" width="11.42578125" style="193"/>
    <col min="45" max="45" width="54" customWidth="1"/>
    <col min="48" max="48" width="6.7109375" style="165" customWidth="1"/>
    <col min="49" max="71" width="6.140625" style="165" customWidth="1"/>
    <col min="78" max="78" width="6" customWidth="1"/>
    <col min="79" max="79" width="13.140625" customWidth="1"/>
    <col min="80" max="103" width="5.85546875" customWidth="1"/>
    <col min="107" max="107" width="6" customWidth="1"/>
    <col min="108" max="108" width="13.140625" customWidth="1"/>
    <col min="109" max="132" width="5.85546875" customWidth="1"/>
  </cols>
  <sheetData>
    <row r="1" spans="1:132" x14ac:dyDescent="0.25">
      <c r="F1" s="165" t="s">
        <v>729</v>
      </c>
      <c r="G1" s="305" t="s">
        <v>2</v>
      </c>
      <c r="H1" s="305"/>
      <c r="I1" s="305" t="s">
        <v>0</v>
      </c>
      <c r="J1" s="305"/>
      <c r="K1" s="305" t="s">
        <v>1</v>
      </c>
      <c r="L1" s="305"/>
      <c r="M1" s="305" t="s">
        <v>3</v>
      </c>
      <c r="N1" s="305"/>
      <c r="O1" s="305" t="s">
        <v>4</v>
      </c>
      <c r="P1" s="305"/>
      <c r="Q1" s="305" t="s">
        <v>5</v>
      </c>
      <c r="R1" s="305"/>
      <c r="S1" s="305" t="s">
        <v>6</v>
      </c>
      <c r="T1" s="305"/>
      <c r="U1" s="305" t="s">
        <v>7</v>
      </c>
      <c r="V1" s="305"/>
      <c r="W1" s="305" t="s">
        <v>8</v>
      </c>
      <c r="X1" s="305"/>
      <c r="Y1" s="305" t="s">
        <v>9</v>
      </c>
      <c r="Z1" s="305"/>
      <c r="AA1" s="305" t="s">
        <v>10</v>
      </c>
      <c r="AB1" s="305"/>
      <c r="AC1" s="305" t="s">
        <v>11</v>
      </c>
      <c r="AD1" s="305"/>
      <c r="AR1" s="181" t="s">
        <v>730</v>
      </c>
    </row>
    <row r="2" spans="1:132" x14ac:dyDescent="0.25">
      <c r="G2">
        <v>1</v>
      </c>
      <c r="H2">
        <v>2</v>
      </c>
      <c r="I2">
        <v>3</v>
      </c>
      <c r="J2">
        <v>4</v>
      </c>
      <c r="K2">
        <v>5</v>
      </c>
      <c r="L2">
        <v>6</v>
      </c>
      <c r="M2">
        <v>7</v>
      </c>
      <c r="N2">
        <v>8</v>
      </c>
      <c r="O2">
        <v>9</v>
      </c>
      <c r="P2">
        <v>10</v>
      </c>
      <c r="Q2">
        <v>11</v>
      </c>
      <c r="R2">
        <v>12</v>
      </c>
      <c r="S2">
        <v>13</v>
      </c>
      <c r="T2">
        <v>14</v>
      </c>
      <c r="U2">
        <v>15</v>
      </c>
      <c r="V2">
        <v>16</v>
      </c>
      <c r="W2">
        <v>17</v>
      </c>
      <c r="X2">
        <v>18</v>
      </c>
      <c r="Y2">
        <v>19</v>
      </c>
      <c r="Z2">
        <v>20</v>
      </c>
      <c r="AA2">
        <v>21</v>
      </c>
      <c r="AB2">
        <v>22</v>
      </c>
      <c r="AC2">
        <v>23</v>
      </c>
      <c r="AD2">
        <v>24</v>
      </c>
      <c r="AR2" s="181" t="s">
        <v>730</v>
      </c>
      <c r="AS2" s="40" t="s">
        <v>557</v>
      </c>
      <c r="AT2" s="168" t="str">
        <f>Troupeau!B3</f>
        <v>BV</v>
      </c>
      <c r="AU2" s="168">
        <f>IF(AT2="OL",1,IF(AT2="BV",2,IF(AT2="BL",3,IF(AT2="EQ",4,0))))</f>
        <v>2</v>
      </c>
      <c r="BY2" s="40" t="s">
        <v>588</v>
      </c>
      <c r="BZ2" s="168">
        <f>Troupeau!C3</f>
        <v>0</v>
      </c>
      <c r="CA2" s="168">
        <f>IF(BZ2="OL",1,IF(BZ2="BV",2,IF(BZ2="BL",3,IF(BZ2="EQ",4,0))))</f>
        <v>0</v>
      </c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DB2" s="40" t="s">
        <v>721</v>
      </c>
      <c r="DC2" s="168">
        <f>Troupeau!D3</f>
        <v>0</v>
      </c>
      <c r="DD2" s="168">
        <f>IF(DC2="OL",1,IF(DC2="BV",2,IF(DC2="BL",3,IF(DC2="EQ",4,0))))</f>
        <v>0</v>
      </c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</row>
    <row r="3" spans="1:132" x14ac:dyDescent="0.25">
      <c r="A3" s="2" t="s">
        <v>731</v>
      </c>
      <c r="B3" s="2"/>
      <c r="C3" s="2"/>
      <c r="D3" s="23"/>
      <c r="E3" s="23"/>
      <c r="AR3" s="181" t="s">
        <v>730</v>
      </c>
      <c r="AT3" s="2" t="s">
        <v>732</v>
      </c>
      <c r="AU3" s="166"/>
      <c r="AV3" s="33">
        <v>1</v>
      </c>
      <c r="AW3" s="33">
        <v>2</v>
      </c>
      <c r="AX3" s="33">
        <v>3</v>
      </c>
      <c r="AY3" s="33">
        <v>4</v>
      </c>
      <c r="AZ3" s="33">
        <v>5</v>
      </c>
      <c r="BA3" s="33">
        <v>6</v>
      </c>
      <c r="BB3" s="33">
        <v>7</v>
      </c>
      <c r="BC3" s="33">
        <v>8</v>
      </c>
      <c r="BD3" s="33">
        <v>9</v>
      </c>
      <c r="BE3" s="33">
        <v>10</v>
      </c>
      <c r="BF3" s="33">
        <v>11</v>
      </c>
      <c r="BG3" s="33">
        <v>12</v>
      </c>
      <c r="BH3" s="33">
        <v>13</v>
      </c>
      <c r="BI3" s="33">
        <v>14</v>
      </c>
      <c r="BJ3" s="33">
        <v>15</v>
      </c>
      <c r="BK3" s="33">
        <v>16</v>
      </c>
      <c r="BL3" s="33">
        <v>17</v>
      </c>
      <c r="BM3" s="33">
        <v>18</v>
      </c>
      <c r="BN3" s="33">
        <v>19</v>
      </c>
      <c r="BO3" s="33">
        <v>20</v>
      </c>
      <c r="BP3" s="33">
        <v>21</v>
      </c>
      <c r="BQ3" s="33">
        <v>22</v>
      </c>
      <c r="BR3" s="33">
        <v>23</v>
      </c>
      <c r="BS3" s="33">
        <v>24</v>
      </c>
      <c r="BZ3" s="2" t="s">
        <v>732</v>
      </c>
      <c r="CA3" s="166"/>
      <c r="CB3" s="33">
        <v>1</v>
      </c>
      <c r="CC3" s="33">
        <v>2</v>
      </c>
      <c r="CD3" s="33">
        <v>3</v>
      </c>
      <c r="CE3" s="33">
        <v>4</v>
      </c>
      <c r="CF3" s="33">
        <v>5</v>
      </c>
      <c r="CG3" s="33">
        <v>6</v>
      </c>
      <c r="CH3" s="33">
        <v>7</v>
      </c>
      <c r="CI3" s="33">
        <v>8</v>
      </c>
      <c r="CJ3" s="33">
        <v>9</v>
      </c>
      <c r="CK3" s="33">
        <v>10</v>
      </c>
      <c r="CL3" s="33">
        <v>11</v>
      </c>
      <c r="CM3" s="33">
        <v>12</v>
      </c>
      <c r="CN3" s="33">
        <v>13</v>
      </c>
      <c r="CO3" s="33">
        <v>14</v>
      </c>
      <c r="CP3" s="33">
        <v>15</v>
      </c>
      <c r="CQ3" s="33">
        <v>16</v>
      </c>
      <c r="CR3" s="33">
        <v>17</v>
      </c>
      <c r="CS3" s="33">
        <v>18</v>
      </c>
      <c r="CT3" s="33">
        <v>19</v>
      </c>
      <c r="CU3" s="33">
        <v>20</v>
      </c>
      <c r="CV3" s="33">
        <v>21</v>
      </c>
      <c r="CW3" s="33">
        <v>22</v>
      </c>
      <c r="CX3" s="33">
        <v>23</v>
      </c>
      <c r="CY3" s="33">
        <v>24</v>
      </c>
      <c r="DC3" s="2" t="s">
        <v>732</v>
      </c>
      <c r="DD3" s="166"/>
      <c r="DE3" s="33">
        <v>1</v>
      </c>
      <c r="DF3" s="33">
        <v>2</v>
      </c>
      <c r="DG3" s="33">
        <v>3</v>
      </c>
      <c r="DH3" s="33">
        <v>4</v>
      </c>
      <c r="DI3" s="33">
        <v>5</v>
      </c>
      <c r="DJ3" s="33">
        <v>6</v>
      </c>
      <c r="DK3" s="33">
        <v>7</v>
      </c>
      <c r="DL3" s="33">
        <v>8</v>
      </c>
      <c r="DM3" s="33">
        <v>9</v>
      </c>
      <c r="DN3" s="33">
        <v>10</v>
      </c>
      <c r="DO3" s="33">
        <v>11</v>
      </c>
      <c r="DP3" s="33">
        <v>12</v>
      </c>
      <c r="DQ3" s="33">
        <v>13</v>
      </c>
      <c r="DR3" s="33">
        <v>14</v>
      </c>
      <c r="DS3" s="33">
        <v>15</v>
      </c>
      <c r="DT3" s="33">
        <v>16</v>
      </c>
      <c r="DU3" s="33">
        <v>17</v>
      </c>
      <c r="DV3" s="33">
        <v>18</v>
      </c>
      <c r="DW3" s="33">
        <v>19</v>
      </c>
      <c r="DX3" s="33">
        <v>20</v>
      </c>
      <c r="DY3" s="33">
        <v>21</v>
      </c>
      <c r="DZ3" s="33">
        <v>22</v>
      </c>
      <c r="EA3" s="33">
        <v>23</v>
      </c>
      <c r="EB3" s="33">
        <v>24</v>
      </c>
    </row>
    <row r="4" spans="1:132" x14ac:dyDescent="0.25">
      <c r="A4" s="2" t="s">
        <v>733</v>
      </c>
      <c r="B4" s="2"/>
      <c r="C4" s="2"/>
      <c r="D4" s="23"/>
      <c r="E4" s="23"/>
      <c r="F4" s="33"/>
      <c r="AR4" s="181" t="s">
        <v>730</v>
      </c>
      <c r="AT4" s="182" t="str">
        <f>AT26</f>
        <v xml:space="preserve">Vaches </v>
      </c>
      <c r="AU4" s="166"/>
      <c r="AV4" s="168">
        <f>CdTrp1!B15</f>
        <v>32.799999999999997</v>
      </c>
      <c r="AW4" s="168">
        <f>CdTrp1!C15</f>
        <v>32.799999999999997</v>
      </c>
      <c r="AX4" s="168">
        <f>CdTrp1!D15</f>
        <v>32.799999999999997</v>
      </c>
      <c r="AY4" s="168">
        <f>CdTrp1!E15</f>
        <v>32.799999999999997</v>
      </c>
      <c r="AZ4" s="168">
        <f>CdTrp1!F15</f>
        <v>32.799999999999997</v>
      </c>
      <c r="BA4" s="168">
        <f>CdTrp1!G15</f>
        <v>32.799999999999997</v>
      </c>
      <c r="BB4" s="168">
        <f>CdTrp1!H15</f>
        <v>32.799999999999997</v>
      </c>
      <c r="BC4" s="168">
        <f>CdTrp1!I15</f>
        <v>32.799999999999997</v>
      </c>
      <c r="BD4" s="168">
        <f>CdTrp1!J15</f>
        <v>32.799999999999997</v>
      </c>
      <c r="BE4" s="168">
        <f>CdTrp1!K15</f>
        <v>32.799999999999997</v>
      </c>
      <c r="BF4" s="168">
        <f>CdTrp1!L15</f>
        <v>32.799999999999997</v>
      </c>
      <c r="BG4" s="168">
        <f>CdTrp1!M15</f>
        <v>32.799999999999997</v>
      </c>
      <c r="BH4" s="168">
        <f>CdTrp1!N15</f>
        <v>32.799999999999997</v>
      </c>
      <c r="BI4" s="168">
        <f>CdTrp1!O15</f>
        <v>32.799999999999997</v>
      </c>
      <c r="BJ4" s="168">
        <f>CdTrp1!P15</f>
        <v>32.799999999999997</v>
      </c>
      <c r="BK4" s="168">
        <f>CdTrp1!Q15</f>
        <v>31.2</v>
      </c>
      <c r="BL4" s="168">
        <f>CdTrp1!R15</f>
        <v>29.6</v>
      </c>
      <c r="BM4" s="168">
        <f>CdTrp1!S15</f>
        <v>28</v>
      </c>
      <c r="BN4" s="168">
        <f>CdTrp1!T15</f>
        <v>28.8</v>
      </c>
      <c r="BO4" s="168">
        <f>CdTrp1!U15</f>
        <v>29.6</v>
      </c>
      <c r="BP4" s="168">
        <f>CdTrp1!V15</f>
        <v>30.4</v>
      </c>
      <c r="BQ4" s="168">
        <f>CdTrp1!W15</f>
        <v>32.799999999999997</v>
      </c>
      <c r="BR4" s="168">
        <f>CdTrp1!X15</f>
        <v>32.799999999999997</v>
      </c>
      <c r="BS4" s="168">
        <f>CdTrp1!Y15</f>
        <v>32.799999999999997</v>
      </c>
      <c r="BZ4" s="182" t="str">
        <f>+CdTrp2!A15</f>
        <v>lot1</v>
      </c>
      <c r="CA4" s="166"/>
      <c r="CB4" s="168">
        <f>CdTrp2!B15</f>
        <v>0</v>
      </c>
      <c r="CC4" s="168">
        <f>CdTrp2!C15</f>
        <v>0</v>
      </c>
      <c r="CD4" s="168">
        <f>CdTrp2!D15</f>
        <v>0</v>
      </c>
      <c r="CE4" s="168">
        <f>CdTrp2!E15</f>
        <v>0</v>
      </c>
      <c r="CF4" s="168">
        <f>CdTrp2!F15</f>
        <v>0</v>
      </c>
      <c r="CG4" s="168">
        <f>CdTrp2!G15</f>
        <v>0</v>
      </c>
      <c r="CH4" s="168">
        <f>CdTrp2!H15</f>
        <v>0</v>
      </c>
      <c r="CI4" s="168">
        <f>CdTrp2!I15</f>
        <v>0</v>
      </c>
      <c r="CJ4" s="168">
        <f>CdTrp2!J15</f>
        <v>0</v>
      </c>
      <c r="CK4" s="168">
        <f>CdTrp2!K15</f>
        <v>0</v>
      </c>
      <c r="CL4" s="168">
        <f>CdTrp2!L15</f>
        <v>0</v>
      </c>
      <c r="CM4" s="168">
        <f>CdTrp2!M15</f>
        <v>0</v>
      </c>
      <c r="CN4" s="168">
        <f>CdTrp2!N15</f>
        <v>0</v>
      </c>
      <c r="CO4" s="168">
        <f>CdTrp2!O15</f>
        <v>0</v>
      </c>
      <c r="CP4" s="168">
        <f>CdTrp2!P15</f>
        <v>0</v>
      </c>
      <c r="CQ4" s="168">
        <f>CdTrp2!Q15</f>
        <v>0</v>
      </c>
      <c r="CR4" s="168">
        <f>CdTrp2!R15</f>
        <v>0</v>
      </c>
      <c r="CS4" s="168">
        <f>CdTrp2!S15</f>
        <v>0</v>
      </c>
      <c r="CT4" s="168">
        <f>CdTrp2!T15</f>
        <v>0</v>
      </c>
      <c r="CU4" s="168">
        <f>CdTrp2!U15</f>
        <v>0</v>
      </c>
      <c r="CV4" s="168">
        <f>CdTrp2!V15</f>
        <v>0</v>
      </c>
      <c r="CW4" s="168">
        <f>CdTrp2!W15</f>
        <v>0</v>
      </c>
      <c r="CX4" s="168">
        <f>CdTrp2!X15</f>
        <v>0</v>
      </c>
      <c r="CY4" s="168">
        <f>CdTrp2!Y15</f>
        <v>0</v>
      </c>
      <c r="DC4" s="182" t="str">
        <f>+CdTrp3!A15</f>
        <v>lot1</v>
      </c>
      <c r="DD4" s="166"/>
      <c r="DE4" s="168">
        <f>CdTrp3!B15</f>
        <v>0</v>
      </c>
      <c r="DF4" s="168">
        <f>CdTrp3!C15</f>
        <v>0</v>
      </c>
      <c r="DG4" s="168">
        <f>CdTrp3!D15</f>
        <v>0</v>
      </c>
      <c r="DH4" s="168">
        <f>CdTrp3!E15</f>
        <v>0</v>
      </c>
      <c r="DI4" s="168">
        <f>CdTrp3!F15</f>
        <v>0</v>
      </c>
      <c r="DJ4" s="168">
        <f>CdTrp3!G15</f>
        <v>0</v>
      </c>
      <c r="DK4" s="168">
        <f>CdTrp3!H15</f>
        <v>0</v>
      </c>
      <c r="DL4" s="168">
        <f>CdTrp3!I15</f>
        <v>0</v>
      </c>
      <c r="DM4" s="168">
        <f>CdTrp3!J15</f>
        <v>0</v>
      </c>
      <c r="DN4" s="168">
        <f>CdTrp3!K15</f>
        <v>0</v>
      </c>
      <c r="DO4" s="168">
        <f>CdTrp3!L15</f>
        <v>0</v>
      </c>
      <c r="DP4" s="168">
        <f>CdTrp3!M15</f>
        <v>0</v>
      </c>
      <c r="DQ4" s="168">
        <f>CdTrp3!N15</f>
        <v>0</v>
      </c>
      <c r="DR4" s="168">
        <f>CdTrp3!O15</f>
        <v>0</v>
      </c>
      <c r="DS4" s="168">
        <f>CdTrp3!P15</f>
        <v>0</v>
      </c>
      <c r="DT4" s="168">
        <f>CdTrp3!Q15</f>
        <v>0</v>
      </c>
      <c r="DU4" s="168">
        <f>CdTrp3!R15</f>
        <v>0</v>
      </c>
      <c r="DV4" s="168">
        <f>CdTrp3!S15</f>
        <v>0</v>
      </c>
      <c r="DW4" s="168">
        <f>CdTrp3!T15</f>
        <v>0</v>
      </c>
      <c r="DX4" s="168">
        <f>CdTrp3!U15</f>
        <v>0</v>
      </c>
      <c r="DY4" s="168">
        <f>CdTrp3!V15</f>
        <v>0</v>
      </c>
      <c r="DZ4" s="168">
        <f>CdTrp3!W15</f>
        <v>0</v>
      </c>
      <c r="EA4" s="168">
        <f>CdTrp3!X15</f>
        <v>0</v>
      </c>
      <c r="EB4" s="168">
        <f>CdTrp3!Y15</f>
        <v>0</v>
      </c>
    </row>
    <row r="5" spans="1:132" x14ac:dyDescent="0.25">
      <c r="A5" t="s">
        <v>557</v>
      </c>
      <c r="F5" s="168">
        <f>SUM(G5:AD5)</f>
        <v>262.5</v>
      </c>
      <c r="G5" s="168">
        <f>AV117</f>
        <v>0</v>
      </c>
      <c r="H5" s="168">
        <f t="shared" ref="H5:AD5" si="0">AW117</f>
        <v>0</v>
      </c>
      <c r="I5" s="168">
        <f t="shared" si="0"/>
        <v>0</v>
      </c>
      <c r="J5" s="168">
        <f t="shared" si="0"/>
        <v>0</v>
      </c>
      <c r="K5" s="168">
        <f t="shared" si="0"/>
        <v>14</v>
      </c>
      <c r="L5" s="168">
        <f t="shared" si="0"/>
        <v>14</v>
      </c>
      <c r="M5" s="168">
        <f t="shared" si="0"/>
        <v>7</v>
      </c>
      <c r="N5" s="168">
        <f t="shared" si="0"/>
        <v>7</v>
      </c>
      <c r="O5" s="168">
        <f t="shared" si="0"/>
        <v>7</v>
      </c>
      <c r="P5" s="168">
        <f t="shared" si="0"/>
        <v>17.5</v>
      </c>
      <c r="Q5" s="168">
        <f t="shared" si="0"/>
        <v>17.5</v>
      </c>
      <c r="R5" s="168">
        <f t="shared" si="0"/>
        <v>17.5</v>
      </c>
      <c r="S5" s="168">
        <f t="shared" si="0"/>
        <v>17.5</v>
      </c>
      <c r="T5" s="168">
        <f t="shared" si="0"/>
        <v>17.5</v>
      </c>
      <c r="U5" s="168">
        <f t="shared" si="0"/>
        <v>17.5</v>
      </c>
      <c r="V5" s="168">
        <f t="shared" si="0"/>
        <v>17.5</v>
      </c>
      <c r="W5" s="168">
        <f t="shared" si="0"/>
        <v>17.5</v>
      </c>
      <c r="X5" s="168">
        <f t="shared" si="0"/>
        <v>17.5</v>
      </c>
      <c r="Y5" s="168">
        <f t="shared" si="0"/>
        <v>17.5</v>
      </c>
      <c r="Z5" s="168">
        <f t="shared" si="0"/>
        <v>17.5</v>
      </c>
      <c r="AA5" s="168">
        <f t="shared" si="0"/>
        <v>21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R5" s="181" t="s">
        <v>730</v>
      </c>
      <c r="AT5" s="182" t="str">
        <f t="shared" ref="AT5:AT13" si="1">AT27</f>
        <v>Génisses 24 mois</v>
      </c>
      <c r="AU5" s="166"/>
      <c r="AV5" s="168">
        <f>CdTrp1!B16</f>
        <v>9.6</v>
      </c>
      <c r="AW5" s="168">
        <f>CdTrp1!C16</f>
        <v>9.6</v>
      </c>
      <c r="AX5" s="168">
        <f>CdTrp1!D16</f>
        <v>9.6</v>
      </c>
      <c r="AY5" s="168">
        <f>CdTrp1!E16</f>
        <v>9.6</v>
      </c>
      <c r="AZ5" s="168">
        <f>CdTrp1!F16</f>
        <v>9.6</v>
      </c>
      <c r="BA5" s="168">
        <f>CdTrp1!G16</f>
        <v>9.6</v>
      </c>
      <c r="BB5" s="168">
        <f>CdTrp1!H16</f>
        <v>9.6</v>
      </c>
      <c r="BC5" s="168">
        <f>CdTrp1!I16</f>
        <v>9.6</v>
      </c>
      <c r="BD5" s="168">
        <f>CdTrp1!J16</f>
        <v>9.6</v>
      </c>
      <c r="BE5" s="168">
        <f>CdTrp1!K16</f>
        <v>9.6</v>
      </c>
      <c r="BF5" s="168">
        <f>CdTrp1!L16</f>
        <v>9.6</v>
      </c>
      <c r="BG5" s="168">
        <f>CdTrp1!M16</f>
        <v>9.6</v>
      </c>
      <c r="BH5" s="168">
        <f>CdTrp1!N16</f>
        <v>9.6</v>
      </c>
      <c r="BI5" s="168">
        <f>CdTrp1!O16</f>
        <v>9.6</v>
      </c>
      <c r="BJ5" s="168">
        <f>CdTrp1!P16</f>
        <v>9.6</v>
      </c>
      <c r="BK5" s="168">
        <f>CdTrp1!Q16</f>
        <v>9.6</v>
      </c>
      <c r="BL5" s="168">
        <f>CdTrp1!R16</f>
        <v>9.6</v>
      </c>
      <c r="BM5" s="168">
        <f>CdTrp1!S16</f>
        <v>9.6</v>
      </c>
      <c r="BN5" s="168">
        <f>CdTrp1!T16</f>
        <v>9.6</v>
      </c>
      <c r="BO5" s="168">
        <f>CdTrp1!U16</f>
        <v>9.6</v>
      </c>
      <c r="BP5" s="168">
        <f>CdTrp1!V16</f>
        <v>9.6</v>
      </c>
      <c r="BQ5" s="168">
        <f>CdTrp1!W16</f>
        <v>9.6</v>
      </c>
      <c r="BR5" s="168">
        <f>CdTrp1!X16</f>
        <v>9.6</v>
      </c>
      <c r="BS5" s="168">
        <f>CdTrp1!Y16</f>
        <v>9.6</v>
      </c>
      <c r="BZ5" s="182" t="str">
        <f>+CdTrp2!A16</f>
        <v>lot2</v>
      </c>
      <c r="CA5" s="166"/>
      <c r="CB5" s="168">
        <f>CdTrp2!B16</f>
        <v>0</v>
      </c>
      <c r="CC5" s="168">
        <f>CdTrp2!C16</f>
        <v>0</v>
      </c>
      <c r="CD5" s="168">
        <f>CdTrp2!D16</f>
        <v>0</v>
      </c>
      <c r="CE5" s="168">
        <f>CdTrp2!E16</f>
        <v>0</v>
      </c>
      <c r="CF5" s="168">
        <f>CdTrp2!F16</f>
        <v>0</v>
      </c>
      <c r="CG5" s="168">
        <f>CdTrp2!G16</f>
        <v>0</v>
      </c>
      <c r="CH5" s="168">
        <f>CdTrp2!H16</f>
        <v>0</v>
      </c>
      <c r="CI5" s="168">
        <f>CdTrp2!I16</f>
        <v>0</v>
      </c>
      <c r="CJ5" s="168">
        <f>CdTrp2!J16</f>
        <v>0</v>
      </c>
      <c r="CK5" s="168">
        <f>CdTrp2!K16</f>
        <v>0</v>
      </c>
      <c r="CL5" s="168">
        <f>CdTrp2!L16</f>
        <v>0</v>
      </c>
      <c r="CM5" s="168">
        <f>CdTrp2!M16</f>
        <v>0</v>
      </c>
      <c r="CN5" s="168">
        <f>CdTrp2!N16</f>
        <v>0</v>
      </c>
      <c r="CO5" s="168">
        <f>CdTrp2!O16</f>
        <v>0</v>
      </c>
      <c r="CP5" s="168">
        <f>CdTrp2!P16</f>
        <v>0</v>
      </c>
      <c r="CQ5" s="168">
        <f>CdTrp2!Q16</f>
        <v>0</v>
      </c>
      <c r="CR5" s="168">
        <f>CdTrp2!R16</f>
        <v>0</v>
      </c>
      <c r="CS5" s="168">
        <f>CdTrp2!S16</f>
        <v>0</v>
      </c>
      <c r="CT5" s="168">
        <f>CdTrp2!T16</f>
        <v>0</v>
      </c>
      <c r="CU5" s="168">
        <f>CdTrp2!U16</f>
        <v>0</v>
      </c>
      <c r="CV5" s="168">
        <f>CdTrp2!V16</f>
        <v>0</v>
      </c>
      <c r="CW5" s="168">
        <f>CdTrp2!W16</f>
        <v>0</v>
      </c>
      <c r="CX5" s="168">
        <f>CdTrp2!X16</f>
        <v>0</v>
      </c>
      <c r="CY5" s="168">
        <f>CdTrp2!Y16</f>
        <v>0</v>
      </c>
      <c r="DC5" s="182" t="str">
        <f>+CdTrp3!A16</f>
        <v>lot2</v>
      </c>
      <c r="DD5" s="166"/>
      <c r="DE5" s="168">
        <f>CdTrp3!B16</f>
        <v>0</v>
      </c>
      <c r="DF5" s="168">
        <f>CdTrp3!C16</f>
        <v>0</v>
      </c>
      <c r="DG5" s="168">
        <f>CdTrp3!D16</f>
        <v>0</v>
      </c>
      <c r="DH5" s="168">
        <f>CdTrp3!E16</f>
        <v>0</v>
      </c>
      <c r="DI5" s="168">
        <f>CdTrp3!F16</f>
        <v>0</v>
      </c>
      <c r="DJ5" s="168">
        <f>CdTrp3!G16</f>
        <v>0</v>
      </c>
      <c r="DK5" s="168">
        <f>CdTrp3!H16</f>
        <v>0</v>
      </c>
      <c r="DL5" s="168">
        <f>CdTrp3!I16</f>
        <v>0</v>
      </c>
      <c r="DM5" s="168">
        <f>CdTrp3!J16</f>
        <v>0</v>
      </c>
      <c r="DN5" s="168">
        <f>CdTrp3!K16</f>
        <v>0</v>
      </c>
      <c r="DO5" s="168">
        <f>CdTrp3!L16</f>
        <v>0</v>
      </c>
      <c r="DP5" s="168">
        <f>CdTrp3!M16</f>
        <v>0</v>
      </c>
      <c r="DQ5" s="168">
        <f>CdTrp3!N16</f>
        <v>0</v>
      </c>
      <c r="DR5" s="168">
        <f>CdTrp3!O16</f>
        <v>0</v>
      </c>
      <c r="DS5" s="168">
        <f>CdTrp3!P16</f>
        <v>0</v>
      </c>
      <c r="DT5" s="168">
        <f>CdTrp3!Q16</f>
        <v>0</v>
      </c>
      <c r="DU5" s="168">
        <f>CdTrp3!R16</f>
        <v>0</v>
      </c>
      <c r="DV5" s="168">
        <f>CdTrp3!S16</f>
        <v>0</v>
      </c>
      <c r="DW5" s="168">
        <f>CdTrp3!T16</f>
        <v>0</v>
      </c>
      <c r="DX5" s="168">
        <f>CdTrp3!U16</f>
        <v>0</v>
      </c>
      <c r="DY5" s="168">
        <f>CdTrp3!V16</f>
        <v>0</v>
      </c>
      <c r="DZ5" s="168">
        <f>CdTrp3!W16</f>
        <v>0</v>
      </c>
      <c r="EA5" s="168">
        <f>CdTrp3!X16</f>
        <v>0</v>
      </c>
      <c r="EB5" s="168">
        <f>CdTrp3!Y16</f>
        <v>0</v>
      </c>
    </row>
    <row r="6" spans="1:132" x14ac:dyDescent="0.25">
      <c r="A6" t="s">
        <v>588</v>
      </c>
      <c r="F6" s="168">
        <f>IF(Troupeau!B3="OL",SUM(G6:AD6)*0.6,SUM(G6:AD6))</f>
        <v>0</v>
      </c>
      <c r="G6" s="168">
        <f>CB117</f>
        <v>0</v>
      </c>
      <c r="H6" s="168">
        <f t="shared" ref="H6:AD6" si="2">CC117</f>
        <v>0</v>
      </c>
      <c r="I6" s="168">
        <f t="shared" si="2"/>
        <v>0</v>
      </c>
      <c r="J6" s="168">
        <f t="shared" si="2"/>
        <v>0</v>
      </c>
      <c r="K6" s="168">
        <f t="shared" si="2"/>
        <v>0</v>
      </c>
      <c r="L6" s="168">
        <f t="shared" si="2"/>
        <v>0</v>
      </c>
      <c r="M6" s="168">
        <f t="shared" si="2"/>
        <v>0</v>
      </c>
      <c r="N6" s="168">
        <f t="shared" si="2"/>
        <v>0</v>
      </c>
      <c r="O6" s="168">
        <f t="shared" si="2"/>
        <v>0</v>
      </c>
      <c r="P6" s="168">
        <f t="shared" si="2"/>
        <v>0</v>
      </c>
      <c r="Q6" s="168">
        <f t="shared" si="2"/>
        <v>0</v>
      </c>
      <c r="R6" s="168">
        <f t="shared" si="2"/>
        <v>0</v>
      </c>
      <c r="S6" s="168">
        <f t="shared" si="2"/>
        <v>0</v>
      </c>
      <c r="T6" s="168">
        <f t="shared" si="2"/>
        <v>0</v>
      </c>
      <c r="U6" s="168">
        <f t="shared" si="2"/>
        <v>0</v>
      </c>
      <c r="V6" s="168">
        <f t="shared" si="2"/>
        <v>0</v>
      </c>
      <c r="W6" s="168">
        <f t="shared" si="2"/>
        <v>0</v>
      </c>
      <c r="X6" s="168">
        <f t="shared" si="2"/>
        <v>0</v>
      </c>
      <c r="Y6" s="168">
        <f t="shared" si="2"/>
        <v>0</v>
      </c>
      <c r="Z6" s="168">
        <f t="shared" si="2"/>
        <v>0</v>
      </c>
      <c r="AA6" s="168">
        <f t="shared" si="2"/>
        <v>0</v>
      </c>
      <c r="AB6" s="168">
        <f t="shared" si="2"/>
        <v>0</v>
      </c>
      <c r="AC6" s="168">
        <f t="shared" si="2"/>
        <v>0</v>
      </c>
      <c r="AD6" s="168">
        <f t="shared" si="2"/>
        <v>0</v>
      </c>
      <c r="AR6" s="181" t="s">
        <v>730</v>
      </c>
      <c r="AT6" s="182" t="str">
        <f t="shared" si="1"/>
        <v>Génisses jeunes</v>
      </c>
      <c r="AU6" s="166"/>
      <c r="AV6" s="168">
        <f>CdTrp1!B17</f>
        <v>9.6</v>
      </c>
      <c r="AW6" s="168">
        <f>CdTrp1!C17</f>
        <v>9.6</v>
      </c>
      <c r="AX6" s="168">
        <f>CdTrp1!D17</f>
        <v>9.6</v>
      </c>
      <c r="AY6" s="168">
        <f>CdTrp1!E17</f>
        <v>9.6</v>
      </c>
      <c r="AZ6" s="168">
        <f>CdTrp1!F17</f>
        <v>9.6</v>
      </c>
      <c r="BA6" s="168">
        <f>CdTrp1!G17</f>
        <v>9.6</v>
      </c>
      <c r="BB6" s="168">
        <f>CdTrp1!H17</f>
        <v>9.6</v>
      </c>
      <c r="BC6" s="168">
        <f>CdTrp1!I17</f>
        <v>9.6</v>
      </c>
      <c r="BD6" s="168">
        <f>CdTrp1!J17</f>
        <v>9.6</v>
      </c>
      <c r="BE6" s="168">
        <f>CdTrp1!K17</f>
        <v>9.6</v>
      </c>
      <c r="BF6" s="168">
        <f>CdTrp1!L17</f>
        <v>9.6</v>
      </c>
      <c r="BG6" s="168">
        <f>CdTrp1!M17</f>
        <v>9.6</v>
      </c>
      <c r="BH6" s="168">
        <f>CdTrp1!N17</f>
        <v>9.6</v>
      </c>
      <c r="BI6" s="168">
        <f>CdTrp1!O17</f>
        <v>9.6</v>
      </c>
      <c r="BJ6" s="168">
        <f>CdTrp1!P17</f>
        <v>9.6</v>
      </c>
      <c r="BK6" s="168">
        <f>CdTrp1!Q17</f>
        <v>9.6</v>
      </c>
      <c r="BL6" s="168">
        <f>CdTrp1!R17</f>
        <v>9.6</v>
      </c>
      <c r="BM6" s="168">
        <f>CdTrp1!S17</f>
        <v>9.6</v>
      </c>
      <c r="BN6" s="168">
        <f>CdTrp1!T17</f>
        <v>9.6</v>
      </c>
      <c r="BO6" s="168">
        <f>CdTrp1!U17</f>
        <v>9.6</v>
      </c>
      <c r="BP6" s="168">
        <f>CdTrp1!V17</f>
        <v>9.6</v>
      </c>
      <c r="BQ6" s="168">
        <f>CdTrp1!W17</f>
        <v>9.6</v>
      </c>
      <c r="BR6" s="168">
        <f>CdTrp1!X17</f>
        <v>9.6</v>
      </c>
      <c r="BS6" s="168">
        <f>CdTrp1!Y17</f>
        <v>9.6</v>
      </c>
      <c r="BZ6" s="182" t="str">
        <f>+CdTrp2!A17</f>
        <v>lot3</v>
      </c>
      <c r="CA6" s="166"/>
      <c r="CB6" s="168">
        <f>CdTrp2!B17</f>
        <v>0</v>
      </c>
      <c r="CC6" s="168">
        <f>CdTrp2!C17</f>
        <v>0</v>
      </c>
      <c r="CD6" s="168">
        <f>CdTrp2!D17</f>
        <v>0</v>
      </c>
      <c r="CE6" s="168">
        <f>CdTrp2!E17</f>
        <v>0</v>
      </c>
      <c r="CF6" s="168">
        <f>CdTrp2!F17</f>
        <v>0</v>
      </c>
      <c r="CG6" s="168">
        <f>CdTrp2!G17</f>
        <v>0</v>
      </c>
      <c r="CH6" s="168">
        <f>CdTrp2!H17</f>
        <v>0</v>
      </c>
      <c r="CI6" s="168">
        <f>CdTrp2!I17</f>
        <v>0</v>
      </c>
      <c r="CJ6" s="168">
        <f>CdTrp2!J17</f>
        <v>0</v>
      </c>
      <c r="CK6" s="168">
        <f>CdTrp2!K17</f>
        <v>0</v>
      </c>
      <c r="CL6" s="168">
        <f>CdTrp2!L17</f>
        <v>0</v>
      </c>
      <c r="CM6" s="168">
        <f>CdTrp2!M17</f>
        <v>0</v>
      </c>
      <c r="CN6" s="168">
        <f>CdTrp2!N17</f>
        <v>0</v>
      </c>
      <c r="CO6" s="168">
        <f>CdTrp2!O17</f>
        <v>0</v>
      </c>
      <c r="CP6" s="168">
        <f>CdTrp2!P17</f>
        <v>0</v>
      </c>
      <c r="CQ6" s="168">
        <f>CdTrp2!Q17</f>
        <v>0</v>
      </c>
      <c r="CR6" s="168">
        <f>CdTrp2!R17</f>
        <v>0</v>
      </c>
      <c r="CS6" s="168">
        <f>CdTrp2!S17</f>
        <v>0</v>
      </c>
      <c r="CT6" s="168">
        <f>CdTrp2!T17</f>
        <v>0</v>
      </c>
      <c r="CU6" s="168">
        <f>CdTrp2!U17</f>
        <v>0</v>
      </c>
      <c r="CV6" s="168">
        <f>CdTrp2!V17</f>
        <v>0</v>
      </c>
      <c r="CW6" s="168">
        <f>CdTrp2!W17</f>
        <v>0</v>
      </c>
      <c r="CX6" s="168">
        <f>CdTrp2!X17</f>
        <v>0</v>
      </c>
      <c r="CY6" s="168">
        <f>CdTrp2!Y17</f>
        <v>0</v>
      </c>
      <c r="DC6" s="182" t="str">
        <f>+CdTrp3!A17</f>
        <v>lot3</v>
      </c>
      <c r="DD6" s="166"/>
      <c r="DE6" s="168">
        <f>CdTrp3!B17</f>
        <v>0</v>
      </c>
      <c r="DF6" s="168">
        <f>CdTrp3!C17</f>
        <v>0</v>
      </c>
      <c r="DG6" s="168">
        <f>CdTrp3!D17</f>
        <v>0</v>
      </c>
      <c r="DH6" s="168">
        <f>CdTrp3!E17</f>
        <v>0</v>
      </c>
      <c r="DI6" s="168">
        <f>CdTrp3!F17</f>
        <v>0</v>
      </c>
      <c r="DJ6" s="168">
        <f>CdTrp3!G17</f>
        <v>0</v>
      </c>
      <c r="DK6" s="168">
        <f>CdTrp3!H17</f>
        <v>0</v>
      </c>
      <c r="DL6" s="168">
        <f>CdTrp3!I17</f>
        <v>0</v>
      </c>
      <c r="DM6" s="168">
        <f>CdTrp3!J17</f>
        <v>0</v>
      </c>
      <c r="DN6" s="168">
        <f>CdTrp3!K17</f>
        <v>0</v>
      </c>
      <c r="DO6" s="168">
        <f>CdTrp3!L17</f>
        <v>0</v>
      </c>
      <c r="DP6" s="168">
        <f>CdTrp3!M17</f>
        <v>0</v>
      </c>
      <c r="DQ6" s="168">
        <f>CdTrp3!N17</f>
        <v>0</v>
      </c>
      <c r="DR6" s="168">
        <f>CdTrp3!O17</f>
        <v>0</v>
      </c>
      <c r="DS6" s="168">
        <f>CdTrp3!P17</f>
        <v>0</v>
      </c>
      <c r="DT6" s="168">
        <f>CdTrp3!Q17</f>
        <v>0</v>
      </c>
      <c r="DU6" s="168">
        <f>CdTrp3!R17</f>
        <v>0</v>
      </c>
      <c r="DV6" s="168">
        <f>CdTrp3!S17</f>
        <v>0</v>
      </c>
      <c r="DW6" s="168">
        <f>CdTrp3!T17</f>
        <v>0</v>
      </c>
      <c r="DX6" s="168">
        <f>CdTrp3!U17</f>
        <v>0</v>
      </c>
      <c r="DY6" s="168">
        <f>CdTrp3!V17</f>
        <v>0</v>
      </c>
      <c r="DZ6" s="168">
        <f>CdTrp3!W17</f>
        <v>0</v>
      </c>
      <c r="EA6" s="168">
        <f>CdTrp3!X17</f>
        <v>0</v>
      </c>
      <c r="EB6" s="168">
        <f>CdTrp3!Y17</f>
        <v>0</v>
      </c>
    </row>
    <row r="7" spans="1:132" x14ac:dyDescent="0.25">
      <c r="A7" t="s">
        <v>721</v>
      </c>
      <c r="F7" s="168">
        <f>SUM(G7:AD7)</f>
        <v>0</v>
      </c>
      <c r="G7" s="168">
        <f>DE117</f>
        <v>0</v>
      </c>
      <c r="H7" s="168">
        <f t="shared" ref="H7:AD7" si="3">DF117</f>
        <v>0</v>
      </c>
      <c r="I7" s="168">
        <f t="shared" si="3"/>
        <v>0</v>
      </c>
      <c r="J7" s="168">
        <f t="shared" si="3"/>
        <v>0</v>
      </c>
      <c r="K7" s="168">
        <f t="shared" si="3"/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8">
        <f t="shared" si="3"/>
        <v>0</v>
      </c>
      <c r="T7" s="168">
        <f t="shared" si="3"/>
        <v>0</v>
      </c>
      <c r="U7" s="168">
        <f t="shared" si="3"/>
        <v>0</v>
      </c>
      <c r="V7" s="168">
        <f t="shared" si="3"/>
        <v>0</v>
      </c>
      <c r="W7" s="168">
        <f t="shared" si="3"/>
        <v>0</v>
      </c>
      <c r="X7" s="168">
        <f t="shared" si="3"/>
        <v>0</v>
      </c>
      <c r="Y7" s="168">
        <f t="shared" si="3"/>
        <v>0</v>
      </c>
      <c r="Z7" s="168">
        <f t="shared" si="3"/>
        <v>0</v>
      </c>
      <c r="AA7" s="168">
        <f t="shared" si="3"/>
        <v>0</v>
      </c>
      <c r="AB7" s="168">
        <f t="shared" si="3"/>
        <v>0</v>
      </c>
      <c r="AC7" s="168">
        <f t="shared" si="3"/>
        <v>0</v>
      </c>
      <c r="AD7" s="168">
        <f t="shared" si="3"/>
        <v>0</v>
      </c>
      <c r="AR7" s="181" t="s">
        <v>730</v>
      </c>
      <c r="AT7" s="182" t="str">
        <f t="shared" si="1"/>
        <v>broutards</v>
      </c>
      <c r="AU7" s="166"/>
      <c r="AV7" s="168">
        <f>CdTrp1!B18</f>
        <v>32.799999999999997</v>
      </c>
      <c r="AW7" s="168">
        <f>CdTrp1!C18</f>
        <v>32.799999999999997</v>
      </c>
      <c r="AX7" s="168">
        <f>CdTrp1!D18</f>
        <v>32.799999999999997</v>
      </c>
      <c r="AY7" s="168">
        <f>CdTrp1!E18</f>
        <v>32.799999999999997</v>
      </c>
      <c r="AZ7" s="168">
        <f>CdTrp1!F18</f>
        <v>32.799999999999997</v>
      </c>
      <c r="BA7" s="168">
        <f>CdTrp1!G18</f>
        <v>32.799999999999997</v>
      </c>
      <c r="BB7" s="168">
        <f>CdTrp1!H18</f>
        <v>0</v>
      </c>
      <c r="BC7" s="168">
        <f>CdTrp1!I18</f>
        <v>0</v>
      </c>
      <c r="BD7" s="168">
        <f>CdTrp1!J18</f>
        <v>0</v>
      </c>
      <c r="BE7" s="168">
        <f>CdTrp1!K18</f>
        <v>0</v>
      </c>
      <c r="BF7" s="168">
        <f>CdTrp1!L18</f>
        <v>0</v>
      </c>
      <c r="BG7" s="168">
        <f>CdTrp1!M18</f>
        <v>0</v>
      </c>
      <c r="BH7" s="168">
        <f>CdTrp1!N18</f>
        <v>0</v>
      </c>
      <c r="BI7" s="168">
        <f>CdTrp1!O18</f>
        <v>0</v>
      </c>
      <c r="BJ7" s="168">
        <f>CdTrp1!P18</f>
        <v>0</v>
      </c>
      <c r="BK7" s="168">
        <f>CdTrp1!Q18</f>
        <v>0</v>
      </c>
      <c r="BL7" s="168">
        <f>CdTrp1!R18</f>
        <v>0</v>
      </c>
      <c r="BM7" s="168">
        <f>CdTrp1!S18</f>
        <v>0</v>
      </c>
      <c r="BN7" s="168">
        <f>CdTrp1!T18</f>
        <v>0</v>
      </c>
      <c r="BO7" s="168">
        <f>CdTrp1!U18</f>
        <v>29.6</v>
      </c>
      <c r="BP7" s="168">
        <f>CdTrp1!V18</f>
        <v>30.4</v>
      </c>
      <c r="BQ7" s="168">
        <f>CdTrp1!W18</f>
        <v>32.799999999999997</v>
      </c>
      <c r="BR7" s="168">
        <f>CdTrp1!X18</f>
        <v>32.799999999999997</v>
      </c>
      <c r="BS7" s="168">
        <f>CdTrp1!Y18</f>
        <v>32.799999999999997</v>
      </c>
      <c r="BZ7" s="182" t="str">
        <f>+CdTrp2!A18</f>
        <v>lot4</v>
      </c>
      <c r="CA7" s="166"/>
      <c r="CB7" s="168">
        <f>CdTrp2!B18</f>
        <v>0</v>
      </c>
      <c r="CC7" s="168">
        <f>CdTrp2!C18</f>
        <v>0</v>
      </c>
      <c r="CD7" s="168">
        <f>CdTrp2!D18</f>
        <v>0</v>
      </c>
      <c r="CE7" s="168">
        <f>CdTrp2!E18</f>
        <v>0</v>
      </c>
      <c r="CF7" s="168">
        <f>CdTrp2!F18</f>
        <v>0</v>
      </c>
      <c r="CG7" s="168">
        <f>CdTrp2!G18</f>
        <v>0</v>
      </c>
      <c r="CH7" s="168">
        <f>CdTrp2!H18</f>
        <v>0</v>
      </c>
      <c r="CI7" s="168">
        <f>CdTrp2!I18</f>
        <v>0</v>
      </c>
      <c r="CJ7" s="168">
        <f>CdTrp2!J18</f>
        <v>0</v>
      </c>
      <c r="CK7" s="168">
        <f>CdTrp2!K18</f>
        <v>0</v>
      </c>
      <c r="CL7" s="168">
        <f>CdTrp2!L18</f>
        <v>0</v>
      </c>
      <c r="CM7" s="168">
        <f>CdTrp2!M18</f>
        <v>0</v>
      </c>
      <c r="CN7" s="168">
        <f>CdTrp2!N18</f>
        <v>0</v>
      </c>
      <c r="CO7" s="168">
        <f>CdTrp2!O18</f>
        <v>0</v>
      </c>
      <c r="CP7" s="168">
        <f>CdTrp2!P18</f>
        <v>0</v>
      </c>
      <c r="CQ7" s="168">
        <f>CdTrp2!Q18</f>
        <v>0</v>
      </c>
      <c r="CR7" s="168">
        <f>CdTrp2!R18</f>
        <v>0</v>
      </c>
      <c r="CS7" s="168">
        <f>CdTrp2!S18</f>
        <v>0</v>
      </c>
      <c r="CT7" s="168">
        <f>CdTrp2!T18</f>
        <v>0</v>
      </c>
      <c r="CU7" s="168">
        <f>CdTrp2!U18</f>
        <v>0</v>
      </c>
      <c r="CV7" s="168">
        <f>CdTrp2!V18</f>
        <v>0</v>
      </c>
      <c r="CW7" s="168">
        <f>CdTrp2!W18</f>
        <v>0</v>
      </c>
      <c r="CX7" s="168">
        <f>CdTrp2!X18</f>
        <v>0</v>
      </c>
      <c r="CY7" s="168">
        <f>CdTrp2!Y18</f>
        <v>0</v>
      </c>
      <c r="DC7" s="182" t="str">
        <f>+CdTrp3!A18</f>
        <v>lot4</v>
      </c>
      <c r="DD7" s="166"/>
      <c r="DE7" s="168">
        <f>CdTrp3!B18</f>
        <v>0</v>
      </c>
      <c r="DF7" s="168">
        <f>CdTrp3!C18</f>
        <v>0</v>
      </c>
      <c r="DG7" s="168">
        <f>CdTrp3!D18</f>
        <v>0</v>
      </c>
      <c r="DH7" s="168">
        <f>CdTrp3!E18</f>
        <v>0</v>
      </c>
      <c r="DI7" s="168">
        <f>CdTrp3!F18</f>
        <v>0</v>
      </c>
      <c r="DJ7" s="168">
        <f>CdTrp3!G18</f>
        <v>0</v>
      </c>
      <c r="DK7" s="168">
        <f>CdTrp3!H18</f>
        <v>0</v>
      </c>
      <c r="DL7" s="168">
        <f>CdTrp3!I18</f>
        <v>0</v>
      </c>
      <c r="DM7" s="168">
        <f>CdTrp3!J18</f>
        <v>0</v>
      </c>
      <c r="DN7" s="168">
        <f>CdTrp3!K18</f>
        <v>0</v>
      </c>
      <c r="DO7" s="168">
        <f>CdTrp3!L18</f>
        <v>0</v>
      </c>
      <c r="DP7" s="168">
        <f>CdTrp3!M18</f>
        <v>0</v>
      </c>
      <c r="DQ7" s="168">
        <f>CdTrp3!N18</f>
        <v>0</v>
      </c>
      <c r="DR7" s="168">
        <f>CdTrp3!O18</f>
        <v>0</v>
      </c>
      <c r="DS7" s="168">
        <f>CdTrp3!P18</f>
        <v>0</v>
      </c>
      <c r="DT7" s="168">
        <f>CdTrp3!Q18</f>
        <v>0</v>
      </c>
      <c r="DU7" s="168">
        <f>CdTrp3!R18</f>
        <v>0</v>
      </c>
      <c r="DV7" s="168">
        <f>CdTrp3!S18</f>
        <v>0</v>
      </c>
      <c r="DW7" s="168">
        <f>CdTrp3!T18</f>
        <v>0</v>
      </c>
      <c r="DX7" s="168">
        <f>CdTrp3!U18</f>
        <v>0</v>
      </c>
      <c r="DY7" s="168">
        <f>CdTrp3!V18</f>
        <v>0</v>
      </c>
      <c r="DZ7" s="168">
        <f>CdTrp3!W18</f>
        <v>0</v>
      </c>
      <c r="EA7" s="168">
        <f>CdTrp3!X18</f>
        <v>0</v>
      </c>
      <c r="EB7" s="168">
        <f>CdTrp3!Y18</f>
        <v>0</v>
      </c>
    </row>
    <row r="8" spans="1:132" x14ac:dyDescent="0.25">
      <c r="A8" s="2" t="s">
        <v>734</v>
      </c>
      <c r="B8" s="2"/>
      <c r="C8" s="2"/>
      <c r="D8" s="23"/>
      <c r="E8" s="23"/>
      <c r="AR8" s="181" t="s">
        <v>730</v>
      </c>
      <c r="AT8" s="182" t="str">
        <f t="shared" si="1"/>
        <v>génisses &lt; 1 an</v>
      </c>
      <c r="AU8" s="166"/>
      <c r="AV8" s="168">
        <f>CdTrp1!B19</f>
        <v>0</v>
      </c>
      <c r="AW8" s="168">
        <f>CdTrp1!C19</f>
        <v>0</v>
      </c>
      <c r="AX8" s="168">
        <f>CdTrp1!D19</f>
        <v>1.5999999999999996</v>
      </c>
      <c r="AY8" s="168">
        <f>CdTrp1!E19</f>
        <v>2.4000000000000004</v>
      </c>
      <c r="AZ8" s="168">
        <f>CdTrp1!F19</f>
        <v>4</v>
      </c>
      <c r="BA8" s="168">
        <f>CdTrp1!G19</f>
        <v>6.4</v>
      </c>
      <c r="BB8" s="168">
        <f>CdTrp1!H19</f>
        <v>7.2000000000000011</v>
      </c>
      <c r="BC8" s="168">
        <f>CdTrp1!I19</f>
        <v>8.7999999999999989</v>
      </c>
      <c r="BD8" s="168">
        <f>CdTrp1!J19</f>
        <v>9.6</v>
      </c>
      <c r="BE8" s="168">
        <f>CdTrp1!K19</f>
        <v>9.6</v>
      </c>
      <c r="BF8" s="168">
        <f>CdTrp1!L19</f>
        <v>9.6</v>
      </c>
      <c r="BG8" s="168">
        <f>CdTrp1!M19</f>
        <v>9.6</v>
      </c>
      <c r="BH8" s="168">
        <f>CdTrp1!N19</f>
        <v>9.6</v>
      </c>
      <c r="BI8" s="168">
        <f>CdTrp1!O19</f>
        <v>9.6</v>
      </c>
      <c r="BJ8" s="168">
        <f>CdTrp1!P19</f>
        <v>9.6</v>
      </c>
      <c r="BK8" s="168">
        <f>CdTrp1!Q19</f>
        <v>9.6</v>
      </c>
      <c r="BL8" s="168">
        <f>CdTrp1!R19</f>
        <v>9.6</v>
      </c>
      <c r="BM8" s="168">
        <f>CdTrp1!S19</f>
        <v>9.6</v>
      </c>
      <c r="BN8" s="168">
        <f>CdTrp1!T19</f>
        <v>7.2000000000000011</v>
      </c>
      <c r="BO8" s="168">
        <f>CdTrp1!U19</f>
        <v>4.8000000000000007</v>
      </c>
      <c r="BP8" s="168">
        <f>CdTrp1!V19</f>
        <v>2.4000000000000004</v>
      </c>
      <c r="BQ8" s="168">
        <f>CdTrp1!W19</f>
        <v>0</v>
      </c>
      <c r="BR8" s="168">
        <f>CdTrp1!X19</f>
        <v>0</v>
      </c>
      <c r="BS8" s="168">
        <f>CdTrp1!Y19</f>
        <v>0</v>
      </c>
      <c r="BZ8" s="182" t="str">
        <f>+CdTrp2!A19</f>
        <v>lot5</v>
      </c>
      <c r="CA8" s="166"/>
      <c r="CB8" s="168">
        <f>CdTrp2!B19</f>
        <v>0</v>
      </c>
      <c r="CC8" s="168">
        <f>CdTrp2!C19</f>
        <v>0</v>
      </c>
      <c r="CD8" s="168">
        <f>CdTrp2!D19</f>
        <v>0</v>
      </c>
      <c r="CE8" s="168">
        <f>CdTrp2!E19</f>
        <v>0</v>
      </c>
      <c r="CF8" s="168">
        <f>CdTrp2!F19</f>
        <v>0</v>
      </c>
      <c r="CG8" s="168">
        <f>CdTrp2!G19</f>
        <v>0</v>
      </c>
      <c r="CH8" s="168">
        <f>CdTrp2!H19</f>
        <v>0</v>
      </c>
      <c r="CI8" s="168">
        <f>CdTrp2!I19</f>
        <v>0</v>
      </c>
      <c r="CJ8" s="168">
        <f>CdTrp2!J19</f>
        <v>0</v>
      </c>
      <c r="CK8" s="168">
        <f>CdTrp2!K19</f>
        <v>0</v>
      </c>
      <c r="CL8" s="168">
        <f>CdTrp2!L19</f>
        <v>0</v>
      </c>
      <c r="CM8" s="168">
        <f>CdTrp2!M19</f>
        <v>0</v>
      </c>
      <c r="CN8" s="168">
        <f>CdTrp2!N19</f>
        <v>0</v>
      </c>
      <c r="CO8" s="168">
        <f>CdTrp2!O19</f>
        <v>0</v>
      </c>
      <c r="CP8" s="168">
        <f>CdTrp2!P19</f>
        <v>0</v>
      </c>
      <c r="CQ8" s="168">
        <f>CdTrp2!Q19</f>
        <v>0</v>
      </c>
      <c r="CR8" s="168">
        <f>CdTrp2!R19</f>
        <v>0</v>
      </c>
      <c r="CS8" s="168">
        <f>CdTrp2!S19</f>
        <v>0</v>
      </c>
      <c r="CT8" s="168">
        <f>CdTrp2!T19</f>
        <v>0</v>
      </c>
      <c r="CU8" s="168">
        <f>CdTrp2!U19</f>
        <v>0</v>
      </c>
      <c r="CV8" s="168">
        <f>CdTrp2!V19</f>
        <v>0</v>
      </c>
      <c r="CW8" s="168">
        <f>CdTrp2!W19</f>
        <v>0</v>
      </c>
      <c r="CX8" s="168">
        <f>CdTrp2!X19</f>
        <v>0</v>
      </c>
      <c r="CY8" s="168">
        <f>CdTrp2!Y19</f>
        <v>0</v>
      </c>
      <c r="DC8" s="182" t="str">
        <f>+CdTrp3!A19</f>
        <v>lot5</v>
      </c>
      <c r="DD8" s="166"/>
      <c r="DE8" s="168">
        <f>CdTrp3!B19</f>
        <v>0</v>
      </c>
      <c r="DF8" s="168">
        <f>CdTrp3!C19</f>
        <v>0</v>
      </c>
      <c r="DG8" s="168">
        <f>CdTrp3!D19</f>
        <v>0</v>
      </c>
      <c r="DH8" s="168">
        <f>CdTrp3!E19</f>
        <v>0</v>
      </c>
      <c r="DI8" s="168">
        <f>CdTrp3!F19</f>
        <v>0</v>
      </c>
      <c r="DJ8" s="168">
        <f>CdTrp3!G19</f>
        <v>0</v>
      </c>
      <c r="DK8" s="168">
        <f>CdTrp3!H19</f>
        <v>0</v>
      </c>
      <c r="DL8" s="168">
        <f>CdTrp3!I19</f>
        <v>0</v>
      </c>
      <c r="DM8" s="168">
        <f>CdTrp3!J19</f>
        <v>0</v>
      </c>
      <c r="DN8" s="168">
        <f>CdTrp3!K19</f>
        <v>0</v>
      </c>
      <c r="DO8" s="168">
        <f>CdTrp3!L19</f>
        <v>0</v>
      </c>
      <c r="DP8" s="168">
        <f>CdTrp3!M19</f>
        <v>0</v>
      </c>
      <c r="DQ8" s="168">
        <f>CdTrp3!N19</f>
        <v>0</v>
      </c>
      <c r="DR8" s="168">
        <f>CdTrp3!O19</f>
        <v>0</v>
      </c>
      <c r="DS8" s="168">
        <f>CdTrp3!P19</f>
        <v>0</v>
      </c>
      <c r="DT8" s="168">
        <f>CdTrp3!Q19</f>
        <v>0</v>
      </c>
      <c r="DU8" s="168">
        <f>CdTrp3!R19</f>
        <v>0</v>
      </c>
      <c r="DV8" s="168">
        <f>CdTrp3!S19</f>
        <v>0</v>
      </c>
      <c r="DW8" s="168">
        <f>CdTrp3!T19</f>
        <v>0</v>
      </c>
      <c r="DX8" s="168">
        <f>CdTrp3!U19</f>
        <v>0</v>
      </c>
      <c r="DY8" s="168">
        <f>CdTrp3!V19</f>
        <v>0</v>
      </c>
      <c r="DZ8" s="168">
        <f>CdTrp3!W19</f>
        <v>0</v>
      </c>
      <c r="EA8" s="168">
        <f>CdTrp3!X19</f>
        <v>0</v>
      </c>
      <c r="EB8" s="168">
        <f>CdTrp3!Y19</f>
        <v>0</v>
      </c>
    </row>
    <row r="9" spans="1:132" x14ac:dyDescent="0.25">
      <c r="A9" t="s">
        <v>557</v>
      </c>
      <c r="F9" s="168">
        <f>SUM(G9:AD9)</f>
        <v>1204.9531199999992</v>
      </c>
      <c r="G9" s="30">
        <f>AV102</f>
        <v>59.488240000000005</v>
      </c>
      <c r="H9" s="30">
        <f t="shared" ref="H9:AD9" si="4">AW102</f>
        <v>59.488240000000005</v>
      </c>
      <c r="I9" s="30">
        <f t="shared" si="4"/>
        <v>59.862319999999997</v>
      </c>
      <c r="J9" s="30">
        <f t="shared" si="4"/>
        <v>60.049360000000007</v>
      </c>
      <c r="K9" s="30">
        <f t="shared" si="4"/>
        <v>52.754800000000003</v>
      </c>
      <c r="L9" s="30">
        <f t="shared" si="4"/>
        <v>53.315919999999998</v>
      </c>
      <c r="M9" s="30">
        <f t="shared" si="4"/>
        <v>43.589840000000002</v>
      </c>
      <c r="N9" s="30">
        <f t="shared" si="4"/>
        <v>43.963920000000002</v>
      </c>
      <c r="O9" s="30">
        <f t="shared" si="4"/>
        <v>44.150959999999998</v>
      </c>
      <c r="P9" s="30">
        <f t="shared" si="4"/>
        <v>44.150959999999998</v>
      </c>
      <c r="Q9" s="30">
        <f t="shared" si="4"/>
        <v>44.150959999999998</v>
      </c>
      <c r="R9" s="30">
        <f t="shared" si="4"/>
        <v>44.150959999999998</v>
      </c>
      <c r="S9" s="30">
        <f t="shared" si="4"/>
        <v>44.150959999999998</v>
      </c>
      <c r="T9" s="30">
        <f t="shared" si="4"/>
        <v>44.150959999999998</v>
      </c>
      <c r="U9" s="30">
        <f t="shared" si="4"/>
        <v>44.150959999999998</v>
      </c>
      <c r="V9" s="30">
        <f t="shared" si="4"/>
        <v>44.150959999999998</v>
      </c>
      <c r="W9" s="30">
        <f t="shared" si="4"/>
        <v>44.150959999999998</v>
      </c>
      <c r="X9" s="30">
        <f t="shared" si="4"/>
        <v>44.150959999999998</v>
      </c>
      <c r="Y9" s="30">
        <f t="shared" si="4"/>
        <v>43.589840000000002</v>
      </c>
      <c r="Z9" s="30">
        <f t="shared" si="4"/>
        <v>49.949200000000005</v>
      </c>
      <c r="AA9" s="30">
        <f t="shared" si="4"/>
        <v>58.927120000000002</v>
      </c>
      <c r="AB9" s="30">
        <f t="shared" si="4"/>
        <v>59.488240000000005</v>
      </c>
      <c r="AC9" s="30">
        <f t="shared" si="4"/>
        <v>59.488240000000005</v>
      </c>
      <c r="AD9" s="30">
        <f t="shared" si="4"/>
        <v>59.488240000000005</v>
      </c>
      <c r="AR9" s="181" t="s">
        <v>730</v>
      </c>
      <c r="AT9" s="182" t="str">
        <f t="shared" si="1"/>
        <v>lot6</v>
      </c>
      <c r="AU9" s="166"/>
      <c r="AV9" s="168">
        <f>CdTrp1!B20</f>
        <v>0</v>
      </c>
      <c r="AW9" s="168">
        <f>CdTrp1!C20</f>
        <v>0</v>
      </c>
      <c r="AX9" s="168">
        <f>CdTrp1!D20</f>
        <v>0</v>
      </c>
      <c r="AY9" s="168">
        <f>CdTrp1!E20</f>
        <v>0</v>
      </c>
      <c r="AZ9" s="168">
        <f>CdTrp1!F20</f>
        <v>0</v>
      </c>
      <c r="BA9" s="168">
        <f>CdTrp1!G20</f>
        <v>0</v>
      </c>
      <c r="BB9" s="168">
        <f>CdTrp1!H20</f>
        <v>0</v>
      </c>
      <c r="BC9" s="168">
        <f>CdTrp1!I20</f>
        <v>0</v>
      </c>
      <c r="BD9" s="168">
        <f>CdTrp1!J20</f>
        <v>0</v>
      </c>
      <c r="BE9" s="168">
        <f>CdTrp1!K20</f>
        <v>0</v>
      </c>
      <c r="BF9" s="168">
        <f>CdTrp1!L20</f>
        <v>0</v>
      </c>
      <c r="BG9" s="168">
        <f>CdTrp1!M20</f>
        <v>0</v>
      </c>
      <c r="BH9" s="168">
        <f>CdTrp1!N20</f>
        <v>0</v>
      </c>
      <c r="BI9" s="168">
        <f>CdTrp1!O20</f>
        <v>0</v>
      </c>
      <c r="BJ9" s="168">
        <f>CdTrp1!P20</f>
        <v>0</v>
      </c>
      <c r="BK9" s="168">
        <f>CdTrp1!Q20</f>
        <v>0</v>
      </c>
      <c r="BL9" s="168">
        <f>CdTrp1!R20</f>
        <v>0</v>
      </c>
      <c r="BM9" s="168">
        <f>CdTrp1!S20</f>
        <v>0</v>
      </c>
      <c r="BN9" s="168">
        <f>CdTrp1!T20</f>
        <v>0</v>
      </c>
      <c r="BO9" s="168">
        <f>CdTrp1!U20</f>
        <v>0</v>
      </c>
      <c r="BP9" s="168">
        <f>CdTrp1!V20</f>
        <v>0</v>
      </c>
      <c r="BQ9" s="168">
        <f>CdTrp1!W20</f>
        <v>0</v>
      </c>
      <c r="BR9" s="168">
        <f>CdTrp1!X20</f>
        <v>0</v>
      </c>
      <c r="BS9" s="168">
        <f>CdTrp1!Y20</f>
        <v>0</v>
      </c>
      <c r="BZ9" s="182" t="str">
        <f>+CdTrp2!A20</f>
        <v>lot6</v>
      </c>
      <c r="CA9" s="166"/>
      <c r="CB9" s="168">
        <f>CdTrp2!B20</f>
        <v>0</v>
      </c>
      <c r="CC9" s="168">
        <f>CdTrp2!C20</f>
        <v>0</v>
      </c>
      <c r="CD9" s="168">
        <f>CdTrp2!D20</f>
        <v>0</v>
      </c>
      <c r="CE9" s="168">
        <f>CdTrp2!E20</f>
        <v>0</v>
      </c>
      <c r="CF9" s="168">
        <f>CdTrp2!F20</f>
        <v>0</v>
      </c>
      <c r="CG9" s="168">
        <f>CdTrp2!G20</f>
        <v>0</v>
      </c>
      <c r="CH9" s="168">
        <f>CdTrp2!H20</f>
        <v>0</v>
      </c>
      <c r="CI9" s="168">
        <f>CdTrp2!I20</f>
        <v>0</v>
      </c>
      <c r="CJ9" s="168">
        <f>CdTrp2!J20</f>
        <v>0</v>
      </c>
      <c r="CK9" s="168">
        <f>CdTrp2!K20</f>
        <v>0</v>
      </c>
      <c r="CL9" s="168">
        <f>CdTrp2!L20</f>
        <v>0</v>
      </c>
      <c r="CM9" s="168">
        <f>CdTrp2!M20</f>
        <v>0</v>
      </c>
      <c r="CN9" s="168">
        <f>CdTrp2!N20</f>
        <v>0</v>
      </c>
      <c r="CO9" s="168">
        <f>CdTrp2!O20</f>
        <v>0</v>
      </c>
      <c r="CP9" s="168">
        <f>CdTrp2!P20</f>
        <v>0</v>
      </c>
      <c r="CQ9" s="168">
        <f>CdTrp2!Q20</f>
        <v>0</v>
      </c>
      <c r="CR9" s="168">
        <f>CdTrp2!R20</f>
        <v>0</v>
      </c>
      <c r="CS9" s="168">
        <f>CdTrp2!S20</f>
        <v>0</v>
      </c>
      <c r="CT9" s="168">
        <f>CdTrp2!T20</f>
        <v>0</v>
      </c>
      <c r="CU9" s="168">
        <f>CdTrp2!U20</f>
        <v>0</v>
      </c>
      <c r="CV9" s="168">
        <f>CdTrp2!V20</f>
        <v>0</v>
      </c>
      <c r="CW9" s="168">
        <f>CdTrp2!W20</f>
        <v>0</v>
      </c>
      <c r="CX9" s="168">
        <f>CdTrp2!X20</f>
        <v>0</v>
      </c>
      <c r="CY9" s="168">
        <f>CdTrp2!Y20</f>
        <v>0</v>
      </c>
      <c r="DC9" s="182" t="str">
        <f>+CdTrp3!A20</f>
        <v>lot6</v>
      </c>
      <c r="DD9" s="166"/>
      <c r="DE9" s="168">
        <f>CdTrp3!B20</f>
        <v>0</v>
      </c>
      <c r="DF9" s="168">
        <f>CdTrp3!C20</f>
        <v>0</v>
      </c>
      <c r="DG9" s="168">
        <f>CdTrp3!D20</f>
        <v>0</v>
      </c>
      <c r="DH9" s="168">
        <f>CdTrp3!E20</f>
        <v>0</v>
      </c>
      <c r="DI9" s="168">
        <f>CdTrp3!F20</f>
        <v>0</v>
      </c>
      <c r="DJ9" s="168">
        <f>CdTrp3!G20</f>
        <v>0</v>
      </c>
      <c r="DK9" s="168">
        <f>CdTrp3!H20</f>
        <v>0</v>
      </c>
      <c r="DL9" s="168">
        <f>CdTrp3!I20</f>
        <v>0</v>
      </c>
      <c r="DM9" s="168">
        <f>CdTrp3!J20</f>
        <v>0</v>
      </c>
      <c r="DN9" s="168">
        <f>CdTrp3!K20</f>
        <v>0</v>
      </c>
      <c r="DO9" s="168">
        <f>CdTrp3!L20</f>
        <v>0</v>
      </c>
      <c r="DP9" s="168">
        <f>CdTrp3!M20</f>
        <v>0</v>
      </c>
      <c r="DQ9" s="168">
        <f>CdTrp3!N20</f>
        <v>0</v>
      </c>
      <c r="DR9" s="168">
        <f>CdTrp3!O20</f>
        <v>0</v>
      </c>
      <c r="DS9" s="168">
        <f>CdTrp3!P20</f>
        <v>0</v>
      </c>
      <c r="DT9" s="168">
        <f>CdTrp3!Q20</f>
        <v>0</v>
      </c>
      <c r="DU9" s="168">
        <f>CdTrp3!R20</f>
        <v>0</v>
      </c>
      <c r="DV9" s="168">
        <f>CdTrp3!S20</f>
        <v>0</v>
      </c>
      <c r="DW9" s="168">
        <f>CdTrp3!T20</f>
        <v>0</v>
      </c>
      <c r="DX9" s="168">
        <f>CdTrp3!U20</f>
        <v>0</v>
      </c>
      <c r="DY9" s="168">
        <f>CdTrp3!V20</f>
        <v>0</v>
      </c>
      <c r="DZ9" s="168">
        <f>CdTrp3!W20</f>
        <v>0</v>
      </c>
      <c r="EA9" s="168">
        <f>CdTrp3!X20</f>
        <v>0</v>
      </c>
      <c r="EB9" s="168">
        <f>CdTrp3!Y20</f>
        <v>0</v>
      </c>
    </row>
    <row r="10" spans="1:132" x14ac:dyDescent="0.25">
      <c r="A10" t="s">
        <v>588</v>
      </c>
      <c r="F10" s="168">
        <f t="shared" ref="F10:F13" si="5">SUM(G10:AD10)</f>
        <v>0</v>
      </c>
      <c r="G10" s="30">
        <f>CB102</f>
        <v>0</v>
      </c>
      <c r="H10" s="30">
        <f t="shared" ref="H10:AD10" si="6">CC102</f>
        <v>0</v>
      </c>
      <c r="I10" s="30">
        <f t="shared" si="6"/>
        <v>0</v>
      </c>
      <c r="J10" s="30">
        <f t="shared" si="6"/>
        <v>0</v>
      </c>
      <c r="K10" s="30">
        <f t="shared" si="6"/>
        <v>0</v>
      </c>
      <c r="L10" s="30">
        <f t="shared" si="6"/>
        <v>0</v>
      </c>
      <c r="M10" s="30">
        <f t="shared" si="6"/>
        <v>0</v>
      </c>
      <c r="N10" s="30">
        <f t="shared" si="6"/>
        <v>0</v>
      </c>
      <c r="O10" s="30">
        <f t="shared" si="6"/>
        <v>0</v>
      </c>
      <c r="P10" s="30">
        <f t="shared" si="6"/>
        <v>0</v>
      </c>
      <c r="Q10" s="30">
        <f t="shared" si="6"/>
        <v>0</v>
      </c>
      <c r="R10" s="30">
        <f t="shared" si="6"/>
        <v>0</v>
      </c>
      <c r="S10" s="30">
        <f t="shared" si="6"/>
        <v>0</v>
      </c>
      <c r="T10" s="30">
        <f t="shared" si="6"/>
        <v>0</v>
      </c>
      <c r="U10" s="30">
        <f t="shared" si="6"/>
        <v>0</v>
      </c>
      <c r="V10" s="30">
        <f t="shared" si="6"/>
        <v>0</v>
      </c>
      <c r="W10" s="30">
        <f t="shared" si="6"/>
        <v>0</v>
      </c>
      <c r="X10" s="30">
        <f t="shared" si="6"/>
        <v>0</v>
      </c>
      <c r="Y10" s="30">
        <f t="shared" si="6"/>
        <v>0</v>
      </c>
      <c r="Z10" s="30">
        <f t="shared" si="6"/>
        <v>0</v>
      </c>
      <c r="AA10" s="30">
        <f t="shared" si="6"/>
        <v>0</v>
      </c>
      <c r="AB10" s="30">
        <f t="shared" si="6"/>
        <v>0</v>
      </c>
      <c r="AC10" s="30">
        <f t="shared" si="6"/>
        <v>0</v>
      </c>
      <c r="AD10" s="30">
        <f t="shared" si="6"/>
        <v>0</v>
      </c>
      <c r="AR10" s="181" t="s">
        <v>730</v>
      </c>
      <c r="AT10" s="182" t="str">
        <f t="shared" si="1"/>
        <v>lot7</v>
      </c>
      <c r="AU10" s="166"/>
      <c r="AV10" s="168">
        <f>CdTrp1!B21</f>
        <v>0</v>
      </c>
      <c r="AW10" s="168">
        <f>CdTrp1!C21</f>
        <v>0</v>
      </c>
      <c r="AX10" s="168">
        <f>CdTrp1!D21</f>
        <v>0</v>
      </c>
      <c r="AY10" s="168">
        <f>CdTrp1!E21</f>
        <v>0</v>
      </c>
      <c r="AZ10" s="168">
        <f>CdTrp1!F21</f>
        <v>0</v>
      </c>
      <c r="BA10" s="168">
        <f>CdTrp1!G21</f>
        <v>0</v>
      </c>
      <c r="BB10" s="168">
        <f>CdTrp1!H21</f>
        <v>0</v>
      </c>
      <c r="BC10" s="168">
        <f>CdTrp1!I21</f>
        <v>0</v>
      </c>
      <c r="BD10" s="168">
        <f>CdTrp1!J21</f>
        <v>0</v>
      </c>
      <c r="BE10" s="168">
        <f>CdTrp1!K21</f>
        <v>0</v>
      </c>
      <c r="BF10" s="168">
        <f>CdTrp1!L21</f>
        <v>0</v>
      </c>
      <c r="BG10" s="168">
        <f>CdTrp1!M21</f>
        <v>0</v>
      </c>
      <c r="BH10" s="168">
        <f>CdTrp1!N21</f>
        <v>0</v>
      </c>
      <c r="BI10" s="168">
        <f>CdTrp1!O21</f>
        <v>0</v>
      </c>
      <c r="BJ10" s="168">
        <f>CdTrp1!P21</f>
        <v>0</v>
      </c>
      <c r="BK10" s="168">
        <f>CdTrp1!Q21</f>
        <v>0</v>
      </c>
      <c r="BL10" s="168">
        <f>CdTrp1!R21</f>
        <v>0</v>
      </c>
      <c r="BM10" s="168">
        <f>CdTrp1!S21</f>
        <v>0</v>
      </c>
      <c r="BN10" s="168">
        <f>CdTrp1!T21</f>
        <v>0</v>
      </c>
      <c r="BO10" s="168">
        <f>CdTrp1!U21</f>
        <v>0</v>
      </c>
      <c r="BP10" s="168">
        <f>CdTrp1!V21</f>
        <v>0</v>
      </c>
      <c r="BQ10" s="168">
        <f>CdTrp1!W21</f>
        <v>0</v>
      </c>
      <c r="BR10" s="168">
        <f>CdTrp1!X21</f>
        <v>0</v>
      </c>
      <c r="BS10" s="168">
        <f>CdTrp1!Y21</f>
        <v>0</v>
      </c>
      <c r="BZ10" s="182" t="str">
        <f>+CdTrp2!A21</f>
        <v>lot7</v>
      </c>
      <c r="CA10" s="166"/>
      <c r="CB10" s="168">
        <f>CdTrp2!B21</f>
        <v>0</v>
      </c>
      <c r="CC10" s="168">
        <f>CdTrp2!C21</f>
        <v>0</v>
      </c>
      <c r="CD10" s="168">
        <f>CdTrp2!D21</f>
        <v>0</v>
      </c>
      <c r="CE10" s="168">
        <f>CdTrp2!E21</f>
        <v>0</v>
      </c>
      <c r="CF10" s="168">
        <f>CdTrp2!F21</f>
        <v>0</v>
      </c>
      <c r="CG10" s="168">
        <f>CdTrp2!G21</f>
        <v>0</v>
      </c>
      <c r="CH10" s="168">
        <f>CdTrp2!H21</f>
        <v>0</v>
      </c>
      <c r="CI10" s="168">
        <f>CdTrp2!I21</f>
        <v>0</v>
      </c>
      <c r="CJ10" s="168">
        <f>CdTrp2!J21</f>
        <v>0</v>
      </c>
      <c r="CK10" s="168">
        <f>CdTrp2!K21</f>
        <v>0</v>
      </c>
      <c r="CL10" s="168">
        <f>CdTrp2!L21</f>
        <v>0</v>
      </c>
      <c r="CM10" s="168">
        <f>CdTrp2!M21</f>
        <v>0</v>
      </c>
      <c r="CN10" s="168">
        <f>CdTrp2!N21</f>
        <v>0</v>
      </c>
      <c r="CO10" s="168">
        <f>CdTrp2!O21</f>
        <v>0</v>
      </c>
      <c r="CP10" s="168">
        <f>CdTrp2!P21</f>
        <v>0</v>
      </c>
      <c r="CQ10" s="168">
        <f>CdTrp2!Q21</f>
        <v>0</v>
      </c>
      <c r="CR10" s="168">
        <f>CdTrp2!R21</f>
        <v>0</v>
      </c>
      <c r="CS10" s="168">
        <f>CdTrp2!S21</f>
        <v>0</v>
      </c>
      <c r="CT10" s="168">
        <f>CdTrp2!T21</f>
        <v>0</v>
      </c>
      <c r="CU10" s="168">
        <f>CdTrp2!U21</f>
        <v>0</v>
      </c>
      <c r="CV10" s="168">
        <f>CdTrp2!V21</f>
        <v>0</v>
      </c>
      <c r="CW10" s="168">
        <f>CdTrp2!W21</f>
        <v>0</v>
      </c>
      <c r="CX10" s="168">
        <f>CdTrp2!X21</f>
        <v>0</v>
      </c>
      <c r="CY10" s="168">
        <f>CdTrp2!Y21</f>
        <v>0</v>
      </c>
      <c r="DC10" s="182" t="str">
        <f>+CdTrp3!A21</f>
        <v>lot7</v>
      </c>
      <c r="DD10" s="166"/>
      <c r="DE10" s="168">
        <f>CdTrp3!B21</f>
        <v>0</v>
      </c>
      <c r="DF10" s="168">
        <f>CdTrp3!C21</f>
        <v>0</v>
      </c>
      <c r="DG10" s="168">
        <f>CdTrp3!D21</f>
        <v>0</v>
      </c>
      <c r="DH10" s="168">
        <f>CdTrp3!E21</f>
        <v>0</v>
      </c>
      <c r="DI10" s="168">
        <f>CdTrp3!F21</f>
        <v>0</v>
      </c>
      <c r="DJ10" s="168">
        <f>CdTrp3!G21</f>
        <v>0</v>
      </c>
      <c r="DK10" s="168">
        <f>CdTrp3!H21</f>
        <v>0</v>
      </c>
      <c r="DL10" s="168">
        <f>CdTrp3!I21</f>
        <v>0</v>
      </c>
      <c r="DM10" s="168">
        <f>CdTrp3!J21</f>
        <v>0</v>
      </c>
      <c r="DN10" s="168">
        <f>CdTrp3!K21</f>
        <v>0</v>
      </c>
      <c r="DO10" s="168">
        <f>CdTrp3!L21</f>
        <v>0</v>
      </c>
      <c r="DP10" s="168">
        <f>CdTrp3!M21</f>
        <v>0</v>
      </c>
      <c r="DQ10" s="168">
        <f>CdTrp3!N21</f>
        <v>0</v>
      </c>
      <c r="DR10" s="168">
        <f>CdTrp3!O21</f>
        <v>0</v>
      </c>
      <c r="DS10" s="168">
        <f>CdTrp3!P21</f>
        <v>0</v>
      </c>
      <c r="DT10" s="168">
        <f>CdTrp3!Q21</f>
        <v>0</v>
      </c>
      <c r="DU10" s="168">
        <f>CdTrp3!R21</f>
        <v>0</v>
      </c>
      <c r="DV10" s="168">
        <f>CdTrp3!S21</f>
        <v>0</v>
      </c>
      <c r="DW10" s="168">
        <f>CdTrp3!T21</f>
        <v>0</v>
      </c>
      <c r="DX10" s="168">
        <f>CdTrp3!U21</f>
        <v>0</v>
      </c>
      <c r="DY10" s="168">
        <f>CdTrp3!V21</f>
        <v>0</v>
      </c>
      <c r="DZ10" s="168">
        <f>CdTrp3!W21</f>
        <v>0</v>
      </c>
      <c r="EA10" s="168">
        <f>CdTrp3!X21</f>
        <v>0</v>
      </c>
      <c r="EB10" s="168">
        <f>CdTrp3!Y21</f>
        <v>0</v>
      </c>
    </row>
    <row r="11" spans="1:132" x14ac:dyDescent="0.25">
      <c r="A11" t="s">
        <v>721</v>
      </c>
      <c r="F11" s="168">
        <f t="shared" si="5"/>
        <v>0</v>
      </c>
      <c r="G11" s="30">
        <f>DE102</f>
        <v>0</v>
      </c>
      <c r="H11" s="30">
        <f t="shared" ref="H11:AD11" si="7">DF102</f>
        <v>0</v>
      </c>
      <c r="I11" s="30">
        <f t="shared" si="7"/>
        <v>0</v>
      </c>
      <c r="J11" s="30">
        <f t="shared" si="7"/>
        <v>0</v>
      </c>
      <c r="K11" s="30">
        <f t="shared" si="7"/>
        <v>0</v>
      </c>
      <c r="L11" s="30">
        <f t="shared" si="7"/>
        <v>0</v>
      </c>
      <c r="M11" s="30">
        <f t="shared" si="7"/>
        <v>0</v>
      </c>
      <c r="N11" s="30">
        <f t="shared" si="7"/>
        <v>0</v>
      </c>
      <c r="O11" s="30">
        <f t="shared" si="7"/>
        <v>0</v>
      </c>
      <c r="P11" s="30">
        <f t="shared" si="7"/>
        <v>0</v>
      </c>
      <c r="Q11" s="30">
        <f t="shared" si="7"/>
        <v>0</v>
      </c>
      <c r="R11" s="30">
        <f t="shared" si="7"/>
        <v>0</v>
      </c>
      <c r="S11" s="30">
        <f t="shared" si="7"/>
        <v>0</v>
      </c>
      <c r="T11" s="30">
        <f t="shared" si="7"/>
        <v>0</v>
      </c>
      <c r="U11" s="30">
        <f t="shared" si="7"/>
        <v>0</v>
      </c>
      <c r="V11" s="30">
        <f t="shared" si="7"/>
        <v>0</v>
      </c>
      <c r="W11" s="30">
        <f t="shared" si="7"/>
        <v>0</v>
      </c>
      <c r="X11" s="30">
        <f t="shared" si="7"/>
        <v>0</v>
      </c>
      <c r="Y11" s="30">
        <f t="shared" si="7"/>
        <v>0</v>
      </c>
      <c r="Z11" s="30">
        <f t="shared" si="7"/>
        <v>0</v>
      </c>
      <c r="AA11" s="30">
        <f t="shared" si="7"/>
        <v>0</v>
      </c>
      <c r="AB11" s="30">
        <f t="shared" si="7"/>
        <v>0</v>
      </c>
      <c r="AC11" s="30">
        <f t="shared" si="7"/>
        <v>0</v>
      </c>
      <c r="AD11" s="30">
        <f t="shared" si="7"/>
        <v>0</v>
      </c>
      <c r="AR11" s="181" t="s">
        <v>730</v>
      </c>
      <c r="AT11" s="182" t="str">
        <f t="shared" si="1"/>
        <v>lot8</v>
      </c>
      <c r="AU11" s="166"/>
      <c r="AV11" s="168">
        <f>CdTrp1!B22</f>
        <v>0</v>
      </c>
      <c r="AW11" s="168">
        <f>CdTrp1!C22</f>
        <v>0</v>
      </c>
      <c r="AX11" s="168">
        <f>CdTrp1!D22</f>
        <v>0</v>
      </c>
      <c r="AY11" s="168">
        <f>CdTrp1!E22</f>
        <v>0</v>
      </c>
      <c r="AZ11" s="168">
        <f>CdTrp1!F22</f>
        <v>0</v>
      </c>
      <c r="BA11" s="168">
        <f>CdTrp1!G22</f>
        <v>0</v>
      </c>
      <c r="BB11" s="168">
        <f>CdTrp1!H22</f>
        <v>0</v>
      </c>
      <c r="BC11" s="168">
        <f>CdTrp1!I22</f>
        <v>0</v>
      </c>
      <c r="BD11" s="168">
        <f>CdTrp1!J22</f>
        <v>0</v>
      </c>
      <c r="BE11" s="168">
        <f>CdTrp1!K22</f>
        <v>0</v>
      </c>
      <c r="BF11" s="168">
        <f>CdTrp1!L22</f>
        <v>0</v>
      </c>
      <c r="BG11" s="168">
        <f>CdTrp1!M22</f>
        <v>0</v>
      </c>
      <c r="BH11" s="168">
        <f>CdTrp1!N22</f>
        <v>0</v>
      </c>
      <c r="BI11" s="168">
        <f>CdTrp1!O22</f>
        <v>0</v>
      </c>
      <c r="BJ11" s="168">
        <f>CdTrp1!P22</f>
        <v>0</v>
      </c>
      <c r="BK11" s="168">
        <f>CdTrp1!Q22</f>
        <v>0</v>
      </c>
      <c r="BL11" s="168">
        <f>CdTrp1!R22</f>
        <v>0</v>
      </c>
      <c r="BM11" s="168">
        <f>CdTrp1!S22</f>
        <v>0</v>
      </c>
      <c r="BN11" s="168">
        <f>CdTrp1!T22</f>
        <v>0</v>
      </c>
      <c r="BO11" s="168">
        <f>CdTrp1!U22</f>
        <v>0</v>
      </c>
      <c r="BP11" s="168">
        <f>CdTrp1!V22</f>
        <v>0</v>
      </c>
      <c r="BQ11" s="168">
        <f>CdTrp1!W22</f>
        <v>0</v>
      </c>
      <c r="BR11" s="168">
        <f>CdTrp1!X22</f>
        <v>0</v>
      </c>
      <c r="BS11" s="168">
        <f>CdTrp1!Y22</f>
        <v>0</v>
      </c>
      <c r="BZ11" s="182" t="str">
        <f>+CdTrp2!A22</f>
        <v>lot8</v>
      </c>
      <c r="CA11" s="166"/>
      <c r="CB11" s="168">
        <f>CdTrp2!B22</f>
        <v>0</v>
      </c>
      <c r="CC11" s="168">
        <f>CdTrp2!C22</f>
        <v>0</v>
      </c>
      <c r="CD11" s="168">
        <f>CdTrp2!D22</f>
        <v>0</v>
      </c>
      <c r="CE11" s="168">
        <f>CdTrp2!E22</f>
        <v>0</v>
      </c>
      <c r="CF11" s="168">
        <f>CdTrp2!F22</f>
        <v>0</v>
      </c>
      <c r="CG11" s="168">
        <f>CdTrp2!G22</f>
        <v>0</v>
      </c>
      <c r="CH11" s="168">
        <f>CdTrp2!H22</f>
        <v>0</v>
      </c>
      <c r="CI11" s="168">
        <f>CdTrp2!I22</f>
        <v>0</v>
      </c>
      <c r="CJ11" s="168">
        <f>CdTrp2!J22</f>
        <v>0</v>
      </c>
      <c r="CK11" s="168">
        <f>CdTrp2!K22</f>
        <v>0</v>
      </c>
      <c r="CL11" s="168">
        <f>CdTrp2!L22</f>
        <v>0</v>
      </c>
      <c r="CM11" s="168">
        <f>CdTrp2!M22</f>
        <v>0</v>
      </c>
      <c r="CN11" s="168">
        <f>CdTrp2!N22</f>
        <v>0</v>
      </c>
      <c r="CO11" s="168">
        <f>CdTrp2!O22</f>
        <v>0</v>
      </c>
      <c r="CP11" s="168">
        <f>CdTrp2!P22</f>
        <v>0</v>
      </c>
      <c r="CQ11" s="168">
        <f>CdTrp2!Q22</f>
        <v>0</v>
      </c>
      <c r="CR11" s="168">
        <f>CdTrp2!R22</f>
        <v>0</v>
      </c>
      <c r="CS11" s="168">
        <f>CdTrp2!S22</f>
        <v>0</v>
      </c>
      <c r="CT11" s="168">
        <f>CdTrp2!T22</f>
        <v>0</v>
      </c>
      <c r="CU11" s="168">
        <f>CdTrp2!U22</f>
        <v>0</v>
      </c>
      <c r="CV11" s="168">
        <f>CdTrp2!V22</f>
        <v>0</v>
      </c>
      <c r="CW11" s="168">
        <f>CdTrp2!W22</f>
        <v>0</v>
      </c>
      <c r="CX11" s="168">
        <f>CdTrp2!X22</f>
        <v>0</v>
      </c>
      <c r="CY11" s="168">
        <f>CdTrp2!Y22</f>
        <v>0</v>
      </c>
      <c r="DC11" s="182" t="str">
        <f>+CdTrp3!A22</f>
        <v>lot8</v>
      </c>
      <c r="DD11" s="166"/>
      <c r="DE11" s="168">
        <f>CdTrp3!B22</f>
        <v>0</v>
      </c>
      <c r="DF11" s="168">
        <f>CdTrp3!C22</f>
        <v>0</v>
      </c>
      <c r="DG11" s="168">
        <f>CdTrp3!D22</f>
        <v>0</v>
      </c>
      <c r="DH11" s="168">
        <f>CdTrp3!E22</f>
        <v>0</v>
      </c>
      <c r="DI11" s="168">
        <f>CdTrp3!F22</f>
        <v>0</v>
      </c>
      <c r="DJ11" s="168">
        <f>CdTrp3!G22</f>
        <v>0</v>
      </c>
      <c r="DK11" s="168">
        <f>CdTrp3!H22</f>
        <v>0</v>
      </c>
      <c r="DL11" s="168">
        <f>CdTrp3!I22</f>
        <v>0</v>
      </c>
      <c r="DM11" s="168">
        <f>CdTrp3!J22</f>
        <v>0</v>
      </c>
      <c r="DN11" s="168">
        <f>CdTrp3!K22</f>
        <v>0</v>
      </c>
      <c r="DO11" s="168">
        <f>CdTrp3!L22</f>
        <v>0</v>
      </c>
      <c r="DP11" s="168">
        <f>CdTrp3!M22</f>
        <v>0</v>
      </c>
      <c r="DQ11" s="168">
        <f>CdTrp3!N22</f>
        <v>0</v>
      </c>
      <c r="DR11" s="168">
        <f>CdTrp3!O22</f>
        <v>0</v>
      </c>
      <c r="DS11" s="168">
        <f>CdTrp3!P22</f>
        <v>0</v>
      </c>
      <c r="DT11" s="168">
        <f>CdTrp3!Q22</f>
        <v>0</v>
      </c>
      <c r="DU11" s="168">
        <f>CdTrp3!R22</f>
        <v>0</v>
      </c>
      <c r="DV11" s="168">
        <f>CdTrp3!S22</f>
        <v>0</v>
      </c>
      <c r="DW11" s="168">
        <f>CdTrp3!T22</f>
        <v>0</v>
      </c>
      <c r="DX11" s="168">
        <f>CdTrp3!U22</f>
        <v>0</v>
      </c>
      <c r="DY11" s="168">
        <f>CdTrp3!V22</f>
        <v>0</v>
      </c>
      <c r="DZ11" s="168">
        <f>CdTrp3!W22</f>
        <v>0</v>
      </c>
      <c r="EA11" s="168">
        <f>CdTrp3!X22</f>
        <v>0</v>
      </c>
      <c r="EB11" s="168">
        <f>CdTrp3!Y22</f>
        <v>0</v>
      </c>
    </row>
    <row r="12" spans="1:132" x14ac:dyDescent="0.25">
      <c r="AR12" s="181" t="s">
        <v>730</v>
      </c>
      <c r="AT12" s="182" t="str">
        <f t="shared" si="1"/>
        <v>lot9</v>
      </c>
      <c r="AU12" s="166"/>
      <c r="AV12" s="168">
        <f>CdTrp1!B23</f>
        <v>0</v>
      </c>
      <c r="AW12" s="168">
        <f>CdTrp1!C23</f>
        <v>0</v>
      </c>
      <c r="AX12" s="168">
        <f>CdTrp1!D23</f>
        <v>0</v>
      </c>
      <c r="AY12" s="168">
        <f>CdTrp1!E23</f>
        <v>0</v>
      </c>
      <c r="AZ12" s="168">
        <f>CdTrp1!F23</f>
        <v>0</v>
      </c>
      <c r="BA12" s="168">
        <f>CdTrp1!G23</f>
        <v>0</v>
      </c>
      <c r="BB12" s="168">
        <f>CdTrp1!H23</f>
        <v>0</v>
      </c>
      <c r="BC12" s="168">
        <f>CdTrp1!I23</f>
        <v>0</v>
      </c>
      <c r="BD12" s="168">
        <f>CdTrp1!J23</f>
        <v>0</v>
      </c>
      <c r="BE12" s="168">
        <f>CdTrp1!K23</f>
        <v>0</v>
      </c>
      <c r="BF12" s="168">
        <f>CdTrp1!L23</f>
        <v>0</v>
      </c>
      <c r="BG12" s="168">
        <f>CdTrp1!M23</f>
        <v>0</v>
      </c>
      <c r="BH12" s="168">
        <f>CdTrp1!N23</f>
        <v>0</v>
      </c>
      <c r="BI12" s="168">
        <f>CdTrp1!O23</f>
        <v>0</v>
      </c>
      <c r="BJ12" s="168">
        <f>CdTrp1!P23</f>
        <v>0</v>
      </c>
      <c r="BK12" s="168">
        <f>CdTrp1!Q23</f>
        <v>0</v>
      </c>
      <c r="BL12" s="168">
        <f>CdTrp1!R23</f>
        <v>0</v>
      </c>
      <c r="BM12" s="168">
        <f>CdTrp1!S23</f>
        <v>0</v>
      </c>
      <c r="BN12" s="168">
        <f>CdTrp1!T23</f>
        <v>0</v>
      </c>
      <c r="BO12" s="168">
        <f>CdTrp1!U23</f>
        <v>0</v>
      </c>
      <c r="BP12" s="168">
        <f>CdTrp1!V23</f>
        <v>0</v>
      </c>
      <c r="BQ12" s="168">
        <f>CdTrp1!W23</f>
        <v>0</v>
      </c>
      <c r="BR12" s="168">
        <f>CdTrp1!X23</f>
        <v>0</v>
      </c>
      <c r="BS12" s="168">
        <f>CdTrp1!Y23</f>
        <v>0</v>
      </c>
      <c r="BZ12" s="182" t="str">
        <f>+CdTrp2!A23</f>
        <v>lot9</v>
      </c>
      <c r="CA12" s="166"/>
      <c r="CB12" s="168">
        <f>CdTrp2!B23</f>
        <v>0</v>
      </c>
      <c r="CC12" s="168">
        <f>CdTrp2!C23</f>
        <v>0</v>
      </c>
      <c r="CD12" s="168">
        <f>CdTrp2!D23</f>
        <v>0</v>
      </c>
      <c r="CE12" s="168">
        <f>CdTrp2!E23</f>
        <v>0</v>
      </c>
      <c r="CF12" s="168">
        <f>CdTrp2!F23</f>
        <v>0</v>
      </c>
      <c r="CG12" s="168">
        <f>CdTrp2!G23</f>
        <v>0</v>
      </c>
      <c r="CH12" s="168">
        <f>CdTrp2!H23</f>
        <v>0</v>
      </c>
      <c r="CI12" s="168">
        <f>CdTrp2!I23</f>
        <v>0</v>
      </c>
      <c r="CJ12" s="168">
        <f>CdTrp2!J23</f>
        <v>0</v>
      </c>
      <c r="CK12" s="168">
        <f>CdTrp2!K23</f>
        <v>0</v>
      </c>
      <c r="CL12" s="168">
        <f>CdTrp2!L23</f>
        <v>0</v>
      </c>
      <c r="CM12" s="168">
        <f>CdTrp2!M23</f>
        <v>0</v>
      </c>
      <c r="CN12" s="168">
        <f>CdTrp2!N23</f>
        <v>0</v>
      </c>
      <c r="CO12" s="168">
        <f>CdTrp2!O23</f>
        <v>0</v>
      </c>
      <c r="CP12" s="168">
        <f>CdTrp2!P23</f>
        <v>0</v>
      </c>
      <c r="CQ12" s="168">
        <f>CdTrp2!Q23</f>
        <v>0</v>
      </c>
      <c r="CR12" s="168">
        <f>CdTrp2!R23</f>
        <v>0</v>
      </c>
      <c r="CS12" s="168">
        <f>CdTrp2!S23</f>
        <v>0</v>
      </c>
      <c r="CT12" s="168">
        <f>CdTrp2!T23</f>
        <v>0</v>
      </c>
      <c r="CU12" s="168">
        <f>CdTrp2!U23</f>
        <v>0</v>
      </c>
      <c r="CV12" s="168">
        <f>CdTrp2!V23</f>
        <v>0</v>
      </c>
      <c r="CW12" s="168">
        <f>CdTrp2!W23</f>
        <v>0</v>
      </c>
      <c r="CX12" s="168">
        <f>CdTrp2!X23</f>
        <v>0</v>
      </c>
      <c r="CY12" s="168">
        <f>CdTrp2!Y23</f>
        <v>0</v>
      </c>
      <c r="DC12" s="182" t="str">
        <f>+CdTrp3!A23</f>
        <v>lot9</v>
      </c>
      <c r="DD12" s="166"/>
      <c r="DE12" s="168">
        <f>CdTrp3!B23</f>
        <v>0</v>
      </c>
      <c r="DF12" s="168">
        <f>CdTrp3!C23</f>
        <v>0</v>
      </c>
      <c r="DG12" s="168">
        <f>CdTrp3!D23</f>
        <v>0</v>
      </c>
      <c r="DH12" s="168">
        <f>CdTrp3!E23</f>
        <v>0</v>
      </c>
      <c r="DI12" s="168">
        <f>CdTrp3!F23</f>
        <v>0</v>
      </c>
      <c r="DJ12" s="168">
        <f>CdTrp3!G23</f>
        <v>0</v>
      </c>
      <c r="DK12" s="168">
        <f>CdTrp3!H23</f>
        <v>0</v>
      </c>
      <c r="DL12" s="168">
        <f>CdTrp3!I23</f>
        <v>0</v>
      </c>
      <c r="DM12" s="168">
        <f>CdTrp3!J23</f>
        <v>0</v>
      </c>
      <c r="DN12" s="168">
        <f>CdTrp3!K23</f>
        <v>0</v>
      </c>
      <c r="DO12" s="168">
        <f>CdTrp3!L23</f>
        <v>0</v>
      </c>
      <c r="DP12" s="168">
        <f>CdTrp3!M23</f>
        <v>0</v>
      </c>
      <c r="DQ12" s="168">
        <f>CdTrp3!N23</f>
        <v>0</v>
      </c>
      <c r="DR12" s="168">
        <f>CdTrp3!O23</f>
        <v>0</v>
      </c>
      <c r="DS12" s="168">
        <f>CdTrp3!P23</f>
        <v>0</v>
      </c>
      <c r="DT12" s="168">
        <f>CdTrp3!Q23</f>
        <v>0</v>
      </c>
      <c r="DU12" s="168">
        <f>CdTrp3!R23</f>
        <v>0</v>
      </c>
      <c r="DV12" s="168">
        <f>CdTrp3!S23</f>
        <v>0</v>
      </c>
      <c r="DW12" s="168">
        <f>CdTrp3!T23</f>
        <v>0</v>
      </c>
      <c r="DX12" s="168">
        <f>CdTrp3!U23</f>
        <v>0</v>
      </c>
      <c r="DY12" s="168">
        <f>CdTrp3!V23</f>
        <v>0</v>
      </c>
      <c r="DZ12" s="168">
        <f>CdTrp3!W23</f>
        <v>0</v>
      </c>
      <c r="EA12" s="168">
        <f>CdTrp3!X23</f>
        <v>0</v>
      </c>
      <c r="EB12" s="168">
        <f>CdTrp3!Y23</f>
        <v>0</v>
      </c>
    </row>
    <row r="13" spans="1:132" x14ac:dyDescent="0.25">
      <c r="A13" s="2" t="s">
        <v>735</v>
      </c>
      <c r="F13" s="168">
        <f t="shared" si="5"/>
        <v>1467.4531199999994</v>
      </c>
      <c r="G13" s="30">
        <f>SUM(G5:G11)</f>
        <v>59.488240000000005</v>
      </c>
      <c r="H13" s="30">
        <f t="shared" ref="H13:AD13" si="8">SUM(H5:H11)</f>
        <v>59.488240000000005</v>
      </c>
      <c r="I13" s="30">
        <f t="shared" si="8"/>
        <v>59.862319999999997</v>
      </c>
      <c r="J13" s="30">
        <f t="shared" si="8"/>
        <v>60.049360000000007</v>
      </c>
      <c r="K13" s="30">
        <f t="shared" si="8"/>
        <v>66.754800000000003</v>
      </c>
      <c r="L13" s="30">
        <f t="shared" si="8"/>
        <v>67.315920000000006</v>
      </c>
      <c r="M13" s="30">
        <f t="shared" si="8"/>
        <v>50.589840000000002</v>
      </c>
      <c r="N13" s="30">
        <f t="shared" si="8"/>
        <v>50.963920000000002</v>
      </c>
      <c r="O13" s="30">
        <f t="shared" si="8"/>
        <v>51.150959999999998</v>
      </c>
      <c r="P13" s="30">
        <f t="shared" si="8"/>
        <v>61.650959999999998</v>
      </c>
      <c r="Q13" s="30">
        <f t="shared" si="8"/>
        <v>61.650959999999998</v>
      </c>
      <c r="R13" s="30">
        <f t="shared" si="8"/>
        <v>61.650959999999998</v>
      </c>
      <c r="S13" s="30">
        <f t="shared" si="8"/>
        <v>61.650959999999998</v>
      </c>
      <c r="T13" s="30">
        <f t="shared" si="8"/>
        <v>61.650959999999998</v>
      </c>
      <c r="U13" s="30">
        <f t="shared" si="8"/>
        <v>61.650959999999998</v>
      </c>
      <c r="V13" s="30">
        <f t="shared" si="8"/>
        <v>61.650959999999998</v>
      </c>
      <c r="W13" s="30">
        <f t="shared" si="8"/>
        <v>61.650959999999998</v>
      </c>
      <c r="X13" s="30">
        <f t="shared" si="8"/>
        <v>61.650959999999998</v>
      </c>
      <c r="Y13" s="30">
        <f t="shared" si="8"/>
        <v>61.089840000000002</v>
      </c>
      <c r="Z13" s="30">
        <f t="shared" si="8"/>
        <v>67.449200000000005</v>
      </c>
      <c r="AA13" s="30">
        <f t="shared" si="8"/>
        <v>79.927120000000002</v>
      </c>
      <c r="AB13" s="30">
        <f t="shared" si="8"/>
        <v>59.488240000000005</v>
      </c>
      <c r="AC13" s="30">
        <f t="shared" si="8"/>
        <v>59.488240000000005</v>
      </c>
      <c r="AD13" s="30">
        <f t="shared" si="8"/>
        <v>59.488240000000005</v>
      </c>
      <c r="AR13" s="181" t="s">
        <v>730</v>
      </c>
      <c r="AT13" s="182" t="str">
        <f t="shared" si="1"/>
        <v>lot10</v>
      </c>
      <c r="AU13" s="166"/>
      <c r="AV13" s="168">
        <f>CdTrp1!B24</f>
        <v>0</v>
      </c>
      <c r="AW13" s="168">
        <f>CdTrp1!C24</f>
        <v>0</v>
      </c>
      <c r="AX13" s="168">
        <f>CdTrp1!D24</f>
        <v>0</v>
      </c>
      <c r="AY13" s="168">
        <f>CdTrp1!E24</f>
        <v>0</v>
      </c>
      <c r="AZ13" s="168">
        <f>CdTrp1!F24</f>
        <v>0</v>
      </c>
      <c r="BA13" s="168">
        <f>CdTrp1!G24</f>
        <v>0</v>
      </c>
      <c r="BB13" s="168">
        <f>CdTrp1!H24</f>
        <v>0</v>
      </c>
      <c r="BC13" s="168">
        <f>CdTrp1!I24</f>
        <v>0</v>
      </c>
      <c r="BD13" s="168">
        <f>CdTrp1!J24</f>
        <v>0</v>
      </c>
      <c r="BE13" s="168">
        <f>CdTrp1!K24</f>
        <v>0</v>
      </c>
      <c r="BF13" s="168">
        <f>CdTrp1!L24</f>
        <v>0</v>
      </c>
      <c r="BG13" s="168">
        <f>CdTrp1!M24</f>
        <v>0</v>
      </c>
      <c r="BH13" s="168">
        <f>CdTrp1!N24</f>
        <v>0</v>
      </c>
      <c r="BI13" s="168">
        <f>CdTrp1!O24</f>
        <v>0</v>
      </c>
      <c r="BJ13" s="168">
        <f>CdTrp1!P24</f>
        <v>0</v>
      </c>
      <c r="BK13" s="168">
        <f>CdTrp1!Q24</f>
        <v>0</v>
      </c>
      <c r="BL13" s="168">
        <f>CdTrp1!R24</f>
        <v>0</v>
      </c>
      <c r="BM13" s="168">
        <f>CdTrp1!S24</f>
        <v>0</v>
      </c>
      <c r="BN13" s="168">
        <f>CdTrp1!T24</f>
        <v>0</v>
      </c>
      <c r="BO13" s="168">
        <f>CdTrp1!U24</f>
        <v>0</v>
      </c>
      <c r="BP13" s="168">
        <f>CdTrp1!V24</f>
        <v>0</v>
      </c>
      <c r="BQ13" s="168">
        <f>CdTrp1!W24</f>
        <v>0</v>
      </c>
      <c r="BR13" s="168">
        <f>CdTrp1!X24</f>
        <v>0</v>
      </c>
      <c r="BS13" s="168">
        <f>CdTrp1!Y24</f>
        <v>0</v>
      </c>
      <c r="BZ13" s="182" t="str">
        <f>+CdTrp2!A24</f>
        <v>lot10</v>
      </c>
      <c r="CA13" s="166"/>
      <c r="CB13" s="168">
        <f>CdTrp2!B24</f>
        <v>0</v>
      </c>
      <c r="CC13" s="168">
        <f>CdTrp2!C24</f>
        <v>0</v>
      </c>
      <c r="CD13" s="168">
        <f>CdTrp2!D24</f>
        <v>0</v>
      </c>
      <c r="CE13" s="168">
        <f>CdTrp2!E24</f>
        <v>0</v>
      </c>
      <c r="CF13" s="168">
        <f>CdTrp2!F24</f>
        <v>0</v>
      </c>
      <c r="CG13" s="168">
        <f>CdTrp2!G24</f>
        <v>0</v>
      </c>
      <c r="CH13" s="168">
        <f>CdTrp2!H24</f>
        <v>0</v>
      </c>
      <c r="CI13" s="168">
        <f>CdTrp2!I24</f>
        <v>0</v>
      </c>
      <c r="CJ13" s="168">
        <f>CdTrp2!J24</f>
        <v>0</v>
      </c>
      <c r="CK13" s="168">
        <f>CdTrp2!K24</f>
        <v>0</v>
      </c>
      <c r="CL13" s="168">
        <f>CdTrp2!L24</f>
        <v>0</v>
      </c>
      <c r="CM13" s="168">
        <f>CdTrp2!M24</f>
        <v>0</v>
      </c>
      <c r="CN13" s="168">
        <f>CdTrp2!N24</f>
        <v>0</v>
      </c>
      <c r="CO13" s="168">
        <f>CdTrp2!O24</f>
        <v>0</v>
      </c>
      <c r="CP13" s="168">
        <f>CdTrp2!P24</f>
        <v>0</v>
      </c>
      <c r="CQ13" s="168">
        <f>CdTrp2!Q24</f>
        <v>0</v>
      </c>
      <c r="CR13" s="168">
        <f>CdTrp2!R24</f>
        <v>0</v>
      </c>
      <c r="CS13" s="168">
        <f>CdTrp2!S24</f>
        <v>0</v>
      </c>
      <c r="CT13" s="168">
        <f>CdTrp2!T24</f>
        <v>0</v>
      </c>
      <c r="CU13" s="168">
        <f>CdTrp2!U24</f>
        <v>0</v>
      </c>
      <c r="CV13" s="168">
        <f>CdTrp2!V24</f>
        <v>0</v>
      </c>
      <c r="CW13" s="168">
        <f>CdTrp2!W24</f>
        <v>0</v>
      </c>
      <c r="CX13" s="168">
        <f>CdTrp2!X24</f>
        <v>0</v>
      </c>
      <c r="CY13" s="168">
        <f>CdTrp2!Y24</f>
        <v>0</v>
      </c>
      <c r="DC13" s="182" t="str">
        <f>+CdTrp3!A24</f>
        <v>lot10</v>
      </c>
      <c r="DD13" s="166"/>
      <c r="DE13" s="168">
        <f>CdTrp3!B24</f>
        <v>0</v>
      </c>
      <c r="DF13" s="168">
        <f>CdTrp3!C24</f>
        <v>0</v>
      </c>
      <c r="DG13" s="168">
        <f>CdTrp3!D24</f>
        <v>0</v>
      </c>
      <c r="DH13" s="168">
        <f>CdTrp3!E24</f>
        <v>0</v>
      </c>
      <c r="DI13" s="168">
        <f>CdTrp3!F24</f>
        <v>0</v>
      </c>
      <c r="DJ13" s="168">
        <f>CdTrp3!G24</f>
        <v>0</v>
      </c>
      <c r="DK13" s="168">
        <f>CdTrp3!H24</f>
        <v>0</v>
      </c>
      <c r="DL13" s="168">
        <f>CdTrp3!I24</f>
        <v>0</v>
      </c>
      <c r="DM13" s="168">
        <f>CdTrp3!J24</f>
        <v>0</v>
      </c>
      <c r="DN13" s="168">
        <f>CdTrp3!K24</f>
        <v>0</v>
      </c>
      <c r="DO13" s="168">
        <f>CdTrp3!L24</f>
        <v>0</v>
      </c>
      <c r="DP13" s="168">
        <f>CdTrp3!M24</f>
        <v>0</v>
      </c>
      <c r="DQ13" s="168">
        <f>CdTrp3!N24</f>
        <v>0</v>
      </c>
      <c r="DR13" s="168">
        <f>CdTrp3!O24</f>
        <v>0</v>
      </c>
      <c r="DS13" s="168">
        <f>CdTrp3!P24</f>
        <v>0</v>
      </c>
      <c r="DT13" s="168">
        <f>CdTrp3!Q24</f>
        <v>0</v>
      </c>
      <c r="DU13" s="168">
        <f>CdTrp3!R24</f>
        <v>0</v>
      </c>
      <c r="DV13" s="168">
        <f>CdTrp3!S24</f>
        <v>0</v>
      </c>
      <c r="DW13" s="168">
        <f>CdTrp3!T24</f>
        <v>0</v>
      </c>
      <c r="DX13" s="168">
        <f>CdTrp3!U24</f>
        <v>0</v>
      </c>
      <c r="DY13" s="168">
        <f>CdTrp3!V24</f>
        <v>0</v>
      </c>
      <c r="DZ13" s="168">
        <f>CdTrp3!W24</f>
        <v>0</v>
      </c>
      <c r="EA13" s="168">
        <f>CdTrp3!X24</f>
        <v>0</v>
      </c>
      <c r="EB13" s="168">
        <f>CdTrp3!Y24</f>
        <v>0</v>
      </c>
    </row>
    <row r="14" spans="1:132" x14ac:dyDescent="0.25">
      <c r="AR14" s="181" t="s">
        <v>730</v>
      </c>
      <c r="AT14" s="2" t="s">
        <v>736</v>
      </c>
      <c r="AV14" s="33">
        <v>1</v>
      </c>
      <c r="AW14" s="33">
        <v>2</v>
      </c>
      <c r="AX14" s="33">
        <v>3</v>
      </c>
      <c r="AY14" s="33">
        <v>4</v>
      </c>
      <c r="AZ14" s="33">
        <v>5</v>
      </c>
      <c r="BA14" s="33">
        <v>6</v>
      </c>
      <c r="BB14" s="33">
        <v>7</v>
      </c>
      <c r="BC14" s="33">
        <v>8</v>
      </c>
      <c r="BD14" s="33">
        <v>9</v>
      </c>
      <c r="BE14" s="33">
        <v>10</v>
      </c>
      <c r="BF14" s="33">
        <v>11</v>
      </c>
      <c r="BG14" s="33">
        <v>12</v>
      </c>
      <c r="BH14" s="33">
        <v>13</v>
      </c>
      <c r="BI14" s="33">
        <v>14</v>
      </c>
      <c r="BJ14" s="33">
        <v>15</v>
      </c>
      <c r="BK14" s="33">
        <v>16</v>
      </c>
      <c r="BL14" s="33">
        <v>17</v>
      </c>
      <c r="BM14" s="33">
        <v>18</v>
      </c>
      <c r="BN14" s="33">
        <v>19</v>
      </c>
      <c r="BO14" s="33">
        <v>20</v>
      </c>
      <c r="BP14" s="33">
        <v>21</v>
      </c>
      <c r="BQ14" s="33">
        <v>22</v>
      </c>
      <c r="BR14" s="33">
        <v>23</v>
      </c>
      <c r="BS14" s="33">
        <v>24</v>
      </c>
      <c r="BZ14" s="2" t="s">
        <v>736</v>
      </c>
      <c r="CB14" s="33">
        <v>1</v>
      </c>
      <c r="CC14" s="33">
        <v>2</v>
      </c>
      <c r="CD14" s="33">
        <v>3</v>
      </c>
      <c r="CE14" s="33">
        <v>4</v>
      </c>
      <c r="CF14" s="33">
        <v>5</v>
      </c>
      <c r="CG14" s="33">
        <v>6</v>
      </c>
      <c r="CH14" s="33">
        <v>7</v>
      </c>
      <c r="CI14" s="33">
        <v>8</v>
      </c>
      <c r="CJ14" s="33">
        <v>9</v>
      </c>
      <c r="CK14" s="33">
        <v>10</v>
      </c>
      <c r="CL14" s="33">
        <v>11</v>
      </c>
      <c r="CM14" s="33">
        <v>12</v>
      </c>
      <c r="CN14" s="33">
        <v>13</v>
      </c>
      <c r="CO14" s="33">
        <v>14</v>
      </c>
      <c r="CP14" s="33">
        <v>15</v>
      </c>
      <c r="CQ14" s="33">
        <v>16</v>
      </c>
      <c r="CR14" s="33">
        <v>17</v>
      </c>
      <c r="CS14" s="33">
        <v>18</v>
      </c>
      <c r="CT14" s="33">
        <v>19</v>
      </c>
      <c r="CU14" s="33">
        <v>20</v>
      </c>
      <c r="CV14" s="33">
        <v>21</v>
      </c>
      <c r="CW14" s="33">
        <v>22</v>
      </c>
      <c r="CX14" s="33">
        <v>23</v>
      </c>
      <c r="CY14" s="33">
        <v>24</v>
      </c>
      <c r="DC14" s="2" t="s">
        <v>736</v>
      </c>
      <c r="DE14" s="33">
        <v>1</v>
      </c>
      <c r="DF14" s="33">
        <v>2</v>
      </c>
      <c r="DG14" s="33">
        <v>3</v>
      </c>
      <c r="DH14" s="33">
        <v>4</v>
      </c>
      <c r="DI14" s="33">
        <v>5</v>
      </c>
      <c r="DJ14" s="33">
        <v>6</v>
      </c>
      <c r="DK14" s="33">
        <v>7</v>
      </c>
      <c r="DL14" s="33">
        <v>8</v>
      </c>
      <c r="DM14" s="33">
        <v>9</v>
      </c>
      <c r="DN14" s="33">
        <v>10</v>
      </c>
      <c r="DO14" s="33">
        <v>11</v>
      </c>
      <c r="DP14" s="33">
        <v>12</v>
      </c>
      <c r="DQ14" s="33">
        <v>13</v>
      </c>
      <c r="DR14" s="33">
        <v>14</v>
      </c>
      <c r="DS14" s="33">
        <v>15</v>
      </c>
      <c r="DT14" s="33">
        <v>16</v>
      </c>
      <c r="DU14" s="33">
        <v>17</v>
      </c>
      <c r="DV14" s="33">
        <v>18</v>
      </c>
      <c r="DW14" s="33">
        <v>19</v>
      </c>
      <c r="DX14" s="33">
        <v>20</v>
      </c>
      <c r="DY14" s="33">
        <v>21</v>
      </c>
      <c r="DZ14" s="33">
        <v>22</v>
      </c>
      <c r="EA14" s="33">
        <v>23</v>
      </c>
      <c r="EB14" s="33">
        <v>24</v>
      </c>
    </row>
    <row r="15" spans="1:132" x14ac:dyDescent="0.25">
      <c r="A15" s="2" t="s">
        <v>737</v>
      </c>
      <c r="B15" s="165" t="s">
        <v>738</v>
      </c>
      <c r="C15" s="165" t="s">
        <v>739</v>
      </c>
      <c r="D15" s="166" t="s">
        <v>740</v>
      </c>
      <c r="E15" s="166" t="s">
        <v>741</v>
      </c>
      <c r="F15" s="165" t="s">
        <v>742</v>
      </c>
      <c r="H15" s="15"/>
      <c r="AR15" s="181"/>
      <c r="AT15" s="182" t="str">
        <f>AT26</f>
        <v xml:space="preserve">Vaches </v>
      </c>
      <c r="AV15" s="168">
        <f t="shared" ref="AV15:BS24" si="9">IF(AV4&gt;0,1,0)</f>
        <v>1</v>
      </c>
      <c r="AW15" s="168">
        <f t="shared" si="9"/>
        <v>1</v>
      </c>
      <c r="AX15" s="168">
        <f t="shared" si="9"/>
        <v>1</v>
      </c>
      <c r="AY15" s="168">
        <f t="shared" si="9"/>
        <v>1</v>
      </c>
      <c r="AZ15" s="168">
        <f t="shared" si="9"/>
        <v>1</v>
      </c>
      <c r="BA15" s="168">
        <f t="shared" si="9"/>
        <v>1</v>
      </c>
      <c r="BB15" s="168">
        <f t="shared" si="9"/>
        <v>1</v>
      </c>
      <c r="BC15" s="168">
        <f t="shared" si="9"/>
        <v>1</v>
      </c>
      <c r="BD15" s="168">
        <f t="shared" si="9"/>
        <v>1</v>
      </c>
      <c r="BE15" s="168">
        <f t="shared" si="9"/>
        <v>1</v>
      </c>
      <c r="BF15" s="168">
        <f t="shared" si="9"/>
        <v>1</v>
      </c>
      <c r="BG15" s="168">
        <f t="shared" si="9"/>
        <v>1</v>
      </c>
      <c r="BH15" s="168">
        <f t="shared" si="9"/>
        <v>1</v>
      </c>
      <c r="BI15" s="168">
        <f t="shared" si="9"/>
        <v>1</v>
      </c>
      <c r="BJ15" s="168">
        <f t="shared" si="9"/>
        <v>1</v>
      </c>
      <c r="BK15" s="168">
        <f t="shared" si="9"/>
        <v>1</v>
      </c>
      <c r="BL15" s="168">
        <f t="shared" si="9"/>
        <v>1</v>
      </c>
      <c r="BM15" s="168">
        <f t="shared" si="9"/>
        <v>1</v>
      </c>
      <c r="BN15" s="168">
        <f t="shared" si="9"/>
        <v>1</v>
      </c>
      <c r="BO15" s="168">
        <f t="shared" si="9"/>
        <v>1</v>
      </c>
      <c r="BP15" s="168">
        <f t="shared" si="9"/>
        <v>1</v>
      </c>
      <c r="BQ15" s="168">
        <f t="shared" si="9"/>
        <v>1</v>
      </c>
      <c r="BR15" s="168">
        <f t="shared" si="9"/>
        <v>1</v>
      </c>
      <c r="BS15" s="168">
        <f t="shared" si="9"/>
        <v>1</v>
      </c>
      <c r="BZ15" s="182" t="str">
        <f t="shared" ref="BZ15:BZ24" si="10">+BZ4</f>
        <v>lot1</v>
      </c>
      <c r="CB15" s="168">
        <f t="shared" ref="CB15:CY24" si="11">IF(CB4&gt;0,1,0)</f>
        <v>0</v>
      </c>
      <c r="CC15" s="168">
        <f t="shared" si="11"/>
        <v>0</v>
      </c>
      <c r="CD15" s="168">
        <f t="shared" si="11"/>
        <v>0</v>
      </c>
      <c r="CE15" s="168">
        <f t="shared" si="11"/>
        <v>0</v>
      </c>
      <c r="CF15" s="168">
        <f t="shared" si="11"/>
        <v>0</v>
      </c>
      <c r="CG15" s="168">
        <f t="shared" si="11"/>
        <v>0</v>
      </c>
      <c r="CH15" s="168">
        <f t="shared" si="11"/>
        <v>0</v>
      </c>
      <c r="CI15" s="168">
        <f t="shared" si="11"/>
        <v>0</v>
      </c>
      <c r="CJ15" s="168">
        <f t="shared" si="11"/>
        <v>0</v>
      </c>
      <c r="CK15" s="168">
        <f t="shared" si="11"/>
        <v>0</v>
      </c>
      <c r="CL15" s="168">
        <f t="shared" si="11"/>
        <v>0</v>
      </c>
      <c r="CM15" s="168">
        <f t="shared" si="11"/>
        <v>0</v>
      </c>
      <c r="CN15" s="168">
        <f t="shared" si="11"/>
        <v>0</v>
      </c>
      <c r="CO15" s="168">
        <f t="shared" si="11"/>
        <v>0</v>
      </c>
      <c r="CP15" s="168">
        <f t="shared" si="11"/>
        <v>0</v>
      </c>
      <c r="CQ15" s="168">
        <f t="shared" si="11"/>
        <v>0</v>
      </c>
      <c r="CR15" s="168">
        <f t="shared" si="11"/>
        <v>0</v>
      </c>
      <c r="CS15" s="168">
        <f t="shared" si="11"/>
        <v>0</v>
      </c>
      <c r="CT15" s="168">
        <f t="shared" si="11"/>
        <v>0</v>
      </c>
      <c r="CU15" s="168">
        <f t="shared" si="11"/>
        <v>0</v>
      </c>
      <c r="CV15" s="168">
        <f t="shared" si="11"/>
        <v>0</v>
      </c>
      <c r="CW15" s="168">
        <f t="shared" si="11"/>
        <v>0</v>
      </c>
      <c r="CX15" s="168">
        <f t="shared" si="11"/>
        <v>0</v>
      </c>
      <c r="CY15" s="168">
        <f t="shared" si="11"/>
        <v>0</v>
      </c>
      <c r="DC15" s="182" t="str">
        <f t="shared" ref="DC15:DC24" si="12">+DC4</f>
        <v>lot1</v>
      </c>
      <c r="DE15" s="168">
        <f t="shared" ref="DE15:EB24" si="13">IF(DE4&gt;0,1,0)</f>
        <v>0</v>
      </c>
      <c r="DF15" s="168">
        <f t="shared" si="13"/>
        <v>0</v>
      </c>
      <c r="DG15" s="168">
        <f t="shared" si="13"/>
        <v>0</v>
      </c>
      <c r="DH15" s="168">
        <f t="shared" si="13"/>
        <v>0</v>
      </c>
      <c r="DI15" s="168">
        <f t="shared" si="13"/>
        <v>0</v>
      </c>
      <c r="DJ15" s="168">
        <f t="shared" si="13"/>
        <v>0</v>
      </c>
      <c r="DK15" s="168">
        <f t="shared" si="13"/>
        <v>0</v>
      </c>
      <c r="DL15" s="168">
        <f t="shared" si="13"/>
        <v>0</v>
      </c>
      <c r="DM15" s="168">
        <f t="shared" si="13"/>
        <v>0</v>
      </c>
      <c r="DN15" s="168">
        <f t="shared" si="13"/>
        <v>0</v>
      </c>
      <c r="DO15" s="168">
        <f t="shared" si="13"/>
        <v>0</v>
      </c>
      <c r="DP15" s="168">
        <f t="shared" si="13"/>
        <v>0</v>
      </c>
      <c r="DQ15" s="168">
        <f t="shared" si="13"/>
        <v>0</v>
      </c>
      <c r="DR15" s="168">
        <f t="shared" si="13"/>
        <v>0</v>
      </c>
      <c r="DS15" s="168">
        <f t="shared" si="13"/>
        <v>0</v>
      </c>
      <c r="DT15" s="168">
        <f t="shared" si="13"/>
        <v>0</v>
      </c>
      <c r="DU15" s="168">
        <f t="shared" si="13"/>
        <v>0</v>
      </c>
      <c r="DV15" s="168">
        <f t="shared" si="13"/>
        <v>0</v>
      </c>
      <c r="DW15" s="168">
        <f t="shared" si="13"/>
        <v>0</v>
      </c>
      <c r="DX15" s="168">
        <f t="shared" si="13"/>
        <v>0</v>
      </c>
      <c r="DY15" s="168">
        <f t="shared" si="13"/>
        <v>0</v>
      </c>
      <c r="DZ15" s="168">
        <f t="shared" si="13"/>
        <v>0</v>
      </c>
      <c r="EA15" s="168">
        <f t="shared" si="13"/>
        <v>0</v>
      </c>
      <c r="EB15" s="168">
        <f t="shared" si="13"/>
        <v>0</v>
      </c>
    </row>
    <row r="16" spans="1:132" x14ac:dyDescent="0.25">
      <c r="A16" t="s">
        <v>557</v>
      </c>
      <c r="B16" s="183">
        <f>Scénario!K56</f>
        <v>0</v>
      </c>
      <c r="C16" s="183" t="e">
        <f>VALUE(LEFT(Scénario!K57,1))</f>
        <v>#VALUE!</v>
      </c>
      <c r="D16" s="183">
        <f>IF(B16&gt;0,VLOOKUP(C16,[1]Trav!$A$86:$D$90,4),0)</f>
        <v>0</v>
      </c>
      <c r="E16" s="183">
        <f>Scénario!K54*2</f>
        <v>0</v>
      </c>
      <c r="F16" s="168">
        <f>IF(B16&gt;0,D16*E16/B16,0)</f>
        <v>0</v>
      </c>
      <c r="H16" t="s">
        <v>743</v>
      </c>
      <c r="AR16" s="181"/>
      <c r="AT16" s="182" t="str">
        <f t="shared" ref="AT16:AT24" si="14">AT27</f>
        <v>Génisses 24 mois</v>
      </c>
      <c r="AV16" s="168">
        <f t="shared" si="9"/>
        <v>1</v>
      </c>
      <c r="AW16" s="168">
        <f t="shared" si="9"/>
        <v>1</v>
      </c>
      <c r="AX16" s="168">
        <f t="shared" si="9"/>
        <v>1</v>
      </c>
      <c r="AY16" s="168">
        <f t="shared" si="9"/>
        <v>1</v>
      </c>
      <c r="AZ16" s="168">
        <f t="shared" si="9"/>
        <v>1</v>
      </c>
      <c r="BA16" s="168">
        <f t="shared" si="9"/>
        <v>1</v>
      </c>
      <c r="BB16" s="168">
        <f t="shared" si="9"/>
        <v>1</v>
      </c>
      <c r="BC16" s="168">
        <f t="shared" si="9"/>
        <v>1</v>
      </c>
      <c r="BD16" s="168">
        <f t="shared" si="9"/>
        <v>1</v>
      </c>
      <c r="BE16" s="168">
        <f t="shared" si="9"/>
        <v>1</v>
      </c>
      <c r="BF16" s="168">
        <f t="shared" si="9"/>
        <v>1</v>
      </c>
      <c r="BG16" s="168">
        <f t="shared" si="9"/>
        <v>1</v>
      </c>
      <c r="BH16" s="168">
        <f t="shared" si="9"/>
        <v>1</v>
      </c>
      <c r="BI16" s="168">
        <f t="shared" si="9"/>
        <v>1</v>
      </c>
      <c r="BJ16" s="168">
        <f t="shared" si="9"/>
        <v>1</v>
      </c>
      <c r="BK16" s="168">
        <f t="shared" si="9"/>
        <v>1</v>
      </c>
      <c r="BL16" s="168">
        <f t="shared" si="9"/>
        <v>1</v>
      </c>
      <c r="BM16" s="168">
        <f t="shared" si="9"/>
        <v>1</v>
      </c>
      <c r="BN16" s="168">
        <f t="shared" si="9"/>
        <v>1</v>
      </c>
      <c r="BO16" s="168">
        <f t="shared" si="9"/>
        <v>1</v>
      </c>
      <c r="BP16" s="168">
        <f t="shared" si="9"/>
        <v>1</v>
      </c>
      <c r="BQ16" s="168">
        <f t="shared" si="9"/>
        <v>1</v>
      </c>
      <c r="BR16" s="168">
        <f t="shared" si="9"/>
        <v>1</v>
      </c>
      <c r="BS16" s="168">
        <f t="shared" si="9"/>
        <v>1</v>
      </c>
      <c r="BZ16" s="182" t="str">
        <f t="shared" si="10"/>
        <v>lot2</v>
      </c>
      <c r="CB16" s="168">
        <f t="shared" si="11"/>
        <v>0</v>
      </c>
      <c r="CC16" s="168">
        <f t="shared" si="11"/>
        <v>0</v>
      </c>
      <c r="CD16" s="168">
        <f t="shared" si="11"/>
        <v>0</v>
      </c>
      <c r="CE16" s="168">
        <f t="shared" si="11"/>
        <v>0</v>
      </c>
      <c r="CF16" s="168">
        <f t="shared" si="11"/>
        <v>0</v>
      </c>
      <c r="CG16" s="168">
        <f t="shared" si="11"/>
        <v>0</v>
      </c>
      <c r="CH16" s="168">
        <f t="shared" si="11"/>
        <v>0</v>
      </c>
      <c r="CI16" s="168">
        <f t="shared" si="11"/>
        <v>0</v>
      </c>
      <c r="CJ16" s="168">
        <f t="shared" si="11"/>
        <v>0</v>
      </c>
      <c r="CK16" s="168">
        <f t="shared" si="11"/>
        <v>0</v>
      </c>
      <c r="CL16" s="168">
        <f t="shared" si="11"/>
        <v>0</v>
      </c>
      <c r="CM16" s="168">
        <f t="shared" si="11"/>
        <v>0</v>
      </c>
      <c r="CN16" s="168">
        <f t="shared" si="11"/>
        <v>0</v>
      </c>
      <c r="CO16" s="168">
        <f t="shared" si="11"/>
        <v>0</v>
      </c>
      <c r="CP16" s="168">
        <f t="shared" si="11"/>
        <v>0</v>
      </c>
      <c r="CQ16" s="168">
        <f t="shared" si="11"/>
        <v>0</v>
      </c>
      <c r="CR16" s="168">
        <f t="shared" si="11"/>
        <v>0</v>
      </c>
      <c r="CS16" s="168">
        <f t="shared" si="11"/>
        <v>0</v>
      </c>
      <c r="CT16" s="168">
        <f t="shared" si="11"/>
        <v>0</v>
      </c>
      <c r="CU16" s="168">
        <f t="shared" si="11"/>
        <v>0</v>
      </c>
      <c r="CV16" s="168">
        <f t="shared" si="11"/>
        <v>0</v>
      </c>
      <c r="CW16" s="168">
        <f t="shared" si="11"/>
        <v>0</v>
      </c>
      <c r="CX16" s="168">
        <f t="shared" si="11"/>
        <v>0</v>
      </c>
      <c r="CY16" s="168">
        <f t="shared" si="11"/>
        <v>0</v>
      </c>
      <c r="DC16" s="182" t="str">
        <f t="shared" si="12"/>
        <v>lot2</v>
      </c>
      <c r="DE16" s="168">
        <f t="shared" si="13"/>
        <v>0</v>
      </c>
      <c r="DF16" s="168">
        <f t="shared" si="13"/>
        <v>0</v>
      </c>
      <c r="DG16" s="168">
        <f t="shared" si="13"/>
        <v>0</v>
      </c>
      <c r="DH16" s="168">
        <f t="shared" si="13"/>
        <v>0</v>
      </c>
      <c r="DI16" s="168">
        <f t="shared" si="13"/>
        <v>0</v>
      </c>
      <c r="DJ16" s="168">
        <f t="shared" si="13"/>
        <v>0</v>
      </c>
      <c r="DK16" s="168">
        <f t="shared" si="13"/>
        <v>0</v>
      </c>
      <c r="DL16" s="168">
        <f t="shared" si="13"/>
        <v>0</v>
      </c>
      <c r="DM16" s="168">
        <f t="shared" si="13"/>
        <v>0</v>
      </c>
      <c r="DN16" s="168">
        <f t="shared" si="13"/>
        <v>0</v>
      </c>
      <c r="DO16" s="168">
        <f t="shared" si="13"/>
        <v>0</v>
      </c>
      <c r="DP16" s="168">
        <f t="shared" si="13"/>
        <v>0</v>
      </c>
      <c r="DQ16" s="168">
        <f t="shared" si="13"/>
        <v>0</v>
      </c>
      <c r="DR16" s="168">
        <f t="shared" si="13"/>
        <v>0</v>
      </c>
      <c r="DS16" s="168">
        <f t="shared" si="13"/>
        <v>0</v>
      </c>
      <c r="DT16" s="168">
        <f t="shared" si="13"/>
        <v>0</v>
      </c>
      <c r="DU16" s="168">
        <f t="shared" si="13"/>
        <v>0</v>
      </c>
      <c r="DV16" s="168">
        <f t="shared" si="13"/>
        <v>0</v>
      </c>
      <c r="DW16" s="168">
        <f t="shared" si="13"/>
        <v>0</v>
      </c>
      <c r="DX16" s="168">
        <f t="shared" si="13"/>
        <v>0</v>
      </c>
      <c r="DY16" s="168">
        <f t="shared" si="13"/>
        <v>0</v>
      </c>
      <c r="DZ16" s="168">
        <f t="shared" si="13"/>
        <v>0</v>
      </c>
      <c r="EA16" s="168">
        <f t="shared" si="13"/>
        <v>0</v>
      </c>
      <c r="EB16" s="168">
        <f t="shared" si="13"/>
        <v>0</v>
      </c>
    </row>
    <row r="17" spans="1:151" x14ac:dyDescent="0.25">
      <c r="A17" t="s">
        <v>588</v>
      </c>
      <c r="B17" s="183">
        <f>Scénario!K63</f>
        <v>0</v>
      </c>
      <c r="C17" s="183" t="e">
        <f>VALUE(LEFT(Scénario!K64,1))</f>
        <v>#VALUE!</v>
      </c>
      <c r="D17" s="183">
        <f>IF(B17&gt;0,VLOOKUP(C17,[1]Trav!$A$86:$D$90,4),0)</f>
        <v>0</v>
      </c>
      <c r="E17" s="183">
        <f>Scénario!K61*2</f>
        <v>0</v>
      </c>
      <c r="F17" s="168">
        <f t="shared" ref="F17:F18" si="15">IF(B17&gt;0,D17*E17/B17,0)</f>
        <v>0</v>
      </c>
      <c r="AR17" s="181"/>
      <c r="AT17" s="182" t="str">
        <f t="shared" si="14"/>
        <v>Génisses jeunes</v>
      </c>
      <c r="AV17" s="168">
        <f t="shared" si="9"/>
        <v>1</v>
      </c>
      <c r="AW17" s="168">
        <f t="shared" si="9"/>
        <v>1</v>
      </c>
      <c r="AX17" s="168">
        <f t="shared" si="9"/>
        <v>1</v>
      </c>
      <c r="AY17" s="168">
        <f t="shared" si="9"/>
        <v>1</v>
      </c>
      <c r="AZ17" s="168">
        <f t="shared" si="9"/>
        <v>1</v>
      </c>
      <c r="BA17" s="168">
        <f t="shared" si="9"/>
        <v>1</v>
      </c>
      <c r="BB17" s="168">
        <f t="shared" si="9"/>
        <v>1</v>
      </c>
      <c r="BC17" s="168">
        <f t="shared" si="9"/>
        <v>1</v>
      </c>
      <c r="BD17" s="168">
        <f t="shared" si="9"/>
        <v>1</v>
      </c>
      <c r="BE17" s="168">
        <f t="shared" si="9"/>
        <v>1</v>
      </c>
      <c r="BF17" s="168">
        <f t="shared" si="9"/>
        <v>1</v>
      </c>
      <c r="BG17" s="168">
        <f t="shared" si="9"/>
        <v>1</v>
      </c>
      <c r="BH17" s="168">
        <f t="shared" si="9"/>
        <v>1</v>
      </c>
      <c r="BI17" s="168">
        <f t="shared" si="9"/>
        <v>1</v>
      </c>
      <c r="BJ17" s="168">
        <f t="shared" si="9"/>
        <v>1</v>
      </c>
      <c r="BK17" s="168">
        <f t="shared" si="9"/>
        <v>1</v>
      </c>
      <c r="BL17" s="168">
        <f t="shared" si="9"/>
        <v>1</v>
      </c>
      <c r="BM17" s="168">
        <f t="shared" si="9"/>
        <v>1</v>
      </c>
      <c r="BN17" s="168">
        <f t="shared" si="9"/>
        <v>1</v>
      </c>
      <c r="BO17" s="168">
        <f t="shared" si="9"/>
        <v>1</v>
      </c>
      <c r="BP17" s="168">
        <f t="shared" si="9"/>
        <v>1</v>
      </c>
      <c r="BQ17" s="168">
        <f t="shared" si="9"/>
        <v>1</v>
      </c>
      <c r="BR17" s="168">
        <f t="shared" si="9"/>
        <v>1</v>
      </c>
      <c r="BS17" s="168">
        <f t="shared" si="9"/>
        <v>1</v>
      </c>
      <c r="BZ17" s="182" t="str">
        <f t="shared" si="10"/>
        <v>lot3</v>
      </c>
      <c r="CB17" s="168">
        <f t="shared" si="11"/>
        <v>0</v>
      </c>
      <c r="CC17" s="168">
        <f t="shared" si="11"/>
        <v>0</v>
      </c>
      <c r="CD17" s="168">
        <f t="shared" si="11"/>
        <v>0</v>
      </c>
      <c r="CE17" s="168">
        <f t="shared" si="11"/>
        <v>0</v>
      </c>
      <c r="CF17" s="168">
        <f t="shared" si="11"/>
        <v>0</v>
      </c>
      <c r="CG17" s="168">
        <f t="shared" si="11"/>
        <v>0</v>
      </c>
      <c r="CH17" s="168">
        <f t="shared" si="11"/>
        <v>0</v>
      </c>
      <c r="CI17" s="168">
        <f t="shared" si="11"/>
        <v>0</v>
      </c>
      <c r="CJ17" s="168">
        <f t="shared" si="11"/>
        <v>0</v>
      </c>
      <c r="CK17" s="168">
        <f t="shared" si="11"/>
        <v>0</v>
      </c>
      <c r="CL17" s="168">
        <f t="shared" si="11"/>
        <v>0</v>
      </c>
      <c r="CM17" s="168">
        <f t="shared" si="11"/>
        <v>0</v>
      </c>
      <c r="CN17" s="168">
        <f t="shared" si="11"/>
        <v>0</v>
      </c>
      <c r="CO17" s="168">
        <f t="shared" si="11"/>
        <v>0</v>
      </c>
      <c r="CP17" s="168">
        <f t="shared" si="11"/>
        <v>0</v>
      </c>
      <c r="CQ17" s="168">
        <f t="shared" si="11"/>
        <v>0</v>
      </c>
      <c r="CR17" s="168">
        <f t="shared" si="11"/>
        <v>0</v>
      </c>
      <c r="CS17" s="168">
        <f t="shared" si="11"/>
        <v>0</v>
      </c>
      <c r="CT17" s="168">
        <f t="shared" si="11"/>
        <v>0</v>
      </c>
      <c r="CU17" s="168">
        <f t="shared" si="11"/>
        <v>0</v>
      </c>
      <c r="CV17" s="168">
        <f t="shared" si="11"/>
        <v>0</v>
      </c>
      <c r="CW17" s="168">
        <f t="shared" si="11"/>
        <v>0</v>
      </c>
      <c r="CX17" s="168">
        <f t="shared" si="11"/>
        <v>0</v>
      </c>
      <c r="CY17" s="168">
        <f t="shared" si="11"/>
        <v>0</v>
      </c>
      <c r="DC17" s="182" t="str">
        <f t="shared" si="12"/>
        <v>lot3</v>
      </c>
      <c r="DE17" s="168">
        <f t="shared" si="13"/>
        <v>0</v>
      </c>
      <c r="DF17" s="168">
        <f t="shared" si="13"/>
        <v>0</v>
      </c>
      <c r="DG17" s="168">
        <f t="shared" si="13"/>
        <v>0</v>
      </c>
      <c r="DH17" s="168">
        <f t="shared" si="13"/>
        <v>0</v>
      </c>
      <c r="DI17" s="168">
        <f t="shared" si="13"/>
        <v>0</v>
      </c>
      <c r="DJ17" s="168">
        <f t="shared" si="13"/>
        <v>0</v>
      </c>
      <c r="DK17" s="168">
        <f t="shared" si="13"/>
        <v>0</v>
      </c>
      <c r="DL17" s="168">
        <f t="shared" si="13"/>
        <v>0</v>
      </c>
      <c r="DM17" s="168">
        <f t="shared" si="13"/>
        <v>0</v>
      </c>
      <c r="DN17" s="168">
        <f t="shared" si="13"/>
        <v>0</v>
      </c>
      <c r="DO17" s="168">
        <f t="shared" si="13"/>
        <v>0</v>
      </c>
      <c r="DP17" s="168">
        <f t="shared" si="13"/>
        <v>0</v>
      </c>
      <c r="DQ17" s="168">
        <f t="shared" si="13"/>
        <v>0</v>
      </c>
      <c r="DR17" s="168">
        <f t="shared" si="13"/>
        <v>0</v>
      </c>
      <c r="DS17" s="168">
        <f t="shared" si="13"/>
        <v>0</v>
      </c>
      <c r="DT17" s="168">
        <f t="shared" si="13"/>
        <v>0</v>
      </c>
      <c r="DU17" s="168">
        <f t="shared" si="13"/>
        <v>0</v>
      </c>
      <c r="DV17" s="168">
        <f t="shared" si="13"/>
        <v>0</v>
      </c>
      <c r="DW17" s="168">
        <f t="shared" si="13"/>
        <v>0</v>
      </c>
      <c r="DX17" s="168">
        <f t="shared" si="13"/>
        <v>0</v>
      </c>
      <c r="DY17" s="168">
        <f t="shared" si="13"/>
        <v>0</v>
      </c>
      <c r="DZ17" s="168">
        <f t="shared" si="13"/>
        <v>0</v>
      </c>
      <c r="EA17" s="168">
        <f t="shared" si="13"/>
        <v>0</v>
      </c>
      <c r="EB17" s="168">
        <f t="shared" si="13"/>
        <v>0</v>
      </c>
    </row>
    <row r="18" spans="1:151" x14ac:dyDescent="0.25">
      <c r="A18" t="s">
        <v>721</v>
      </c>
      <c r="B18" s="183">
        <f>Scénario!K68</f>
        <v>0</v>
      </c>
      <c r="C18" s="183" t="e">
        <f>VALUE(LEFT(Scénario!K69,1))</f>
        <v>#VALUE!</v>
      </c>
      <c r="D18" s="183">
        <f>IF(B18&gt;0,VLOOKUP(C18,[1]Trav!$A$86:$D$90,4),0)</f>
        <v>0</v>
      </c>
      <c r="E18" s="183">
        <f>Scénario!K66*2</f>
        <v>0</v>
      </c>
      <c r="F18" s="168">
        <f t="shared" si="15"/>
        <v>0</v>
      </c>
      <c r="AR18" s="181"/>
      <c r="AT18" s="182" t="str">
        <f t="shared" si="14"/>
        <v>broutards</v>
      </c>
      <c r="AV18" s="168">
        <f t="shared" si="9"/>
        <v>1</v>
      </c>
      <c r="AW18" s="168">
        <f t="shared" si="9"/>
        <v>1</v>
      </c>
      <c r="AX18" s="168">
        <f t="shared" si="9"/>
        <v>1</v>
      </c>
      <c r="AY18" s="168">
        <f t="shared" si="9"/>
        <v>1</v>
      </c>
      <c r="AZ18" s="168">
        <f t="shared" si="9"/>
        <v>1</v>
      </c>
      <c r="BA18" s="168">
        <f t="shared" si="9"/>
        <v>1</v>
      </c>
      <c r="BB18" s="168">
        <f t="shared" si="9"/>
        <v>0</v>
      </c>
      <c r="BC18" s="168">
        <f t="shared" si="9"/>
        <v>0</v>
      </c>
      <c r="BD18" s="168">
        <f t="shared" si="9"/>
        <v>0</v>
      </c>
      <c r="BE18" s="168">
        <f t="shared" si="9"/>
        <v>0</v>
      </c>
      <c r="BF18" s="168">
        <f t="shared" si="9"/>
        <v>0</v>
      </c>
      <c r="BG18" s="168">
        <f t="shared" si="9"/>
        <v>0</v>
      </c>
      <c r="BH18" s="168">
        <f t="shared" si="9"/>
        <v>0</v>
      </c>
      <c r="BI18" s="168">
        <f t="shared" si="9"/>
        <v>0</v>
      </c>
      <c r="BJ18" s="168">
        <f t="shared" si="9"/>
        <v>0</v>
      </c>
      <c r="BK18" s="168">
        <f t="shared" si="9"/>
        <v>0</v>
      </c>
      <c r="BL18" s="168">
        <f t="shared" si="9"/>
        <v>0</v>
      </c>
      <c r="BM18" s="168">
        <f t="shared" si="9"/>
        <v>0</v>
      </c>
      <c r="BN18" s="168">
        <f t="shared" si="9"/>
        <v>0</v>
      </c>
      <c r="BO18" s="168">
        <f t="shared" si="9"/>
        <v>1</v>
      </c>
      <c r="BP18" s="168">
        <f t="shared" si="9"/>
        <v>1</v>
      </c>
      <c r="BQ18" s="168">
        <f t="shared" si="9"/>
        <v>1</v>
      </c>
      <c r="BR18" s="168">
        <f t="shared" si="9"/>
        <v>1</v>
      </c>
      <c r="BS18" s="168">
        <f t="shared" si="9"/>
        <v>1</v>
      </c>
      <c r="BZ18" s="182" t="str">
        <f t="shared" si="10"/>
        <v>lot4</v>
      </c>
      <c r="CB18" s="168">
        <f t="shared" si="11"/>
        <v>0</v>
      </c>
      <c r="CC18" s="168">
        <f t="shared" si="11"/>
        <v>0</v>
      </c>
      <c r="CD18" s="168">
        <f t="shared" si="11"/>
        <v>0</v>
      </c>
      <c r="CE18" s="168">
        <f t="shared" si="11"/>
        <v>0</v>
      </c>
      <c r="CF18" s="168">
        <f t="shared" si="11"/>
        <v>0</v>
      </c>
      <c r="CG18" s="168">
        <f t="shared" si="11"/>
        <v>0</v>
      </c>
      <c r="CH18" s="168">
        <f t="shared" si="11"/>
        <v>0</v>
      </c>
      <c r="CI18" s="168">
        <f t="shared" si="11"/>
        <v>0</v>
      </c>
      <c r="CJ18" s="168">
        <f t="shared" si="11"/>
        <v>0</v>
      </c>
      <c r="CK18" s="168">
        <f t="shared" si="11"/>
        <v>0</v>
      </c>
      <c r="CL18" s="168">
        <f t="shared" si="11"/>
        <v>0</v>
      </c>
      <c r="CM18" s="168">
        <f t="shared" si="11"/>
        <v>0</v>
      </c>
      <c r="CN18" s="168">
        <f t="shared" si="11"/>
        <v>0</v>
      </c>
      <c r="CO18" s="168">
        <f t="shared" si="11"/>
        <v>0</v>
      </c>
      <c r="CP18" s="168">
        <f t="shared" si="11"/>
        <v>0</v>
      </c>
      <c r="CQ18" s="168">
        <f t="shared" si="11"/>
        <v>0</v>
      </c>
      <c r="CR18" s="168">
        <f t="shared" si="11"/>
        <v>0</v>
      </c>
      <c r="CS18" s="168">
        <f t="shared" si="11"/>
        <v>0</v>
      </c>
      <c r="CT18" s="168">
        <f t="shared" si="11"/>
        <v>0</v>
      </c>
      <c r="CU18" s="168">
        <f t="shared" si="11"/>
        <v>0</v>
      </c>
      <c r="CV18" s="168">
        <f t="shared" si="11"/>
        <v>0</v>
      </c>
      <c r="CW18" s="168">
        <f t="shared" si="11"/>
        <v>0</v>
      </c>
      <c r="CX18" s="168">
        <f t="shared" si="11"/>
        <v>0</v>
      </c>
      <c r="CY18" s="168">
        <f t="shared" si="11"/>
        <v>0</v>
      </c>
      <c r="DC18" s="182" t="str">
        <f t="shared" si="12"/>
        <v>lot4</v>
      </c>
      <c r="DE18" s="168">
        <f t="shared" si="13"/>
        <v>0</v>
      </c>
      <c r="DF18" s="168">
        <f t="shared" si="13"/>
        <v>0</v>
      </c>
      <c r="DG18" s="168">
        <f t="shared" si="13"/>
        <v>0</v>
      </c>
      <c r="DH18" s="168">
        <f t="shared" si="13"/>
        <v>0</v>
      </c>
      <c r="DI18" s="168">
        <f t="shared" si="13"/>
        <v>0</v>
      </c>
      <c r="DJ18" s="168">
        <f t="shared" si="13"/>
        <v>0</v>
      </c>
      <c r="DK18" s="168">
        <f t="shared" si="13"/>
        <v>0</v>
      </c>
      <c r="DL18" s="168">
        <f t="shared" si="13"/>
        <v>0</v>
      </c>
      <c r="DM18" s="168">
        <f t="shared" si="13"/>
        <v>0</v>
      </c>
      <c r="DN18" s="168">
        <f t="shared" si="13"/>
        <v>0</v>
      </c>
      <c r="DO18" s="168">
        <f t="shared" si="13"/>
        <v>0</v>
      </c>
      <c r="DP18" s="168">
        <f t="shared" si="13"/>
        <v>0</v>
      </c>
      <c r="DQ18" s="168">
        <f t="shared" si="13"/>
        <v>0</v>
      </c>
      <c r="DR18" s="168">
        <f t="shared" si="13"/>
        <v>0</v>
      </c>
      <c r="DS18" s="168">
        <f t="shared" si="13"/>
        <v>0</v>
      </c>
      <c r="DT18" s="168">
        <f t="shared" si="13"/>
        <v>0</v>
      </c>
      <c r="DU18" s="168">
        <f t="shared" si="13"/>
        <v>0</v>
      </c>
      <c r="DV18" s="168">
        <f t="shared" si="13"/>
        <v>0</v>
      </c>
      <c r="DW18" s="168">
        <f t="shared" si="13"/>
        <v>0</v>
      </c>
      <c r="DX18" s="168">
        <f t="shared" si="13"/>
        <v>0</v>
      </c>
      <c r="DY18" s="168">
        <f t="shared" si="13"/>
        <v>0</v>
      </c>
      <c r="DZ18" s="168">
        <f t="shared" si="13"/>
        <v>0</v>
      </c>
      <c r="EA18" s="168">
        <f t="shared" si="13"/>
        <v>0</v>
      </c>
      <c r="EB18" s="168">
        <f t="shared" si="13"/>
        <v>0</v>
      </c>
    </row>
    <row r="19" spans="1:151" x14ac:dyDescent="0.25">
      <c r="A19" s="2" t="s">
        <v>744</v>
      </c>
      <c r="B19" s="165"/>
      <c r="C19" s="165"/>
      <c r="D19" s="166"/>
      <c r="E19" s="166"/>
      <c r="AR19" s="181"/>
      <c r="AT19" s="182" t="str">
        <f t="shared" si="14"/>
        <v>génisses &lt; 1 an</v>
      </c>
      <c r="AV19" s="168">
        <f t="shared" si="9"/>
        <v>0</v>
      </c>
      <c r="AW19" s="168">
        <f t="shared" si="9"/>
        <v>0</v>
      </c>
      <c r="AX19" s="168">
        <f t="shared" si="9"/>
        <v>1</v>
      </c>
      <c r="AY19" s="168">
        <f t="shared" si="9"/>
        <v>1</v>
      </c>
      <c r="AZ19" s="168">
        <f t="shared" si="9"/>
        <v>1</v>
      </c>
      <c r="BA19" s="168">
        <f t="shared" si="9"/>
        <v>1</v>
      </c>
      <c r="BB19" s="168">
        <f t="shared" si="9"/>
        <v>1</v>
      </c>
      <c r="BC19" s="168">
        <f t="shared" si="9"/>
        <v>1</v>
      </c>
      <c r="BD19" s="168">
        <f t="shared" si="9"/>
        <v>1</v>
      </c>
      <c r="BE19" s="168">
        <f t="shared" si="9"/>
        <v>1</v>
      </c>
      <c r="BF19" s="168">
        <f t="shared" si="9"/>
        <v>1</v>
      </c>
      <c r="BG19" s="168">
        <f t="shared" si="9"/>
        <v>1</v>
      </c>
      <c r="BH19" s="168">
        <f t="shared" si="9"/>
        <v>1</v>
      </c>
      <c r="BI19" s="168">
        <f t="shared" si="9"/>
        <v>1</v>
      </c>
      <c r="BJ19" s="168">
        <f t="shared" si="9"/>
        <v>1</v>
      </c>
      <c r="BK19" s="168">
        <f t="shared" si="9"/>
        <v>1</v>
      </c>
      <c r="BL19" s="168">
        <f t="shared" si="9"/>
        <v>1</v>
      </c>
      <c r="BM19" s="168">
        <f t="shared" si="9"/>
        <v>1</v>
      </c>
      <c r="BN19" s="168">
        <f t="shared" si="9"/>
        <v>1</v>
      </c>
      <c r="BO19" s="168">
        <f t="shared" si="9"/>
        <v>1</v>
      </c>
      <c r="BP19" s="168">
        <f t="shared" si="9"/>
        <v>1</v>
      </c>
      <c r="BQ19" s="168">
        <f t="shared" si="9"/>
        <v>0</v>
      </c>
      <c r="BR19" s="168">
        <f t="shared" si="9"/>
        <v>0</v>
      </c>
      <c r="BS19" s="168">
        <f t="shared" si="9"/>
        <v>0</v>
      </c>
      <c r="BZ19" s="182" t="str">
        <f t="shared" si="10"/>
        <v>lot5</v>
      </c>
      <c r="CB19" s="168">
        <f t="shared" si="11"/>
        <v>0</v>
      </c>
      <c r="CC19" s="168">
        <f t="shared" si="11"/>
        <v>0</v>
      </c>
      <c r="CD19" s="168">
        <f t="shared" si="11"/>
        <v>0</v>
      </c>
      <c r="CE19" s="168">
        <f t="shared" si="11"/>
        <v>0</v>
      </c>
      <c r="CF19" s="168">
        <f t="shared" si="11"/>
        <v>0</v>
      </c>
      <c r="CG19" s="168">
        <f t="shared" si="11"/>
        <v>0</v>
      </c>
      <c r="CH19" s="168">
        <f t="shared" si="11"/>
        <v>0</v>
      </c>
      <c r="CI19" s="168">
        <f t="shared" si="11"/>
        <v>0</v>
      </c>
      <c r="CJ19" s="168">
        <f t="shared" si="11"/>
        <v>0</v>
      </c>
      <c r="CK19" s="168">
        <f t="shared" si="11"/>
        <v>0</v>
      </c>
      <c r="CL19" s="168">
        <f t="shared" si="11"/>
        <v>0</v>
      </c>
      <c r="CM19" s="168">
        <f t="shared" si="11"/>
        <v>0</v>
      </c>
      <c r="CN19" s="168">
        <f t="shared" si="11"/>
        <v>0</v>
      </c>
      <c r="CO19" s="168">
        <f t="shared" si="11"/>
        <v>0</v>
      </c>
      <c r="CP19" s="168">
        <f t="shared" si="11"/>
        <v>0</v>
      </c>
      <c r="CQ19" s="168">
        <f t="shared" si="11"/>
        <v>0</v>
      </c>
      <c r="CR19" s="168">
        <f t="shared" si="11"/>
        <v>0</v>
      </c>
      <c r="CS19" s="168">
        <f t="shared" si="11"/>
        <v>0</v>
      </c>
      <c r="CT19" s="168">
        <f t="shared" si="11"/>
        <v>0</v>
      </c>
      <c r="CU19" s="168">
        <f t="shared" si="11"/>
        <v>0</v>
      </c>
      <c r="CV19" s="168">
        <f t="shared" si="11"/>
        <v>0</v>
      </c>
      <c r="CW19" s="168">
        <f t="shared" si="11"/>
        <v>0</v>
      </c>
      <c r="CX19" s="168">
        <f t="shared" si="11"/>
        <v>0</v>
      </c>
      <c r="CY19" s="168">
        <f t="shared" si="11"/>
        <v>0</v>
      </c>
      <c r="DC19" s="182" t="str">
        <f t="shared" si="12"/>
        <v>lot5</v>
      </c>
      <c r="DE19" s="168">
        <f t="shared" si="13"/>
        <v>0</v>
      </c>
      <c r="DF19" s="168">
        <f t="shared" si="13"/>
        <v>0</v>
      </c>
      <c r="DG19" s="168">
        <f t="shared" si="13"/>
        <v>0</v>
      </c>
      <c r="DH19" s="168">
        <f t="shared" si="13"/>
        <v>0</v>
      </c>
      <c r="DI19" s="168">
        <f t="shared" si="13"/>
        <v>0</v>
      </c>
      <c r="DJ19" s="168">
        <f t="shared" si="13"/>
        <v>0</v>
      </c>
      <c r="DK19" s="168">
        <f t="shared" si="13"/>
        <v>0</v>
      </c>
      <c r="DL19" s="168">
        <f t="shared" si="13"/>
        <v>0</v>
      </c>
      <c r="DM19" s="168">
        <f t="shared" si="13"/>
        <v>0</v>
      </c>
      <c r="DN19" s="168">
        <f t="shared" si="13"/>
        <v>0</v>
      </c>
      <c r="DO19" s="168">
        <f t="shared" si="13"/>
        <v>0</v>
      </c>
      <c r="DP19" s="168">
        <f t="shared" si="13"/>
        <v>0</v>
      </c>
      <c r="DQ19" s="168">
        <f t="shared" si="13"/>
        <v>0</v>
      </c>
      <c r="DR19" s="168">
        <f t="shared" si="13"/>
        <v>0</v>
      </c>
      <c r="DS19" s="168">
        <f t="shared" si="13"/>
        <v>0</v>
      </c>
      <c r="DT19" s="168">
        <f t="shared" si="13"/>
        <v>0</v>
      </c>
      <c r="DU19" s="168">
        <f t="shared" si="13"/>
        <v>0</v>
      </c>
      <c r="DV19" s="168">
        <f t="shared" si="13"/>
        <v>0</v>
      </c>
      <c r="DW19" s="168">
        <f t="shared" si="13"/>
        <v>0</v>
      </c>
      <c r="DX19" s="168">
        <f t="shared" si="13"/>
        <v>0</v>
      </c>
      <c r="DY19" s="168">
        <f t="shared" si="13"/>
        <v>0</v>
      </c>
      <c r="DZ19" s="168">
        <f t="shared" si="13"/>
        <v>0</v>
      </c>
      <c r="EA19" s="168">
        <f t="shared" si="13"/>
        <v>0</v>
      </c>
      <c r="EB19" s="168">
        <f t="shared" si="13"/>
        <v>0</v>
      </c>
    </row>
    <row r="20" spans="1:151" x14ac:dyDescent="0.25">
      <c r="A20" t="s">
        <v>557</v>
      </c>
      <c r="B20" s="165"/>
      <c r="C20" s="165"/>
      <c r="D20" s="183">
        <f>[1]Trav!$D$92</f>
        <v>12</v>
      </c>
      <c r="E20" s="183">
        <f>Scénario!K76*2</f>
        <v>0</v>
      </c>
      <c r="F20" s="168">
        <f>D20*E20</f>
        <v>0</v>
      </c>
      <c r="AR20" s="181"/>
      <c r="AT20" s="182" t="str">
        <f t="shared" si="14"/>
        <v>lot6</v>
      </c>
      <c r="AV20" s="168">
        <f t="shared" si="9"/>
        <v>0</v>
      </c>
      <c r="AW20" s="168">
        <f t="shared" si="9"/>
        <v>0</v>
      </c>
      <c r="AX20" s="168">
        <f t="shared" si="9"/>
        <v>0</v>
      </c>
      <c r="AY20" s="168">
        <f t="shared" si="9"/>
        <v>0</v>
      </c>
      <c r="AZ20" s="168">
        <f t="shared" si="9"/>
        <v>0</v>
      </c>
      <c r="BA20" s="168">
        <f t="shared" si="9"/>
        <v>0</v>
      </c>
      <c r="BB20" s="168">
        <f t="shared" si="9"/>
        <v>0</v>
      </c>
      <c r="BC20" s="168">
        <f t="shared" si="9"/>
        <v>0</v>
      </c>
      <c r="BD20" s="168">
        <f t="shared" si="9"/>
        <v>0</v>
      </c>
      <c r="BE20" s="168">
        <f t="shared" si="9"/>
        <v>0</v>
      </c>
      <c r="BF20" s="168">
        <f t="shared" si="9"/>
        <v>0</v>
      </c>
      <c r="BG20" s="168">
        <f t="shared" si="9"/>
        <v>0</v>
      </c>
      <c r="BH20" s="168">
        <f t="shared" si="9"/>
        <v>0</v>
      </c>
      <c r="BI20" s="168">
        <f t="shared" si="9"/>
        <v>0</v>
      </c>
      <c r="BJ20" s="168">
        <f t="shared" si="9"/>
        <v>0</v>
      </c>
      <c r="BK20" s="168">
        <f t="shared" si="9"/>
        <v>0</v>
      </c>
      <c r="BL20" s="168">
        <f t="shared" si="9"/>
        <v>0</v>
      </c>
      <c r="BM20" s="168">
        <f t="shared" si="9"/>
        <v>0</v>
      </c>
      <c r="BN20" s="168">
        <f t="shared" si="9"/>
        <v>0</v>
      </c>
      <c r="BO20" s="168">
        <f t="shared" si="9"/>
        <v>0</v>
      </c>
      <c r="BP20" s="168">
        <f t="shared" si="9"/>
        <v>0</v>
      </c>
      <c r="BQ20" s="168">
        <f t="shared" si="9"/>
        <v>0</v>
      </c>
      <c r="BR20" s="168">
        <f t="shared" si="9"/>
        <v>0</v>
      </c>
      <c r="BS20" s="168">
        <f t="shared" si="9"/>
        <v>0</v>
      </c>
      <c r="BZ20" s="182" t="str">
        <f t="shared" si="10"/>
        <v>lot6</v>
      </c>
      <c r="CB20" s="168">
        <f t="shared" si="11"/>
        <v>0</v>
      </c>
      <c r="CC20" s="168">
        <f t="shared" si="11"/>
        <v>0</v>
      </c>
      <c r="CD20" s="168">
        <f t="shared" si="11"/>
        <v>0</v>
      </c>
      <c r="CE20" s="168">
        <f t="shared" si="11"/>
        <v>0</v>
      </c>
      <c r="CF20" s="168">
        <f t="shared" si="11"/>
        <v>0</v>
      </c>
      <c r="CG20" s="168">
        <f t="shared" si="11"/>
        <v>0</v>
      </c>
      <c r="CH20" s="168">
        <f t="shared" si="11"/>
        <v>0</v>
      </c>
      <c r="CI20" s="168">
        <f t="shared" si="11"/>
        <v>0</v>
      </c>
      <c r="CJ20" s="168">
        <f t="shared" si="11"/>
        <v>0</v>
      </c>
      <c r="CK20" s="168">
        <f t="shared" si="11"/>
        <v>0</v>
      </c>
      <c r="CL20" s="168">
        <f t="shared" si="11"/>
        <v>0</v>
      </c>
      <c r="CM20" s="168">
        <f t="shared" si="11"/>
        <v>0</v>
      </c>
      <c r="CN20" s="168">
        <f t="shared" si="11"/>
        <v>0</v>
      </c>
      <c r="CO20" s="168">
        <f t="shared" si="11"/>
        <v>0</v>
      </c>
      <c r="CP20" s="168">
        <f t="shared" si="11"/>
        <v>0</v>
      </c>
      <c r="CQ20" s="168">
        <f t="shared" si="11"/>
        <v>0</v>
      </c>
      <c r="CR20" s="168">
        <f t="shared" si="11"/>
        <v>0</v>
      </c>
      <c r="CS20" s="168">
        <f t="shared" si="11"/>
        <v>0</v>
      </c>
      <c r="CT20" s="168">
        <f t="shared" si="11"/>
        <v>0</v>
      </c>
      <c r="CU20" s="168">
        <f t="shared" si="11"/>
        <v>0</v>
      </c>
      <c r="CV20" s="168">
        <f t="shared" si="11"/>
        <v>0</v>
      </c>
      <c r="CW20" s="168">
        <f t="shared" si="11"/>
        <v>0</v>
      </c>
      <c r="CX20" s="168">
        <f t="shared" si="11"/>
        <v>0</v>
      </c>
      <c r="CY20" s="168">
        <f t="shared" si="11"/>
        <v>0</v>
      </c>
      <c r="DC20" s="182" t="str">
        <f t="shared" si="12"/>
        <v>lot6</v>
      </c>
      <c r="DE20" s="168">
        <f t="shared" si="13"/>
        <v>0</v>
      </c>
      <c r="DF20" s="168">
        <f t="shared" si="13"/>
        <v>0</v>
      </c>
      <c r="DG20" s="168">
        <f t="shared" si="13"/>
        <v>0</v>
      </c>
      <c r="DH20" s="168">
        <f t="shared" si="13"/>
        <v>0</v>
      </c>
      <c r="DI20" s="168">
        <f t="shared" si="13"/>
        <v>0</v>
      </c>
      <c r="DJ20" s="168">
        <f t="shared" si="13"/>
        <v>0</v>
      </c>
      <c r="DK20" s="168">
        <f t="shared" si="13"/>
        <v>0</v>
      </c>
      <c r="DL20" s="168">
        <f t="shared" si="13"/>
        <v>0</v>
      </c>
      <c r="DM20" s="168">
        <f t="shared" si="13"/>
        <v>0</v>
      </c>
      <c r="DN20" s="168">
        <f t="shared" si="13"/>
        <v>0</v>
      </c>
      <c r="DO20" s="168">
        <f t="shared" si="13"/>
        <v>0</v>
      </c>
      <c r="DP20" s="168">
        <f t="shared" si="13"/>
        <v>0</v>
      </c>
      <c r="DQ20" s="168">
        <f t="shared" si="13"/>
        <v>0</v>
      </c>
      <c r="DR20" s="168">
        <f t="shared" si="13"/>
        <v>0</v>
      </c>
      <c r="DS20" s="168">
        <f t="shared" si="13"/>
        <v>0</v>
      </c>
      <c r="DT20" s="168">
        <f t="shared" si="13"/>
        <v>0</v>
      </c>
      <c r="DU20" s="168">
        <f t="shared" si="13"/>
        <v>0</v>
      </c>
      <c r="DV20" s="168">
        <f t="shared" si="13"/>
        <v>0</v>
      </c>
      <c r="DW20" s="168">
        <f t="shared" si="13"/>
        <v>0</v>
      </c>
      <c r="DX20" s="168">
        <f t="shared" si="13"/>
        <v>0</v>
      </c>
      <c r="DY20" s="168">
        <f t="shared" si="13"/>
        <v>0</v>
      </c>
      <c r="DZ20" s="168">
        <f t="shared" si="13"/>
        <v>0</v>
      </c>
      <c r="EA20" s="168">
        <f t="shared" si="13"/>
        <v>0</v>
      </c>
      <c r="EB20" s="168">
        <f t="shared" si="13"/>
        <v>0</v>
      </c>
    </row>
    <row r="21" spans="1:151" x14ac:dyDescent="0.25">
      <c r="A21" t="s">
        <v>588</v>
      </c>
      <c r="B21" s="165"/>
      <c r="C21" s="165"/>
      <c r="D21" s="183">
        <f>[1]Trav!$D$92</f>
        <v>12</v>
      </c>
      <c r="E21" s="183">
        <f>Scénario!K79*2</f>
        <v>0</v>
      </c>
      <c r="F21" s="168">
        <f t="shared" ref="F21:F22" si="16">D21*E21</f>
        <v>0</v>
      </c>
      <c r="AR21" s="181"/>
      <c r="AT21" s="182" t="str">
        <f t="shared" si="14"/>
        <v>lot7</v>
      </c>
      <c r="AV21" s="168">
        <f t="shared" si="9"/>
        <v>0</v>
      </c>
      <c r="AW21" s="168">
        <f t="shared" si="9"/>
        <v>0</v>
      </c>
      <c r="AX21" s="168">
        <f t="shared" si="9"/>
        <v>0</v>
      </c>
      <c r="AY21" s="168">
        <f t="shared" si="9"/>
        <v>0</v>
      </c>
      <c r="AZ21" s="168">
        <f t="shared" si="9"/>
        <v>0</v>
      </c>
      <c r="BA21" s="168">
        <f t="shared" si="9"/>
        <v>0</v>
      </c>
      <c r="BB21" s="168">
        <f t="shared" si="9"/>
        <v>0</v>
      </c>
      <c r="BC21" s="168">
        <f t="shared" si="9"/>
        <v>0</v>
      </c>
      <c r="BD21" s="168">
        <f t="shared" si="9"/>
        <v>0</v>
      </c>
      <c r="BE21" s="168">
        <f t="shared" si="9"/>
        <v>0</v>
      </c>
      <c r="BF21" s="168">
        <f t="shared" si="9"/>
        <v>0</v>
      </c>
      <c r="BG21" s="168">
        <f t="shared" si="9"/>
        <v>0</v>
      </c>
      <c r="BH21" s="168">
        <f t="shared" si="9"/>
        <v>0</v>
      </c>
      <c r="BI21" s="168">
        <f t="shared" si="9"/>
        <v>0</v>
      </c>
      <c r="BJ21" s="168">
        <f t="shared" si="9"/>
        <v>0</v>
      </c>
      <c r="BK21" s="168">
        <f t="shared" si="9"/>
        <v>0</v>
      </c>
      <c r="BL21" s="168">
        <f t="shared" si="9"/>
        <v>0</v>
      </c>
      <c r="BM21" s="168">
        <f t="shared" si="9"/>
        <v>0</v>
      </c>
      <c r="BN21" s="168">
        <f t="shared" si="9"/>
        <v>0</v>
      </c>
      <c r="BO21" s="168">
        <f t="shared" si="9"/>
        <v>0</v>
      </c>
      <c r="BP21" s="168">
        <f t="shared" si="9"/>
        <v>0</v>
      </c>
      <c r="BQ21" s="168">
        <f t="shared" si="9"/>
        <v>0</v>
      </c>
      <c r="BR21" s="168">
        <f t="shared" si="9"/>
        <v>0</v>
      </c>
      <c r="BS21" s="168">
        <f t="shared" si="9"/>
        <v>0</v>
      </c>
      <c r="BZ21" s="182" t="str">
        <f t="shared" si="10"/>
        <v>lot7</v>
      </c>
      <c r="CB21" s="168">
        <f t="shared" si="11"/>
        <v>0</v>
      </c>
      <c r="CC21" s="168">
        <f t="shared" si="11"/>
        <v>0</v>
      </c>
      <c r="CD21" s="168">
        <f t="shared" si="11"/>
        <v>0</v>
      </c>
      <c r="CE21" s="168">
        <f t="shared" si="11"/>
        <v>0</v>
      </c>
      <c r="CF21" s="168">
        <f t="shared" si="11"/>
        <v>0</v>
      </c>
      <c r="CG21" s="168">
        <f t="shared" si="11"/>
        <v>0</v>
      </c>
      <c r="CH21" s="168">
        <f t="shared" si="11"/>
        <v>0</v>
      </c>
      <c r="CI21" s="168">
        <f t="shared" si="11"/>
        <v>0</v>
      </c>
      <c r="CJ21" s="168">
        <f t="shared" si="11"/>
        <v>0</v>
      </c>
      <c r="CK21" s="168">
        <f t="shared" si="11"/>
        <v>0</v>
      </c>
      <c r="CL21" s="168">
        <f t="shared" si="11"/>
        <v>0</v>
      </c>
      <c r="CM21" s="168">
        <f t="shared" si="11"/>
        <v>0</v>
      </c>
      <c r="CN21" s="168">
        <f t="shared" si="11"/>
        <v>0</v>
      </c>
      <c r="CO21" s="168">
        <f t="shared" si="11"/>
        <v>0</v>
      </c>
      <c r="CP21" s="168">
        <f t="shared" si="11"/>
        <v>0</v>
      </c>
      <c r="CQ21" s="168">
        <f t="shared" si="11"/>
        <v>0</v>
      </c>
      <c r="CR21" s="168">
        <f t="shared" si="11"/>
        <v>0</v>
      </c>
      <c r="CS21" s="168">
        <f t="shared" si="11"/>
        <v>0</v>
      </c>
      <c r="CT21" s="168">
        <f t="shared" si="11"/>
        <v>0</v>
      </c>
      <c r="CU21" s="168">
        <f t="shared" si="11"/>
        <v>0</v>
      </c>
      <c r="CV21" s="168">
        <f t="shared" si="11"/>
        <v>0</v>
      </c>
      <c r="CW21" s="168">
        <f t="shared" si="11"/>
        <v>0</v>
      </c>
      <c r="CX21" s="168">
        <f t="shared" si="11"/>
        <v>0</v>
      </c>
      <c r="CY21" s="168">
        <f t="shared" si="11"/>
        <v>0</v>
      </c>
      <c r="DC21" s="182" t="str">
        <f t="shared" si="12"/>
        <v>lot7</v>
      </c>
      <c r="DE21" s="168">
        <f t="shared" si="13"/>
        <v>0</v>
      </c>
      <c r="DF21" s="168">
        <f t="shared" si="13"/>
        <v>0</v>
      </c>
      <c r="DG21" s="168">
        <f t="shared" si="13"/>
        <v>0</v>
      </c>
      <c r="DH21" s="168">
        <f t="shared" si="13"/>
        <v>0</v>
      </c>
      <c r="DI21" s="168">
        <f t="shared" si="13"/>
        <v>0</v>
      </c>
      <c r="DJ21" s="168">
        <f t="shared" si="13"/>
        <v>0</v>
      </c>
      <c r="DK21" s="168">
        <f t="shared" si="13"/>
        <v>0</v>
      </c>
      <c r="DL21" s="168">
        <f t="shared" si="13"/>
        <v>0</v>
      </c>
      <c r="DM21" s="168">
        <f t="shared" si="13"/>
        <v>0</v>
      </c>
      <c r="DN21" s="168">
        <f t="shared" si="13"/>
        <v>0</v>
      </c>
      <c r="DO21" s="168">
        <f t="shared" si="13"/>
        <v>0</v>
      </c>
      <c r="DP21" s="168">
        <f t="shared" si="13"/>
        <v>0</v>
      </c>
      <c r="DQ21" s="168">
        <f t="shared" si="13"/>
        <v>0</v>
      </c>
      <c r="DR21" s="168">
        <f t="shared" si="13"/>
        <v>0</v>
      </c>
      <c r="DS21" s="168">
        <f t="shared" si="13"/>
        <v>0</v>
      </c>
      <c r="DT21" s="168">
        <f t="shared" si="13"/>
        <v>0</v>
      </c>
      <c r="DU21" s="168">
        <f t="shared" si="13"/>
        <v>0</v>
      </c>
      <c r="DV21" s="168">
        <f t="shared" si="13"/>
        <v>0</v>
      </c>
      <c r="DW21" s="168">
        <f t="shared" si="13"/>
        <v>0</v>
      </c>
      <c r="DX21" s="168">
        <f t="shared" si="13"/>
        <v>0</v>
      </c>
      <c r="DY21" s="168">
        <f t="shared" si="13"/>
        <v>0</v>
      </c>
      <c r="DZ21" s="168">
        <f t="shared" si="13"/>
        <v>0</v>
      </c>
      <c r="EA21" s="168">
        <f t="shared" si="13"/>
        <v>0</v>
      </c>
      <c r="EB21" s="168">
        <f t="shared" si="13"/>
        <v>0</v>
      </c>
    </row>
    <row r="22" spans="1:151" x14ac:dyDescent="0.25">
      <c r="A22" t="s">
        <v>721</v>
      </c>
      <c r="B22" s="165"/>
      <c r="C22" s="165"/>
      <c r="D22" s="183">
        <f>[1]Trav!$D$92</f>
        <v>12</v>
      </c>
      <c r="E22" s="183">
        <f>Scénario!K82*2</f>
        <v>0</v>
      </c>
      <c r="F22" s="168">
        <f t="shared" si="16"/>
        <v>0</v>
      </c>
      <c r="AR22" s="181"/>
      <c r="AT22" s="182" t="str">
        <f t="shared" si="14"/>
        <v>lot8</v>
      </c>
      <c r="AV22" s="168">
        <f t="shared" si="9"/>
        <v>0</v>
      </c>
      <c r="AW22" s="168">
        <f t="shared" si="9"/>
        <v>0</v>
      </c>
      <c r="AX22" s="168">
        <f t="shared" si="9"/>
        <v>0</v>
      </c>
      <c r="AY22" s="168">
        <f t="shared" si="9"/>
        <v>0</v>
      </c>
      <c r="AZ22" s="168">
        <f t="shared" si="9"/>
        <v>0</v>
      </c>
      <c r="BA22" s="168">
        <f t="shared" si="9"/>
        <v>0</v>
      </c>
      <c r="BB22" s="168">
        <f t="shared" si="9"/>
        <v>0</v>
      </c>
      <c r="BC22" s="168">
        <f t="shared" si="9"/>
        <v>0</v>
      </c>
      <c r="BD22" s="168">
        <f t="shared" si="9"/>
        <v>0</v>
      </c>
      <c r="BE22" s="168">
        <f t="shared" si="9"/>
        <v>0</v>
      </c>
      <c r="BF22" s="168">
        <f t="shared" si="9"/>
        <v>0</v>
      </c>
      <c r="BG22" s="168">
        <f t="shared" si="9"/>
        <v>0</v>
      </c>
      <c r="BH22" s="168">
        <f t="shared" si="9"/>
        <v>0</v>
      </c>
      <c r="BI22" s="168">
        <f t="shared" si="9"/>
        <v>0</v>
      </c>
      <c r="BJ22" s="168">
        <f t="shared" si="9"/>
        <v>0</v>
      </c>
      <c r="BK22" s="168">
        <f t="shared" si="9"/>
        <v>0</v>
      </c>
      <c r="BL22" s="168">
        <f t="shared" si="9"/>
        <v>0</v>
      </c>
      <c r="BM22" s="168">
        <f t="shared" si="9"/>
        <v>0</v>
      </c>
      <c r="BN22" s="168">
        <f t="shared" si="9"/>
        <v>0</v>
      </c>
      <c r="BO22" s="168">
        <f t="shared" si="9"/>
        <v>0</v>
      </c>
      <c r="BP22" s="168">
        <f t="shared" si="9"/>
        <v>0</v>
      </c>
      <c r="BQ22" s="168">
        <f t="shared" si="9"/>
        <v>0</v>
      </c>
      <c r="BR22" s="168">
        <f t="shared" si="9"/>
        <v>0</v>
      </c>
      <c r="BS22" s="168">
        <f t="shared" si="9"/>
        <v>0</v>
      </c>
      <c r="BZ22" s="182" t="str">
        <f t="shared" si="10"/>
        <v>lot8</v>
      </c>
      <c r="CB22" s="168">
        <f t="shared" si="11"/>
        <v>0</v>
      </c>
      <c r="CC22" s="168">
        <f t="shared" si="11"/>
        <v>0</v>
      </c>
      <c r="CD22" s="168">
        <f t="shared" si="11"/>
        <v>0</v>
      </c>
      <c r="CE22" s="168">
        <f t="shared" si="11"/>
        <v>0</v>
      </c>
      <c r="CF22" s="168">
        <f t="shared" si="11"/>
        <v>0</v>
      </c>
      <c r="CG22" s="168">
        <f t="shared" si="11"/>
        <v>0</v>
      </c>
      <c r="CH22" s="168">
        <f t="shared" si="11"/>
        <v>0</v>
      </c>
      <c r="CI22" s="168">
        <f t="shared" si="11"/>
        <v>0</v>
      </c>
      <c r="CJ22" s="168">
        <f t="shared" si="11"/>
        <v>0</v>
      </c>
      <c r="CK22" s="168">
        <f t="shared" si="11"/>
        <v>0</v>
      </c>
      <c r="CL22" s="168">
        <f t="shared" si="11"/>
        <v>0</v>
      </c>
      <c r="CM22" s="168">
        <f t="shared" si="11"/>
        <v>0</v>
      </c>
      <c r="CN22" s="168">
        <f t="shared" si="11"/>
        <v>0</v>
      </c>
      <c r="CO22" s="168">
        <f t="shared" si="11"/>
        <v>0</v>
      </c>
      <c r="CP22" s="168">
        <f t="shared" si="11"/>
        <v>0</v>
      </c>
      <c r="CQ22" s="168">
        <f t="shared" si="11"/>
        <v>0</v>
      </c>
      <c r="CR22" s="168">
        <f t="shared" si="11"/>
        <v>0</v>
      </c>
      <c r="CS22" s="168">
        <f t="shared" si="11"/>
        <v>0</v>
      </c>
      <c r="CT22" s="168">
        <f t="shared" si="11"/>
        <v>0</v>
      </c>
      <c r="CU22" s="168">
        <f t="shared" si="11"/>
        <v>0</v>
      </c>
      <c r="CV22" s="168">
        <f t="shared" si="11"/>
        <v>0</v>
      </c>
      <c r="CW22" s="168">
        <f t="shared" si="11"/>
        <v>0</v>
      </c>
      <c r="CX22" s="168">
        <f t="shared" si="11"/>
        <v>0</v>
      </c>
      <c r="CY22" s="168">
        <f t="shared" si="11"/>
        <v>0</v>
      </c>
      <c r="DC22" s="182" t="str">
        <f t="shared" si="12"/>
        <v>lot8</v>
      </c>
      <c r="DE22" s="168">
        <f t="shared" si="13"/>
        <v>0</v>
      </c>
      <c r="DF22" s="168">
        <f t="shared" si="13"/>
        <v>0</v>
      </c>
      <c r="DG22" s="168">
        <f t="shared" si="13"/>
        <v>0</v>
      </c>
      <c r="DH22" s="168">
        <f t="shared" si="13"/>
        <v>0</v>
      </c>
      <c r="DI22" s="168">
        <f t="shared" si="13"/>
        <v>0</v>
      </c>
      <c r="DJ22" s="168">
        <f t="shared" si="13"/>
        <v>0</v>
      </c>
      <c r="DK22" s="168">
        <f t="shared" si="13"/>
        <v>0</v>
      </c>
      <c r="DL22" s="168">
        <f t="shared" si="13"/>
        <v>0</v>
      </c>
      <c r="DM22" s="168">
        <f t="shared" si="13"/>
        <v>0</v>
      </c>
      <c r="DN22" s="168">
        <f t="shared" si="13"/>
        <v>0</v>
      </c>
      <c r="DO22" s="168">
        <f t="shared" si="13"/>
        <v>0</v>
      </c>
      <c r="DP22" s="168">
        <f t="shared" si="13"/>
        <v>0</v>
      </c>
      <c r="DQ22" s="168">
        <f t="shared" si="13"/>
        <v>0</v>
      </c>
      <c r="DR22" s="168">
        <f t="shared" si="13"/>
        <v>0</v>
      </c>
      <c r="DS22" s="168">
        <f t="shared" si="13"/>
        <v>0</v>
      </c>
      <c r="DT22" s="168">
        <f t="shared" si="13"/>
        <v>0</v>
      </c>
      <c r="DU22" s="168">
        <f t="shared" si="13"/>
        <v>0</v>
      </c>
      <c r="DV22" s="168">
        <f t="shared" si="13"/>
        <v>0</v>
      </c>
      <c r="DW22" s="168">
        <f t="shared" si="13"/>
        <v>0</v>
      </c>
      <c r="DX22" s="168">
        <f t="shared" si="13"/>
        <v>0</v>
      </c>
      <c r="DY22" s="168">
        <f t="shared" si="13"/>
        <v>0</v>
      </c>
      <c r="DZ22" s="168">
        <f t="shared" si="13"/>
        <v>0</v>
      </c>
      <c r="EA22" s="168">
        <f t="shared" si="13"/>
        <v>0</v>
      </c>
      <c r="EB22" s="168">
        <f t="shared" si="13"/>
        <v>0</v>
      </c>
    </row>
    <row r="23" spans="1:151" x14ac:dyDescent="0.25">
      <c r="AR23" s="181"/>
      <c r="AT23" s="182" t="str">
        <f t="shared" si="14"/>
        <v>lot9</v>
      </c>
      <c r="AV23" s="168">
        <f t="shared" si="9"/>
        <v>0</v>
      </c>
      <c r="AW23" s="168">
        <f t="shared" si="9"/>
        <v>0</v>
      </c>
      <c r="AX23" s="168">
        <f t="shared" si="9"/>
        <v>0</v>
      </c>
      <c r="AY23" s="168">
        <f t="shared" si="9"/>
        <v>0</v>
      </c>
      <c r="AZ23" s="168">
        <f t="shared" si="9"/>
        <v>0</v>
      </c>
      <c r="BA23" s="168">
        <f t="shared" si="9"/>
        <v>0</v>
      </c>
      <c r="BB23" s="168">
        <f t="shared" si="9"/>
        <v>0</v>
      </c>
      <c r="BC23" s="168">
        <f t="shared" si="9"/>
        <v>0</v>
      </c>
      <c r="BD23" s="168">
        <f t="shared" si="9"/>
        <v>0</v>
      </c>
      <c r="BE23" s="168">
        <f t="shared" si="9"/>
        <v>0</v>
      </c>
      <c r="BF23" s="168">
        <f t="shared" si="9"/>
        <v>0</v>
      </c>
      <c r="BG23" s="168">
        <f t="shared" si="9"/>
        <v>0</v>
      </c>
      <c r="BH23" s="168">
        <f t="shared" si="9"/>
        <v>0</v>
      </c>
      <c r="BI23" s="168">
        <f t="shared" si="9"/>
        <v>0</v>
      </c>
      <c r="BJ23" s="168">
        <f t="shared" si="9"/>
        <v>0</v>
      </c>
      <c r="BK23" s="168">
        <f t="shared" si="9"/>
        <v>0</v>
      </c>
      <c r="BL23" s="168">
        <f t="shared" si="9"/>
        <v>0</v>
      </c>
      <c r="BM23" s="168">
        <f t="shared" si="9"/>
        <v>0</v>
      </c>
      <c r="BN23" s="168">
        <f t="shared" si="9"/>
        <v>0</v>
      </c>
      <c r="BO23" s="168">
        <f t="shared" si="9"/>
        <v>0</v>
      </c>
      <c r="BP23" s="168">
        <f t="shared" si="9"/>
        <v>0</v>
      </c>
      <c r="BQ23" s="168">
        <f t="shared" si="9"/>
        <v>0</v>
      </c>
      <c r="BR23" s="168">
        <f t="shared" si="9"/>
        <v>0</v>
      </c>
      <c r="BS23" s="168">
        <f t="shared" si="9"/>
        <v>0</v>
      </c>
      <c r="BZ23" s="182" t="str">
        <f t="shared" si="10"/>
        <v>lot9</v>
      </c>
      <c r="CB23" s="168">
        <f t="shared" si="11"/>
        <v>0</v>
      </c>
      <c r="CC23" s="168">
        <f t="shared" si="11"/>
        <v>0</v>
      </c>
      <c r="CD23" s="168">
        <f t="shared" si="11"/>
        <v>0</v>
      </c>
      <c r="CE23" s="168">
        <f t="shared" si="11"/>
        <v>0</v>
      </c>
      <c r="CF23" s="168">
        <f t="shared" si="11"/>
        <v>0</v>
      </c>
      <c r="CG23" s="168">
        <f t="shared" si="11"/>
        <v>0</v>
      </c>
      <c r="CH23" s="168">
        <f t="shared" si="11"/>
        <v>0</v>
      </c>
      <c r="CI23" s="168">
        <f t="shared" si="11"/>
        <v>0</v>
      </c>
      <c r="CJ23" s="168">
        <f t="shared" si="11"/>
        <v>0</v>
      </c>
      <c r="CK23" s="168">
        <f t="shared" si="11"/>
        <v>0</v>
      </c>
      <c r="CL23" s="168">
        <f t="shared" si="11"/>
        <v>0</v>
      </c>
      <c r="CM23" s="168">
        <f t="shared" si="11"/>
        <v>0</v>
      </c>
      <c r="CN23" s="168">
        <f t="shared" si="11"/>
        <v>0</v>
      </c>
      <c r="CO23" s="168">
        <f t="shared" si="11"/>
        <v>0</v>
      </c>
      <c r="CP23" s="168">
        <f t="shared" si="11"/>
        <v>0</v>
      </c>
      <c r="CQ23" s="168">
        <f t="shared" si="11"/>
        <v>0</v>
      </c>
      <c r="CR23" s="168">
        <f t="shared" si="11"/>
        <v>0</v>
      </c>
      <c r="CS23" s="168">
        <f t="shared" si="11"/>
        <v>0</v>
      </c>
      <c r="CT23" s="168">
        <f t="shared" si="11"/>
        <v>0</v>
      </c>
      <c r="CU23" s="168">
        <f t="shared" si="11"/>
        <v>0</v>
      </c>
      <c r="CV23" s="168">
        <f t="shared" si="11"/>
        <v>0</v>
      </c>
      <c r="CW23" s="168">
        <f t="shared" si="11"/>
        <v>0</v>
      </c>
      <c r="CX23" s="168">
        <f t="shared" si="11"/>
        <v>0</v>
      </c>
      <c r="CY23" s="168">
        <f t="shared" si="11"/>
        <v>0</v>
      </c>
      <c r="DC23" s="182" t="str">
        <f t="shared" si="12"/>
        <v>lot9</v>
      </c>
      <c r="DE23" s="168">
        <f t="shared" si="13"/>
        <v>0</v>
      </c>
      <c r="DF23" s="168">
        <f t="shared" si="13"/>
        <v>0</v>
      </c>
      <c r="DG23" s="168">
        <f t="shared" si="13"/>
        <v>0</v>
      </c>
      <c r="DH23" s="168">
        <f t="shared" si="13"/>
        <v>0</v>
      </c>
      <c r="DI23" s="168">
        <f t="shared" si="13"/>
        <v>0</v>
      </c>
      <c r="DJ23" s="168">
        <f t="shared" si="13"/>
        <v>0</v>
      </c>
      <c r="DK23" s="168">
        <f t="shared" si="13"/>
        <v>0</v>
      </c>
      <c r="DL23" s="168">
        <f t="shared" si="13"/>
        <v>0</v>
      </c>
      <c r="DM23" s="168">
        <f t="shared" si="13"/>
        <v>0</v>
      </c>
      <c r="DN23" s="168">
        <f t="shared" si="13"/>
        <v>0</v>
      </c>
      <c r="DO23" s="168">
        <f t="shared" si="13"/>
        <v>0</v>
      </c>
      <c r="DP23" s="168">
        <f t="shared" si="13"/>
        <v>0</v>
      </c>
      <c r="DQ23" s="168">
        <f t="shared" si="13"/>
        <v>0</v>
      </c>
      <c r="DR23" s="168">
        <f t="shared" si="13"/>
        <v>0</v>
      </c>
      <c r="DS23" s="168">
        <f t="shared" si="13"/>
        <v>0</v>
      </c>
      <c r="DT23" s="168">
        <f t="shared" si="13"/>
        <v>0</v>
      </c>
      <c r="DU23" s="168">
        <f t="shared" si="13"/>
        <v>0</v>
      </c>
      <c r="DV23" s="168">
        <f t="shared" si="13"/>
        <v>0</v>
      </c>
      <c r="DW23" s="168">
        <f t="shared" si="13"/>
        <v>0</v>
      </c>
      <c r="DX23" s="168">
        <f t="shared" si="13"/>
        <v>0</v>
      </c>
      <c r="DY23" s="168">
        <f t="shared" si="13"/>
        <v>0</v>
      </c>
      <c r="DZ23" s="168">
        <f t="shared" si="13"/>
        <v>0</v>
      </c>
      <c r="EA23" s="168">
        <f t="shared" si="13"/>
        <v>0</v>
      </c>
      <c r="EB23" s="168">
        <f t="shared" si="13"/>
        <v>0</v>
      </c>
    </row>
    <row r="24" spans="1:151" x14ac:dyDescent="0.25">
      <c r="AR24" s="181"/>
      <c r="AT24" s="182" t="str">
        <f t="shared" si="14"/>
        <v>lot10</v>
      </c>
      <c r="AV24" s="168">
        <f t="shared" si="9"/>
        <v>0</v>
      </c>
      <c r="AW24" s="168">
        <f t="shared" si="9"/>
        <v>0</v>
      </c>
      <c r="AX24" s="168">
        <f t="shared" si="9"/>
        <v>0</v>
      </c>
      <c r="AY24" s="168">
        <f t="shared" si="9"/>
        <v>0</v>
      </c>
      <c r="AZ24" s="168">
        <f t="shared" si="9"/>
        <v>0</v>
      </c>
      <c r="BA24" s="168">
        <f t="shared" si="9"/>
        <v>0</v>
      </c>
      <c r="BB24" s="168">
        <f t="shared" si="9"/>
        <v>0</v>
      </c>
      <c r="BC24" s="168">
        <f t="shared" si="9"/>
        <v>0</v>
      </c>
      <c r="BD24" s="168">
        <f t="shared" si="9"/>
        <v>0</v>
      </c>
      <c r="BE24" s="168">
        <f t="shared" si="9"/>
        <v>0</v>
      </c>
      <c r="BF24" s="168">
        <f t="shared" si="9"/>
        <v>0</v>
      </c>
      <c r="BG24" s="168">
        <f t="shared" si="9"/>
        <v>0</v>
      </c>
      <c r="BH24" s="168">
        <f t="shared" si="9"/>
        <v>0</v>
      </c>
      <c r="BI24" s="168">
        <f t="shared" si="9"/>
        <v>0</v>
      </c>
      <c r="BJ24" s="168">
        <f t="shared" si="9"/>
        <v>0</v>
      </c>
      <c r="BK24" s="168">
        <f t="shared" si="9"/>
        <v>0</v>
      </c>
      <c r="BL24" s="168">
        <f t="shared" si="9"/>
        <v>0</v>
      </c>
      <c r="BM24" s="168">
        <f t="shared" si="9"/>
        <v>0</v>
      </c>
      <c r="BN24" s="168">
        <f t="shared" si="9"/>
        <v>0</v>
      </c>
      <c r="BO24" s="168">
        <f t="shared" si="9"/>
        <v>0</v>
      </c>
      <c r="BP24" s="168">
        <f t="shared" si="9"/>
        <v>0</v>
      </c>
      <c r="BQ24" s="168">
        <f t="shared" si="9"/>
        <v>0</v>
      </c>
      <c r="BR24" s="168">
        <f t="shared" si="9"/>
        <v>0</v>
      </c>
      <c r="BS24" s="168">
        <f t="shared" si="9"/>
        <v>0</v>
      </c>
      <c r="BZ24" s="182" t="str">
        <f t="shared" si="10"/>
        <v>lot10</v>
      </c>
      <c r="CB24" s="168">
        <f t="shared" si="11"/>
        <v>0</v>
      </c>
      <c r="CC24" s="168">
        <f t="shared" si="11"/>
        <v>0</v>
      </c>
      <c r="CD24" s="168">
        <f t="shared" si="11"/>
        <v>0</v>
      </c>
      <c r="CE24" s="168">
        <f t="shared" si="11"/>
        <v>0</v>
      </c>
      <c r="CF24" s="168">
        <f t="shared" si="11"/>
        <v>0</v>
      </c>
      <c r="CG24" s="168">
        <f t="shared" si="11"/>
        <v>0</v>
      </c>
      <c r="CH24" s="168">
        <f t="shared" si="11"/>
        <v>0</v>
      </c>
      <c r="CI24" s="168">
        <f t="shared" si="11"/>
        <v>0</v>
      </c>
      <c r="CJ24" s="168">
        <f t="shared" si="11"/>
        <v>0</v>
      </c>
      <c r="CK24" s="168">
        <f t="shared" si="11"/>
        <v>0</v>
      </c>
      <c r="CL24" s="168">
        <f t="shared" si="11"/>
        <v>0</v>
      </c>
      <c r="CM24" s="168">
        <f t="shared" si="11"/>
        <v>0</v>
      </c>
      <c r="CN24" s="168">
        <f t="shared" si="11"/>
        <v>0</v>
      </c>
      <c r="CO24" s="168">
        <f t="shared" si="11"/>
        <v>0</v>
      </c>
      <c r="CP24" s="168">
        <f t="shared" si="11"/>
        <v>0</v>
      </c>
      <c r="CQ24" s="168">
        <f t="shared" si="11"/>
        <v>0</v>
      </c>
      <c r="CR24" s="168">
        <f t="shared" si="11"/>
        <v>0</v>
      </c>
      <c r="CS24" s="168">
        <f t="shared" si="11"/>
        <v>0</v>
      </c>
      <c r="CT24" s="168">
        <f t="shared" si="11"/>
        <v>0</v>
      </c>
      <c r="CU24" s="168">
        <f t="shared" si="11"/>
        <v>0</v>
      </c>
      <c r="CV24" s="168">
        <f t="shared" si="11"/>
        <v>0</v>
      </c>
      <c r="CW24" s="168">
        <f t="shared" si="11"/>
        <v>0</v>
      </c>
      <c r="CX24" s="168">
        <f t="shared" si="11"/>
        <v>0</v>
      </c>
      <c r="CY24" s="168">
        <f t="shared" si="11"/>
        <v>0</v>
      </c>
      <c r="DC24" s="182" t="str">
        <f t="shared" si="12"/>
        <v>lot10</v>
      </c>
      <c r="DE24" s="168">
        <f t="shared" si="13"/>
        <v>0</v>
      </c>
      <c r="DF24" s="168">
        <f t="shared" si="13"/>
        <v>0</v>
      </c>
      <c r="DG24" s="168">
        <f t="shared" si="13"/>
        <v>0</v>
      </c>
      <c r="DH24" s="168">
        <f t="shared" si="13"/>
        <v>0</v>
      </c>
      <c r="DI24" s="168">
        <f t="shared" si="13"/>
        <v>0</v>
      </c>
      <c r="DJ24" s="168">
        <f t="shared" si="13"/>
        <v>0</v>
      </c>
      <c r="DK24" s="168">
        <f t="shared" si="13"/>
        <v>0</v>
      </c>
      <c r="DL24" s="168">
        <f t="shared" si="13"/>
        <v>0</v>
      </c>
      <c r="DM24" s="168">
        <f t="shared" si="13"/>
        <v>0</v>
      </c>
      <c r="DN24" s="168">
        <f t="shared" si="13"/>
        <v>0</v>
      </c>
      <c r="DO24" s="168">
        <f t="shared" si="13"/>
        <v>0</v>
      </c>
      <c r="DP24" s="168">
        <f t="shared" si="13"/>
        <v>0</v>
      </c>
      <c r="DQ24" s="168">
        <f t="shared" si="13"/>
        <v>0</v>
      </c>
      <c r="DR24" s="168">
        <f t="shared" si="13"/>
        <v>0</v>
      </c>
      <c r="DS24" s="168">
        <f t="shared" si="13"/>
        <v>0</v>
      </c>
      <c r="DT24" s="168">
        <f t="shared" si="13"/>
        <v>0</v>
      </c>
      <c r="DU24" s="168">
        <f t="shared" si="13"/>
        <v>0</v>
      </c>
      <c r="DV24" s="168">
        <f t="shared" si="13"/>
        <v>0</v>
      </c>
      <c r="DW24" s="168">
        <f t="shared" si="13"/>
        <v>0</v>
      </c>
      <c r="DX24" s="168">
        <f t="shared" si="13"/>
        <v>0</v>
      </c>
      <c r="DY24" s="168">
        <f t="shared" si="13"/>
        <v>0</v>
      </c>
      <c r="DZ24" s="168">
        <f t="shared" si="13"/>
        <v>0</v>
      </c>
      <c r="EA24" s="168">
        <f t="shared" si="13"/>
        <v>0</v>
      </c>
      <c r="EB24" s="168">
        <f t="shared" si="13"/>
        <v>0</v>
      </c>
    </row>
    <row r="25" spans="1:151" x14ac:dyDescent="0.25">
      <c r="AR25" s="181"/>
      <c r="AT25" s="184" t="s">
        <v>745</v>
      </c>
      <c r="AU25" s="177"/>
      <c r="BZ25" s="184" t="s">
        <v>745</v>
      </c>
      <c r="CA25" s="177"/>
      <c r="CB25" s="165"/>
      <c r="CC25" s="165"/>
      <c r="CD25" s="165"/>
      <c r="CE25" s="165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5"/>
      <c r="CS25" s="165"/>
      <c r="CT25" s="165"/>
      <c r="CU25" s="165"/>
      <c r="CV25" s="165"/>
      <c r="CW25" s="165"/>
      <c r="CX25" s="165"/>
      <c r="CY25" s="165"/>
      <c r="DC25" s="184" t="s">
        <v>745</v>
      </c>
      <c r="DD25" s="177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5"/>
      <c r="EA25" s="165"/>
      <c r="EB25" s="165"/>
    </row>
    <row r="26" spans="1:151" x14ac:dyDescent="0.25">
      <c r="AR26" s="181"/>
      <c r="AT26" s="182" t="str">
        <f>CdTrp1!A15</f>
        <v xml:space="preserve">Vaches </v>
      </c>
      <c r="AU26" s="185" t="str">
        <f>Scénario!K96</f>
        <v>fort</v>
      </c>
      <c r="AV26" s="168">
        <f t="shared" ref="AV26:BK35" si="17">IF($AU26="fort",2,IF($AU26="faible",1,0))</f>
        <v>2</v>
      </c>
      <c r="AW26" s="168">
        <f t="shared" si="17"/>
        <v>2</v>
      </c>
      <c r="AX26" s="168">
        <f t="shared" si="17"/>
        <v>2</v>
      </c>
      <c r="AY26" s="168">
        <f t="shared" si="17"/>
        <v>2</v>
      </c>
      <c r="AZ26" s="168">
        <f t="shared" si="17"/>
        <v>2</v>
      </c>
      <c r="BA26" s="168">
        <f t="shared" si="17"/>
        <v>2</v>
      </c>
      <c r="BB26" s="168">
        <f t="shared" si="17"/>
        <v>2</v>
      </c>
      <c r="BC26" s="168">
        <f t="shared" si="17"/>
        <v>2</v>
      </c>
      <c r="BD26" s="168">
        <f t="shared" si="17"/>
        <v>2</v>
      </c>
      <c r="BE26" s="168">
        <f t="shared" si="17"/>
        <v>2</v>
      </c>
      <c r="BF26" s="168">
        <f t="shared" si="17"/>
        <v>2</v>
      </c>
      <c r="BG26" s="168">
        <f t="shared" si="17"/>
        <v>2</v>
      </c>
      <c r="BH26" s="168">
        <f t="shared" si="17"/>
        <v>2</v>
      </c>
      <c r="BI26" s="168">
        <f t="shared" si="17"/>
        <v>2</v>
      </c>
      <c r="BJ26" s="168">
        <f t="shared" si="17"/>
        <v>2</v>
      </c>
      <c r="BK26" s="168">
        <f t="shared" si="17"/>
        <v>2</v>
      </c>
      <c r="BL26" s="168">
        <f t="shared" ref="BL26:BS35" si="18">IF($AU26="fort",2,IF($AU26="faible",1,0))</f>
        <v>2</v>
      </c>
      <c r="BM26" s="168">
        <f t="shared" si="18"/>
        <v>2</v>
      </c>
      <c r="BN26" s="168">
        <f t="shared" si="18"/>
        <v>2</v>
      </c>
      <c r="BO26" s="168">
        <f t="shared" si="18"/>
        <v>2</v>
      </c>
      <c r="BP26" s="168">
        <f t="shared" si="18"/>
        <v>2</v>
      </c>
      <c r="BQ26" s="168">
        <f t="shared" si="18"/>
        <v>2</v>
      </c>
      <c r="BR26" s="168">
        <f t="shared" si="18"/>
        <v>2</v>
      </c>
      <c r="BS26" s="168">
        <f t="shared" si="18"/>
        <v>2</v>
      </c>
      <c r="BV26" t="s">
        <v>746</v>
      </c>
      <c r="BZ26" s="182" t="str">
        <f t="shared" ref="BZ26:BZ35" si="19">+BZ4</f>
        <v>lot1</v>
      </c>
      <c r="CA26" s="185">
        <f>Scénario!K106</f>
        <v>0</v>
      </c>
      <c r="CB26" s="168">
        <f t="shared" ref="CB26:CK35" si="20">IF($CA26="fort",2,IF($CA26="faible",1,0))</f>
        <v>0</v>
      </c>
      <c r="CC26" s="168">
        <f t="shared" si="20"/>
        <v>0</v>
      </c>
      <c r="CD26" s="168">
        <f t="shared" si="20"/>
        <v>0</v>
      </c>
      <c r="CE26" s="168">
        <f t="shared" si="20"/>
        <v>0</v>
      </c>
      <c r="CF26" s="168">
        <f t="shared" si="20"/>
        <v>0</v>
      </c>
      <c r="CG26" s="168">
        <f t="shared" si="20"/>
        <v>0</v>
      </c>
      <c r="CH26" s="168">
        <f t="shared" si="20"/>
        <v>0</v>
      </c>
      <c r="CI26" s="168">
        <f t="shared" si="20"/>
        <v>0</v>
      </c>
      <c r="CJ26" s="168">
        <f t="shared" si="20"/>
        <v>0</v>
      </c>
      <c r="CK26" s="168">
        <f t="shared" si="20"/>
        <v>0</v>
      </c>
      <c r="CL26" s="168">
        <f t="shared" ref="CL26:CY35" si="21">IF($CA26="fort",2,IF($CA26="faible",1,0))</f>
        <v>0</v>
      </c>
      <c r="CM26" s="168">
        <f t="shared" si="21"/>
        <v>0</v>
      </c>
      <c r="CN26" s="168">
        <f t="shared" si="21"/>
        <v>0</v>
      </c>
      <c r="CO26" s="168">
        <f t="shared" si="21"/>
        <v>0</v>
      </c>
      <c r="CP26" s="168">
        <f t="shared" si="21"/>
        <v>0</v>
      </c>
      <c r="CQ26" s="168">
        <f t="shared" si="21"/>
        <v>0</v>
      </c>
      <c r="CR26" s="168">
        <f t="shared" si="21"/>
        <v>0</v>
      </c>
      <c r="CS26" s="168">
        <f t="shared" si="21"/>
        <v>0</v>
      </c>
      <c r="CT26" s="168">
        <f t="shared" si="21"/>
        <v>0</v>
      </c>
      <c r="CU26" s="168">
        <f t="shared" si="21"/>
        <v>0</v>
      </c>
      <c r="CV26" s="168">
        <f t="shared" si="21"/>
        <v>0</v>
      </c>
      <c r="CW26" s="168">
        <f t="shared" si="21"/>
        <v>0</v>
      </c>
      <c r="CX26" s="168">
        <f t="shared" si="21"/>
        <v>0</v>
      </c>
      <c r="CY26" s="168">
        <f t="shared" si="21"/>
        <v>0</v>
      </c>
      <c r="DC26" s="182" t="str">
        <f t="shared" ref="DC26:DC35" si="22">+DC4</f>
        <v>lot1</v>
      </c>
      <c r="DD26" s="185">
        <f>Scénario!K116</f>
        <v>0</v>
      </c>
      <c r="DE26" s="168">
        <f>IF($DD26="fort",2,IF($DD26="faible",1,0))</f>
        <v>0</v>
      </c>
      <c r="DF26" s="168">
        <f t="shared" ref="DF26:EB35" si="23">IF($DD26="fort",2,IF($DD26="faible",1,0))</f>
        <v>0</v>
      </c>
      <c r="DG26" s="168">
        <f t="shared" si="23"/>
        <v>0</v>
      </c>
      <c r="DH26" s="168">
        <f t="shared" si="23"/>
        <v>0</v>
      </c>
      <c r="DI26" s="168">
        <f t="shared" si="23"/>
        <v>0</v>
      </c>
      <c r="DJ26" s="168">
        <f t="shared" si="23"/>
        <v>0</v>
      </c>
      <c r="DK26" s="168">
        <f t="shared" si="23"/>
        <v>0</v>
      </c>
      <c r="DL26" s="168">
        <f t="shared" si="23"/>
        <v>0</v>
      </c>
      <c r="DM26" s="168">
        <f t="shared" si="23"/>
        <v>0</v>
      </c>
      <c r="DN26" s="168">
        <f t="shared" si="23"/>
        <v>0</v>
      </c>
      <c r="DO26" s="168">
        <f t="shared" si="23"/>
        <v>0</v>
      </c>
      <c r="DP26" s="168">
        <f t="shared" si="23"/>
        <v>0</v>
      </c>
      <c r="DQ26" s="168">
        <f t="shared" si="23"/>
        <v>0</v>
      </c>
      <c r="DR26" s="168">
        <f t="shared" si="23"/>
        <v>0</v>
      </c>
      <c r="DS26" s="168">
        <f t="shared" si="23"/>
        <v>0</v>
      </c>
      <c r="DT26" s="168">
        <f t="shared" si="23"/>
        <v>0</v>
      </c>
      <c r="DU26" s="168">
        <f t="shared" si="23"/>
        <v>0</v>
      </c>
      <c r="DV26" s="168">
        <f t="shared" si="23"/>
        <v>0</v>
      </c>
      <c r="DW26" s="168">
        <f t="shared" si="23"/>
        <v>0</v>
      </c>
      <c r="DX26" s="168">
        <f t="shared" si="23"/>
        <v>0</v>
      </c>
      <c r="DY26" s="168">
        <f t="shared" si="23"/>
        <v>0</v>
      </c>
      <c r="DZ26" s="168">
        <f t="shared" si="23"/>
        <v>0</v>
      </c>
      <c r="EA26" s="168">
        <f t="shared" si="23"/>
        <v>0</v>
      </c>
      <c r="EB26" s="168">
        <f t="shared" si="23"/>
        <v>0</v>
      </c>
    </row>
    <row r="27" spans="1:151" x14ac:dyDescent="0.25">
      <c r="AR27" s="181"/>
      <c r="AT27" s="182" t="str">
        <f>CdTrp1!A16</f>
        <v>Génisses 24 mois</v>
      </c>
      <c r="AU27" s="185" t="str">
        <f>Scénario!K97</f>
        <v>faible</v>
      </c>
      <c r="AV27" s="168">
        <f t="shared" si="17"/>
        <v>1</v>
      </c>
      <c r="AW27" s="168">
        <f t="shared" si="17"/>
        <v>1</v>
      </c>
      <c r="AX27" s="168">
        <f t="shared" si="17"/>
        <v>1</v>
      </c>
      <c r="AY27" s="168">
        <f t="shared" si="17"/>
        <v>1</v>
      </c>
      <c r="AZ27" s="168">
        <f t="shared" si="17"/>
        <v>1</v>
      </c>
      <c r="BA27" s="168">
        <f t="shared" si="17"/>
        <v>1</v>
      </c>
      <c r="BB27" s="168">
        <f t="shared" si="17"/>
        <v>1</v>
      </c>
      <c r="BC27" s="168">
        <f t="shared" si="17"/>
        <v>1</v>
      </c>
      <c r="BD27" s="168">
        <f t="shared" si="17"/>
        <v>1</v>
      </c>
      <c r="BE27" s="168">
        <f t="shared" si="17"/>
        <v>1</v>
      </c>
      <c r="BF27" s="168">
        <f t="shared" si="17"/>
        <v>1</v>
      </c>
      <c r="BG27" s="168">
        <f t="shared" si="17"/>
        <v>1</v>
      </c>
      <c r="BH27" s="168">
        <f t="shared" si="17"/>
        <v>1</v>
      </c>
      <c r="BI27" s="168">
        <f t="shared" si="17"/>
        <v>1</v>
      </c>
      <c r="BJ27" s="168">
        <f t="shared" si="17"/>
        <v>1</v>
      </c>
      <c r="BK27" s="168">
        <f t="shared" si="17"/>
        <v>1</v>
      </c>
      <c r="BL27" s="168">
        <f t="shared" si="18"/>
        <v>1</v>
      </c>
      <c r="BM27" s="168">
        <f t="shared" si="18"/>
        <v>1</v>
      </c>
      <c r="BN27" s="168">
        <f t="shared" si="18"/>
        <v>1</v>
      </c>
      <c r="BO27" s="168">
        <f t="shared" si="18"/>
        <v>1</v>
      </c>
      <c r="BP27" s="168">
        <f t="shared" si="18"/>
        <v>1</v>
      </c>
      <c r="BQ27" s="168">
        <f t="shared" si="18"/>
        <v>1</v>
      </c>
      <c r="BR27" s="168">
        <f t="shared" si="18"/>
        <v>1</v>
      </c>
      <c r="BS27" s="168">
        <f t="shared" si="18"/>
        <v>1</v>
      </c>
      <c r="BU27">
        <v>2</v>
      </c>
      <c r="BV27" t="s">
        <v>619</v>
      </c>
      <c r="BZ27" s="182" t="str">
        <f t="shared" si="19"/>
        <v>lot2</v>
      </c>
      <c r="CA27" s="185">
        <f>Scénario!K107</f>
        <v>0</v>
      </c>
      <c r="CB27" s="168">
        <f t="shared" si="20"/>
        <v>0</v>
      </c>
      <c r="CC27" s="168">
        <f t="shared" si="20"/>
        <v>0</v>
      </c>
      <c r="CD27" s="168">
        <f t="shared" si="20"/>
        <v>0</v>
      </c>
      <c r="CE27" s="168">
        <f t="shared" si="20"/>
        <v>0</v>
      </c>
      <c r="CF27" s="168">
        <f t="shared" si="20"/>
        <v>0</v>
      </c>
      <c r="CG27" s="168">
        <f t="shared" si="20"/>
        <v>0</v>
      </c>
      <c r="CH27" s="168">
        <f t="shared" si="20"/>
        <v>0</v>
      </c>
      <c r="CI27" s="168">
        <f t="shared" si="20"/>
        <v>0</v>
      </c>
      <c r="CJ27" s="168">
        <f t="shared" si="20"/>
        <v>0</v>
      </c>
      <c r="CK27" s="168">
        <f t="shared" si="20"/>
        <v>0</v>
      </c>
      <c r="CL27" s="168">
        <f t="shared" si="21"/>
        <v>0</v>
      </c>
      <c r="CM27" s="168">
        <f t="shared" si="21"/>
        <v>0</v>
      </c>
      <c r="CN27" s="168">
        <f t="shared" si="21"/>
        <v>0</v>
      </c>
      <c r="CO27" s="168">
        <f t="shared" si="21"/>
        <v>0</v>
      </c>
      <c r="CP27" s="168">
        <f t="shared" si="21"/>
        <v>0</v>
      </c>
      <c r="CQ27" s="168">
        <f t="shared" si="21"/>
        <v>0</v>
      </c>
      <c r="CR27" s="168">
        <f t="shared" si="21"/>
        <v>0</v>
      </c>
      <c r="CS27" s="168">
        <f t="shared" si="21"/>
        <v>0</v>
      </c>
      <c r="CT27" s="168">
        <f t="shared" si="21"/>
        <v>0</v>
      </c>
      <c r="CU27" s="168">
        <f t="shared" si="21"/>
        <v>0</v>
      </c>
      <c r="CV27" s="168">
        <f t="shared" si="21"/>
        <v>0</v>
      </c>
      <c r="CW27" s="168">
        <f t="shared" si="21"/>
        <v>0</v>
      </c>
      <c r="CX27" s="168">
        <f t="shared" si="21"/>
        <v>0</v>
      </c>
      <c r="CY27" s="168">
        <f t="shared" si="21"/>
        <v>0</v>
      </c>
      <c r="DC27" s="182" t="str">
        <f t="shared" si="22"/>
        <v>lot2</v>
      </c>
      <c r="DD27" s="185">
        <f>Scénario!K117</f>
        <v>0</v>
      </c>
      <c r="DE27" s="168">
        <f t="shared" ref="DE27:DE35" si="24">IF($DD27="fort",2,IF($DD27="faible",1,0))</f>
        <v>0</v>
      </c>
      <c r="DF27" s="168">
        <f t="shared" si="23"/>
        <v>0</v>
      </c>
      <c r="DG27" s="168">
        <f t="shared" si="23"/>
        <v>0</v>
      </c>
      <c r="DH27" s="168">
        <f t="shared" si="23"/>
        <v>0</v>
      </c>
      <c r="DI27" s="168">
        <f t="shared" si="23"/>
        <v>0</v>
      </c>
      <c r="DJ27" s="168">
        <f t="shared" si="23"/>
        <v>0</v>
      </c>
      <c r="DK27" s="168">
        <f t="shared" si="23"/>
        <v>0</v>
      </c>
      <c r="DL27" s="168">
        <f t="shared" si="23"/>
        <v>0</v>
      </c>
      <c r="DM27" s="168">
        <f t="shared" si="23"/>
        <v>0</v>
      </c>
      <c r="DN27" s="168">
        <f t="shared" si="23"/>
        <v>0</v>
      </c>
      <c r="DO27" s="168">
        <f t="shared" si="23"/>
        <v>0</v>
      </c>
      <c r="DP27" s="168">
        <f t="shared" si="23"/>
        <v>0</v>
      </c>
      <c r="DQ27" s="168">
        <f t="shared" si="23"/>
        <v>0</v>
      </c>
      <c r="DR27" s="168">
        <f t="shared" si="23"/>
        <v>0</v>
      </c>
      <c r="DS27" s="168">
        <f t="shared" si="23"/>
        <v>0</v>
      </c>
      <c r="DT27" s="168">
        <f t="shared" si="23"/>
        <v>0</v>
      </c>
      <c r="DU27" s="168">
        <f t="shared" si="23"/>
        <v>0</v>
      </c>
      <c r="DV27" s="168">
        <f t="shared" si="23"/>
        <v>0</v>
      </c>
      <c r="DW27" s="168">
        <f t="shared" si="23"/>
        <v>0</v>
      </c>
      <c r="DX27" s="168">
        <f t="shared" si="23"/>
        <v>0</v>
      </c>
      <c r="DY27" s="168">
        <f t="shared" si="23"/>
        <v>0</v>
      </c>
      <c r="DZ27" s="168">
        <f t="shared" si="23"/>
        <v>0</v>
      </c>
      <c r="EA27" s="168">
        <f t="shared" si="23"/>
        <v>0</v>
      </c>
      <c r="EB27" s="168">
        <f t="shared" si="23"/>
        <v>0</v>
      </c>
    </row>
    <row r="28" spans="1:151" x14ac:dyDescent="0.25">
      <c r="AR28" s="181" t="s">
        <v>730</v>
      </c>
      <c r="AT28" s="182" t="str">
        <f>CdTrp1!A17</f>
        <v>Génisses jeunes</v>
      </c>
      <c r="AU28" s="185" t="str">
        <f>Scénario!K98</f>
        <v>faible</v>
      </c>
      <c r="AV28" s="168">
        <f t="shared" si="17"/>
        <v>1</v>
      </c>
      <c r="AW28" s="168">
        <f t="shared" si="17"/>
        <v>1</v>
      </c>
      <c r="AX28" s="168">
        <f t="shared" si="17"/>
        <v>1</v>
      </c>
      <c r="AY28" s="168">
        <f t="shared" si="17"/>
        <v>1</v>
      </c>
      <c r="AZ28" s="168">
        <f t="shared" si="17"/>
        <v>1</v>
      </c>
      <c r="BA28" s="168">
        <f t="shared" si="17"/>
        <v>1</v>
      </c>
      <c r="BB28" s="168">
        <f t="shared" si="17"/>
        <v>1</v>
      </c>
      <c r="BC28" s="168">
        <f t="shared" si="17"/>
        <v>1</v>
      </c>
      <c r="BD28" s="168">
        <f t="shared" si="17"/>
        <v>1</v>
      </c>
      <c r="BE28" s="168">
        <f t="shared" si="17"/>
        <v>1</v>
      </c>
      <c r="BF28" s="168">
        <f t="shared" si="17"/>
        <v>1</v>
      </c>
      <c r="BG28" s="168">
        <f t="shared" si="17"/>
        <v>1</v>
      </c>
      <c r="BH28" s="168">
        <f t="shared" si="17"/>
        <v>1</v>
      </c>
      <c r="BI28" s="168">
        <f t="shared" si="17"/>
        <v>1</v>
      </c>
      <c r="BJ28" s="168">
        <f t="shared" si="17"/>
        <v>1</v>
      </c>
      <c r="BK28" s="168">
        <f t="shared" si="17"/>
        <v>1</v>
      </c>
      <c r="BL28" s="168">
        <f t="shared" si="18"/>
        <v>1</v>
      </c>
      <c r="BM28" s="168">
        <f t="shared" si="18"/>
        <v>1</v>
      </c>
      <c r="BN28" s="168">
        <f t="shared" si="18"/>
        <v>1</v>
      </c>
      <c r="BO28" s="168">
        <f t="shared" si="18"/>
        <v>1</v>
      </c>
      <c r="BP28" s="168">
        <f t="shared" si="18"/>
        <v>1</v>
      </c>
      <c r="BQ28" s="168">
        <f t="shared" si="18"/>
        <v>1</v>
      </c>
      <c r="BR28" s="168">
        <f t="shared" si="18"/>
        <v>1</v>
      </c>
      <c r="BS28" s="168">
        <f t="shared" si="18"/>
        <v>1</v>
      </c>
      <c r="BU28">
        <v>1</v>
      </c>
      <c r="BV28" t="s">
        <v>620</v>
      </c>
      <c r="BZ28" s="182" t="str">
        <f t="shared" si="19"/>
        <v>lot3</v>
      </c>
      <c r="CA28" s="185">
        <f>Scénario!K108</f>
        <v>0</v>
      </c>
      <c r="CB28" s="168">
        <f t="shared" si="20"/>
        <v>0</v>
      </c>
      <c r="CC28" s="168">
        <f t="shared" si="20"/>
        <v>0</v>
      </c>
      <c r="CD28" s="168">
        <f t="shared" si="20"/>
        <v>0</v>
      </c>
      <c r="CE28" s="168">
        <f t="shared" si="20"/>
        <v>0</v>
      </c>
      <c r="CF28" s="168">
        <f t="shared" si="20"/>
        <v>0</v>
      </c>
      <c r="CG28" s="168">
        <f t="shared" si="20"/>
        <v>0</v>
      </c>
      <c r="CH28" s="168">
        <f t="shared" si="20"/>
        <v>0</v>
      </c>
      <c r="CI28" s="168">
        <f t="shared" si="20"/>
        <v>0</v>
      </c>
      <c r="CJ28" s="168">
        <f t="shared" si="20"/>
        <v>0</v>
      </c>
      <c r="CK28" s="168">
        <f t="shared" si="20"/>
        <v>0</v>
      </c>
      <c r="CL28" s="168">
        <f t="shared" si="21"/>
        <v>0</v>
      </c>
      <c r="CM28" s="168">
        <f t="shared" si="21"/>
        <v>0</v>
      </c>
      <c r="CN28" s="168">
        <f t="shared" si="21"/>
        <v>0</v>
      </c>
      <c r="CO28" s="168">
        <f t="shared" si="21"/>
        <v>0</v>
      </c>
      <c r="CP28" s="168">
        <f t="shared" si="21"/>
        <v>0</v>
      </c>
      <c r="CQ28" s="168">
        <f t="shared" si="21"/>
        <v>0</v>
      </c>
      <c r="CR28" s="168">
        <f t="shared" si="21"/>
        <v>0</v>
      </c>
      <c r="CS28" s="168">
        <f t="shared" si="21"/>
        <v>0</v>
      </c>
      <c r="CT28" s="168">
        <f t="shared" si="21"/>
        <v>0</v>
      </c>
      <c r="CU28" s="168">
        <f t="shared" si="21"/>
        <v>0</v>
      </c>
      <c r="CV28" s="168">
        <f t="shared" si="21"/>
        <v>0</v>
      </c>
      <c r="CW28" s="168">
        <f t="shared" si="21"/>
        <v>0</v>
      </c>
      <c r="CX28" s="168">
        <f t="shared" si="21"/>
        <v>0</v>
      </c>
      <c r="CY28" s="168">
        <f t="shared" si="21"/>
        <v>0</v>
      </c>
      <c r="DC28" s="182" t="str">
        <f t="shared" si="22"/>
        <v>lot3</v>
      </c>
      <c r="DD28" s="185">
        <f>Scénario!K118</f>
        <v>0</v>
      </c>
      <c r="DE28" s="168">
        <f t="shared" si="24"/>
        <v>0</v>
      </c>
      <c r="DF28" s="168">
        <f t="shared" si="23"/>
        <v>0</v>
      </c>
      <c r="DG28" s="168">
        <f t="shared" si="23"/>
        <v>0</v>
      </c>
      <c r="DH28" s="168">
        <f t="shared" si="23"/>
        <v>0</v>
      </c>
      <c r="DI28" s="168">
        <f t="shared" si="23"/>
        <v>0</v>
      </c>
      <c r="DJ28" s="168">
        <f t="shared" si="23"/>
        <v>0</v>
      </c>
      <c r="DK28" s="168">
        <f t="shared" si="23"/>
        <v>0</v>
      </c>
      <c r="DL28" s="168">
        <f t="shared" si="23"/>
        <v>0</v>
      </c>
      <c r="DM28" s="168">
        <f t="shared" si="23"/>
        <v>0</v>
      </c>
      <c r="DN28" s="168">
        <f t="shared" si="23"/>
        <v>0</v>
      </c>
      <c r="DO28" s="168">
        <f t="shared" si="23"/>
        <v>0</v>
      </c>
      <c r="DP28" s="168">
        <f t="shared" si="23"/>
        <v>0</v>
      </c>
      <c r="DQ28" s="168">
        <f t="shared" si="23"/>
        <v>0</v>
      </c>
      <c r="DR28" s="168">
        <f t="shared" si="23"/>
        <v>0</v>
      </c>
      <c r="DS28" s="168">
        <f t="shared" si="23"/>
        <v>0</v>
      </c>
      <c r="DT28" s="168">
        <f t="shared" si="23"/>
        <v>0</v>
      </c>
      <c r="DU28" s="168">
        <f t="shared" si="23"/>
        <v>0</v>
      </c>
      <c r="DV28" s="168">
        <f t="shared" si="23"/>
        <v>0</v>
      </c>
      <c r="DW28" s="168">
        <f t="shared" si="23"/>
        <v>0</v>
      </c>
      <c r="DX28" s="168">
        <f t="shared" si="23"/>
        <v>0</v>
      </c>
      <c r="DY28" s="168">
        <f t="shared" si="23"/>
        <v>0</v>
      </c>
      <c r="DZ28" s="168">
        <f t="shared" si="23"/>
        <v>0</v>
      </c>
      <c r="EA28" s="168">
        <f t="shared" si="23"/>
        <v>0</v>
      </c>
      <c r="EB28" s="168">
        <f t="shared" si="23"/>
        <v>0</v>
      </c>
    </row>
    <row r="29" spans="1:151" x14ac:dyDescent="0.25">
      <c r="AR29" s="181" t="s">
        <v>730</v>
      </c>
      <c r="AT29" s="182" t="str">
        <f>CdTrp1!A18</f>
        <v>broutards</v>
      </c>
      <c r="AU29" s="185" t="str">
        <f>Scénario!K99</f>
        <v>fort</v>
      </c>
      <c r="AV29" s="168">
        <f t="shared" si="17"/>
        <v>2</v>
      </c>
      <c r="AW29" s="168">
        <f t="shared" si="17"/>
        <v>2</v>
      </c>
      <c r="AX29" s="168">
        <f t="shared" si="17"/>
        <v>2</v>
      </c>
      <c r="AY29" s="168">
        <f t="shared" si="17"/>
        <v>2</v>
      </c>
      <c r="AZ29" s="168">
        <f t="shared" si="17"/>
        <v>2</v>
      </c>
      <c r="BA29" s="168">
        <f t="shared" si="17"/>
        <v>2</v>
      </c>
      <c r="BB29" s="168">
        <f t="shared" si="17"/>
        <v>2</v>
      </c>
      <c r="BC29" s="168">
        <f t="shared" si="17"/>
        <v>2</v>
      </c>
      <c r="BD29" s="168">
        <f t="shared" si="17"/>
        <v>2</v>
      </c>
      <c r="BE29" s="168">
        <f t="shared" si="17"/>
        <v>2</v>
      </c>
      <c r="BF29" s="168">
        <f t="shared" si="17"/>
        <v>2</v>
      </c>
      <c r="BG29" s="168">
        <f t="shared" si="17"/>
        <v>2</v>
      </c>
      <c r="BH29" s="168">
        <f t="shared" si="17"/>
        <v>2</v>
      </c>
      <c r="BI29" s="168">
        <f t="shared" si="17"/>
        <v>2</v>
      </c>
      <c r="BJ29" s="168">
        <f t="shared" si="17"/>
        <v>2</v>
      </c>
      <c r="BK29" s="168">
        <f t="shared" si="17"/>
        <v>2</v>
      </c>
      <c r="BL29" s="168">
        <f t="shared" si="18"/>
        <v>2</v>
      </c>
      <c r="BM29" s="168">
        <f t="shared" si="18"/>
        <v>2</v>
      </c>
      <c r="BN29" s="168">
        <f t="shared" si="18"/>
        <v>2</v>
      </c>
      <c r="BO29" s="168">
        <f t="shared" si="18"/>
        <v>2</v>
      </c>
      <c r="BP29" s="168">
        <f t="shared" si="18"/>
        <v>2</v>
      </c>
      <c r="BQ29" s="168">
        <f t="shared" si="18"/>
        <v>2</v>
      </c>
      <c r="BR29" s="168">
        <f t="shared" si="18"/>
        <v>2</v>
      </c>
      <c r="BS29" s="168">
        <f t="shared" si="18"/>
        <v>2</v>
      </c>
      <c r="BZ29" s="182" t="str">
        <f t="shared" si="19"/>
        <v>lot4</v>
      </c>
      <c r="CA29" s="185">
        <f>Scénario!K109</f>
        <v>0</v>
      </c>
      <c r="CB29" s="168">
        <f t="shared" si="20"/>
        <v>0</v>
      </c>
      <c r="CC29" s="168">
        <f t="shared" si="20"/>
        <v>0</v>
      </c>
      <c r="CD29" s="168">
        <f t="shared" si="20"/>
        <v>0</v>
      </c>
      <c r="CE29" s="168">
        <f t="shared" si="20"/>
        <v>0</v>
      </c>
      <c r="CF29" s="168">
        <f t="shared" si="20"/>
        <v>0</v>
      </c>
      <c r="CG29" s="168">
        <f t="shared" si="20"/>
        <v>0</v>
      </c>
      <c r="CH29" s="168">
        <f t="shared" si="20"/>
        <v>0</v>
      </c>
      <c r="CI29" s="168">
        <f t="shared" si="20"/>
        <v>0</v>
      </c>
      <c r="CJ29" s="168">
        <f t="shared" si="20"/>
        <v>0</v>
      </c>
      <c r="CK29" s="168">
        <f t="shared" si="20"/>
        <v>0</v>
      </c>
      <c r="CL29" s="168">
        <f t="shared" si="21"/>
        <v>0</v>
      </c>
      <c r="CM29" s="168">
        <f t="shared" si="21"/>
        <v>0</v>
      </c>
      <c r="CN29" s="168">
        <f t="shared" si="21"/>
        <v>0</v>
      </c>
      <c r="CO29" s="168">
        <f t="shared" si="21"/>
        <v>0</v>
      </c>
      <c r="CP29" s="168">
        <f t="shared" si="21"/>
        <v>0</v>
      </c>
      <c r="CQ29" s="168">
        <f t="shared" si="21"/>
        <v>0</v>
      </c>
      <c r="CR29" s="168">
        <f t="shared" si="21"/>
        <v>0</v>
      </c>
      <c r="CS29" s="168">
        <f t="shared" si="21"/>
        <v>0</v>
      </c>
      <c r="CT29" s="168">
        <f t="shared" si="21"/>
        <v>0</v>
      </c>
      <c r="CU29" s="168">
        <f t="shared" si="21"/>
        <v>0</v>
      </c>
      <c r="CV29" s="168">
        <f t="shared" si="21"/>
        <v>0</v>
      </c>
      <c r="CW29" s="168">
        <f t="shared" si="21"/>
        <v>0</v>
      </c>
      <c r="CX29" s="168">
        <f t="shared" si="21"/>
        <v>0</v>
      </c>
      <c r="CY29" s="168">
        <f t="shared" si="21"/>
        <v>0</v>
      </c>
      <c r="DC29" s="182" t="str">
        <f t="shared" si="22"/>
        <v>lot4</v>
      </c>
      <c r="DD29" s="185">
        <f>Scénario!K119</f>
        <v>0</v>
      </c>
      <c r="DE29" s="168">
        <f t="shared" si="24"/>
        <v>0</v>
      </c>
      <c r="DF29" s="168">
        <f t="shared" si="23"/>
        <v>0</v>
      </c>
      <c r="DG29" s="168">
        <f t="shared" si="23"/>
        <v>0</v>
      </c>
      <c r="DH29" s="168">
        <f t="shared" si="23"/>
        <v>0</v>
      </c>
      <c r="DI29" s="168">
        <f t="shared" si="23"/>
        <v>0</v>
      </c>
      <c r="DJ29" s="168">
        <f t="shared" si="23"/>
        <v>0</v>
      </c>
      <c r="DK29" s="168">
        <f t="shared" si="23"/>
        <v>0</v>
      </c>
      <c r="DL29" s="168">
        <f t="shared" si="23"/>
        <v>0</v>
      </c>
      <c r="DM29" s="168">
        <f t="shared" si="23"/>
        <v>0</v>
      </c>
      <c r="DN29" s="168">
        <f t="shared" si="23"/>
        <v>0</v>
      </c>
      <c r="DO29" s="168">
        <f t="shared" si="23"/>
        <v>0</v>
      </c>
      <c r="DP29" s="168">
        <f t="shared" si="23"/>
        <v>0</v>
      </c>
      <c r="DQ29" s="168">
        <f t="shared" si="23"/>
        <v>0</v>
      </c>
      <c r="DR29" s="168">
        <f t="shared" si="23"/>
        <v>0</v>
      </c>
      <c r="DS29" s="168">
        <f t="shared" si="23"/>
        <v>0</v>
      </c>
      <c r="DT29" s="168">
        <f t="shared" si="23"/>
        <v>0</v>
      </c>
      <c r="DU29" s="168">
        <f t="shared" si="23"/>
        <v>0</v>
      </c>
      <c r="DV29" s="168">
        <f t="shared" si="23"/>
        <v>0</v>
      </c>
      <c r="DW29" s="168">
        <f t="shared" si="23"/>
        <v>0</v>
      </c>
      <c r="DX29" s="168">
        <f t="shared" si="23"/>
        <v>0</v>
      </c>
      <c r="DY29" s="168">
        <f t="shared" si="23"/>
        <v>0</v>
      </c>
      <c r="DZ29" s="168">
        <f t="shared" si="23"/>
        <v>0</v>
      </c>
      <c r="EA29" s="168">
        <f t="shared" si="23"/>
        <v>0</v>
      </c>
      <c r="EB29" s="168">
        <f t="shared" si="23"/>
        <v>0</v>
      </c>
    </row>
    <row r="30" spans="1:151" ht="15.75" x14ac:dyDescent="0.25">
      <c r="A30" s="2" t="s">
        <v>747</v>
      </c>
      <c r="B30" s="186" t="s">
        <v>748</v>
      </c>
      <c r="C30" s="186" t="s">
        <v>749</v>
      </c>
      <c r="D30" s="187"/>
      <c r="E30" s="187"/>
      <c r="AR30" s="181" t="s">
        <v>730</v>
      </c>
      <c r="AT30" s="182" t="str">
        <f>CdTrp1!A19</f>
        <v>génisses &lt; 1 an</v>
      </c>
      <c r="AU30" s="185" t="str">
        <f>Scénario!K100</f>
        <v>fort</v>
      </c>
      <c r="AV30" s="168">
        <f t="shared" si="17"/>
        <v>2</v>
      </c>
      <c r="AW30" s="168">
        <f t="shared" si="17"/>
        <v>2</v>
      </c>
      <c r="AX30" s="168">
        <f t="shared" si="17"/>
        <v>2</v>
      </c>
      <c r="AY30" s="168">
        <f t="shared" si="17"/>
        <v>2</v>
      </c>
      <c r="AZ30" s="168">
        <f t="shared" si="17"/>
        <v>2</v>
      </c>
      <c r="BA30" s="168">
        <f t="shared" si="17"/>
        <v>2</v>
      </c>
      <c r="BB30" s="168">
        <f t="shared" si="17"/>
        <v>2</v>
      </c>
      <c r="BC30" s="168">
        <f t="shared" si="17"/>
        <v>2</v>
      </c>
      <c r="BD30" s="168">
        <f t="shared" si="17"/>
        <v>2</v>
      </c>
      <c r="BE30" s="168">
        <f t="shared" si="17"/>
        <v>2</v>
      </c>
      <c r="BF30" s="168">
        <f t="shared" si="17"/>
        <v>2</v>
      </c>
      <c r="BG30" s="168">
        <f t="shared" si="17"/>
        <v>2</v>
      </c>
      <c r="BH30" s="168">
        <f t="shared" si="17"/>
        <v>2</v>
      </c>
      <c r="BI30" s="168">
        <f t="shared" si="17"/>
        <v>2</v>
      </c>
      <c r="BJ30" s="168">
        <f t="shared" si="17"/>
        <v>2</v>
      </c>
      <c r="BK30" s="168">
        <f t="shared" si="17"/>
        <v>2</v>
      </c>
      <c r="BL30" s="168">
        <f t="shared" si="18"/>
        <v>2</v>
      </c>
      <c r="BM30" s="168">
        <f t="shared" si="18"/>
        <v>2</v>
      </c>
      <c r="BN30" s="168">
        <f t="shared" si="18"/>
        <v>2</v>
      </c>
      <c r="BO30" s="168">
        <f t="shared" si="18"/>
        <v>2</v>
      </c>
      <c r="BP30" s="168">
        <f t="shared" si="18"/>
        <v>2</v>
      </c>
      <c r="BQ30" s="168">
        <f t="shared" si="18"/>
        <v>2</v>
      </c>
      <c r="BR30" s="168">
        <f t="shared" si="18"/>
        <v>2</v>
      </c>
      <c r="BS30" s="168">
        <f t="shared" si="18"/>
        <v>2</v>
      </c>
      <c r="BZ30" s="182" t="str">
        <f t="shared" si="19"/>
        <v>lot5</v>
      </c>
      <c r="CA30" s="185">
        <f>Scénario!K110</f>
        <v>0</v>
      </c>
      <c r="CB30" s="168">
        <f t="shared" si="20"/>
        <v>0</v>
      </c>
      <c r="CC30" s="168">
        <f t="shared" si="20"/>
        <v>0</v>
      </c>
      <c r="CD30" s="168">
        <f t="shared" si="20"/>
        <v>0</v>
      </c>
      <c r="CE30" s="168">
        <f t="shared" si="20"/>
        <v>0</v>
      </c>
      <c r="CF30" s="168">
        <f t="shared" si="20"/>
        <v>0</v>
      </c>
      <c r="CG30" s="168">
        <f t="shared" si="20"/>
        <v>0</v>
      </c>
      <c r="CH30" s="168">
        <f t="shared" si="20"/>
        <v>0</v>
      </c>
      <c r="CI30" s="168">
        <f t="shared" si="20"/>
        <v>0</v>
      </c>
      <c r="CJ30" s="168">
        <f t="shared" si="20"/>
        <v>0</v>
      </c>
      <c r="CK30" s="168">
        <f t="shared" si="20"/>
        <v>0</v>
      </c>
      <c r="CL30" s="168">
        <f t="shared" si="21"/>
        <v>0</v>
      </c>
      <c r="CM30" s="168">
        <f t="shared" si="21"/>
        <v>0</v>
      </c>
      <c r="CN30" s="168">
        <f t="shared" si="21"/>
        <v>0</v>
      </c>
      <c r="CO30" s="168">
        <f t="shared" si="21"/>
        <v>0</v>
      </c>
      <c r="CP30" s="168">
        <f t="shared" si="21"/>
        <v>0</v>
      </c>
      <c r="CQ30" s="168">
        <f t="shared" si="21"/>
        <v>0</v>
      </c>
      <c r="CR30" s="168">
        <f t="shared" si="21"/>
        <v>0</v>
      </c>
      <c r="CS30" s="168">
        <f t="shared" si="21"/>
        <v>0</v>
      </c>
      <c r="CT30" s="168">
        <f t="shared" si="21"/>
        <v>0</v>
      </c>
      <c r="CU30" s="168">
        <f t="shared" si="21"/>
        <v>0</v>
      </c>
      <c r="CV30" s="168">
        <f t="shared" si="21"/>
        <v>0</v>
      </c>
      <c r="CW30" s="168">
        <f t="shared" si="21"/>
        <v>0</v>
      </c>
      <c r="CX30" s="168">
        <f t="shared" si="21"/>
        <v>0</v>
      </c>
      <c r="CY30" s="168">
        <f t="shared" si="21"/>
        <v>0</v>
      </c>
      <c r="DC30" s="182" t="str">
        <f t="shared" si="22"/>
        <v>lot5</v>
      </c>
      <c r="DD30" s="185">
        <f>Scénario!K120</f>
        <v>0</v>
      </c>
      <c r="DE30" s="168">
        <f t="shared" si="24"/>
        <v>0</v>
      </c>
      <c r="DF30" s="168">
        <f t="shared" si="23"/>
        <v>0</v>
      </c>
      <c r="DG30" s="168">
        <f t="shared" si="23"/>
        <v>0</v>
      </c>
      <c r="DH30" s="168">
        <f t="shared" si="23"/>
        <v>0</v>
      </c>
      <c r="DI30" s="168">
        <f t="shared" si="23"/>
        <v>0</v>
      </c>
      <c r="DJ30" s="168">
        <f t="shared" si="23"/>
        <v>0</v>
      </c>
      <c r="DK30" s="168">
        <f t="shared" si="23"/>
        <v>0</v>
      </c>
      <c r="DL30" s="168">
        <f t="shared" si="23"/>
        <v>0</v>
      </c>
      <c r="DM30" s="168">
        <f t="shared" si="23"/>
        <v>0</v>
      </c>
      <c r="DN30" s="168">
        <f t="shared" si="23"/>
        <v>0</v>
      </c>
      <c r="DO30" s="168">
        <f t="shared" si="23"/>
        <v>0</v>
      </c>
      <c r="DP30" s="168">
        <f t="shared" si="23"/>
        <v>0</v>
      </c>
      <c r="DQ30" s="168">
        <f t="shared" si="23"/>
        <v>0</v>
      </c>
      <c r="DR30" s="168">
        <f t="shared" si="23"/>
        <v>0</v>
      </c>
      <c r="DS30" s="168">
        <f t="shared" si="23"/>
        <v>0</v>
      </c>
      <c r="DT30" s="168">
        <f t="shared" si="23"/>
        <v>0</v>
      </c>
      <c r="DU30" s="168">
        <f t="shared" si="23"/>
        <v>0</v>
      </c>
      <c r="DV30" s="168">
        <f t="shared" si="23"/>
        <v>0</v>
      </c>
      <c r="DW30" s="168">
        <f t="shared" si="23"/>
        <v>0</v>
      </c>
      <c r="DX30" s="168">
        <f t="shared" si="23"/>
        <v>0</v>
      </c>
      <c r="DY30" s="168">
        <f t="shared" si="23"/>
        <v>0</v>
      </c>
      <c r="DZ30" s="168">
        <f t="shared" si="23"/>
        <v>0</v>
      </c>
      <c r="EA30" s="168">
        <f t="shared" si="23"/>
        <v>0</v>
      </c>
      <c r="EB30" s="168">
        <f t="shared" si="23"/>
        <v>0</v>
      </c>
    </row>
    <row r="31" spans="1:151" x14ac:dyDescent="0.25">
      <c r="A31" t="s">
        <v>557</v>
      </c>
      <c r="B31" s="168">
        <f>Troupeau!B18</f>
        <v>36</v>
      </c>
      <c r="C31" s="183">
        <f>IF(B31&gt;0,VLOOKUP(Troupeau!B3,[1]Trav!$A$96:$B$99,2),0)</f>
        <v>360</v>
      </c>
      <c r="D31" s="166"/>
      <c r="E31" s="166"/>
      <c r="F31" s="168">
        <f>B31*C31/60</f>
        <v>216</v>
      </c>
      <c r="AR31" s="181" t="s">
        <v>730</v>
      </c>
      <c r="AT31" s="182" t="str">
        <f>CdTrp1!A20</f>
        <v>lot6</v>
      </c>
      <c r="AU31" s="185">
        <f>Scénario!K101</f>
        <v>0</v>
      </c>
      <c r="AV31" s="168">
        <f t="shared" si="17"/>
        <v>0</v>
      </c>
      <c r="AW31" s="168">
        <f t="shared" si="17"/>
        <v>0</v>
      </c>
      <c r="AX31" s="168">
        <f t="shared" si="17"/>
        <v>0</v>
      </c>
      <c r="AY31" s="168">
        <f t="shared" si="17"/>
        <v>0</v>
      </c>
      <c r="AZ31" s="168">
        <f t="shared" si="17"/>
        <v>0</v>
      </c>
      <c r="BA31" s="168">
        <f t="shared" si="17"/>
        <v>0</v>
      </c>
      <c r="BB31" s="168">
        <f t="shared" si="17"/>
        <v>0</v>
      </c>
      <c r="BC31" s="168">
        <f t="shared" si="17"/>
        <v>0</v>
      </c>
      <c r="BD31" s="168">
        <f t="shared" si="17"/>
        <v>0</v>
      </c>
      <c r="BE31" s="168">
        <f t="shared" si="17"/>
        <v>0</v>
      </c>
      <c r="BF31" s="168">
        <f t="shared" si="17"/>
        <v>0</v>
      </c>
      <c r="BG31" s="168">
        <f t="shared" si="17"/>
        <v>0</v>
      </c>
      <c r="BH31" s="168">
        <f t="shared" si="17"/>
        <v>0</v>
      </c>
      <c r="BI31" s="168">
        <f t="shared" si="17"/>
        <v>0</v>
      </c>
      <c r="BJ31" s="168">
        <f t="shared" si="17"/>
        <v>0</v>
      </c>
      <c r="BK31" s="168">
        <f t="shared" si="17"/>
        <v>0</v>
      </c>
      <c r="BL31" s="168">
        <f t="shared" si="18"/>
        <v>0</v>
      </c>
      <c r="BM31" s="168">
        <f t="shared" si="18"/>
        <v>0</v>
      </c>
      <c r="BN31" s="168">
        <f t="shared" si="18"/>
        <v>0</v>
      </c>
      <c r="BO31" s="168">
        <f t="shared" si="18"/>
        <v>0</v>
      </c>
      <c r="BP31" s="168">
        <f t="shared" si="18"/>
        <v>0</v>
      </c>
      <c r="BQ31" s="168">
        <f t="shared" si="18"/>
        <v>0</v>
      </c>
      <c r="BR31" s="168">
        <f t="shared" si="18"/>
        <v>0</v>
      </c>
      <c r="BS31" s="168">
        <f t="shared" si="18"/>
        <v>0</v>
      </c>
      <c r="BT31" s="5"/>
      <c r="BY31" s="5"/>
      <c r="BZ31" s="182" t="str">
        <f t="shared" si="19"/>
        <v>lot6</v>
      </c>
      <c r="CA31" s="185">
        <f>Scénario!K111</f>
        <v>0</v>
      </c>
      <c r="CB31" s="168">
        <f t="shared" si="20"/>
        <v>0</v>
      </c>
      <c r="CC31" s="168">
        <f t="shared" si="20"/>
        <v>0</v>
      </c>
      <c r="CD31" s="168">
        <f t="shared" si="20"/>
        <v>0</v>
      </c>
      <c r="CE31" s="168">
        <f t="shared" si="20"/>
        <v>0</v>
      </c>
      <c r="CF31" s="168">
        <f t="shared" si="20"/>
        <v>0</v>
      </c>
      <c r="CG31" s="168">
        <f t="shared" si="20"/>
        <v>0</v>
      </c>
      <c r="CH31" s="168">
        <f t="shared" si="20"/>
        <v>0</v>
      </c>
      <c r="CI31" s="168">
        <f t="shared" si="20"/>
        <v>0</v>
      </c>
      <c r="CJ31" s="168">
        <f t="shared" si="20"/>
        <v>0</v>
      </c>
      <c r="CK31" s="168">
        <f t="shared" si="20"/>
        <v>0</v>
      </c>
      <c r="CL31" s="168">
        <f t="shared" si="21"/>
        <v>0</v>
      </c>
      <c r="CM31" s="168">
        <f t="shared" si="21"/>
        <v>0</v>
      </c>
      <c r="CN31" s="168">
        <f t="shared" si="21"/>
        <v>0</v>
      </c>
      <c r="CO31" s="168">
        <f t="shared" si="21"/>
        <v>0</v>
      </c>
      <c r="CP31" s="168">
        <f t="shared" si="21"/>
        <v>0</v>
      </c>
      <c r="CQ31" s="168">
        <f t="shared" si="21"/>
        <v>0</v>
      </c>
      <c r="CR31" s="168">
        <f t="shared" si="21"/>
        <v>0</v>
      </c>
      <c r="CS31" s="168">
        <f t="shared" si="21"/>
        <v>0</v>
      </c>
      <c r="CT31" s="168">
        <f t="shared" si="21"/>
        <v>0</v>
      </c>
      <c r="CU31" s="168">
        <f t="shared" si="21"/>
        <v>0</v>
      </c>
      <c r="CV31" s="168">
        <f t="shared" si="21"/>
        <v>0</v>
      </c>
      <c r="CW31" s="168">
        <f t="shared" si="21"/>
        <v>0</v>
      </c>
      <c r="CX31" s="168">
        <f t="shared" si="21"/>
        <v>0</v>
      </c>
      <c r="CY31" s="168">
        <f t="shared" si="21"/>
        <v>0</v>
      </c>
      <c r="CZ31" s="5"/>
      <c r="DA31" s="5"/>
      <c r="DB31" s="5"/>
      <c r="DC31" s="182" t="str">
        <f t="shared" si="22"/>
        <v>lot6</v>
      </c>
      <c r="DD31" s="185">
        <f>Scénario!K121</f>
        <v>0</v>
      </c>
      <c r="DE31" s="168">
        <f t="shared" si="24"/>
        <v>0</v>
      </c>
      <c r="DF31" s="168">
        <f t="shared" si="23"/>
        <v>0</v>
      </c>
      <c r="DG31" s="168">
        <f t="shared" si="23"/>
        <v>0</v>
      </c>
      <c r="DH31" s="168">
        <f t="shared" si="23"/>
        <v>0</v>
      </c>
      <c r="DI31" s="168">
        <f t="shared" si="23"/>
        <v>0</v>
      </c>
      <c r="DJ31" s="168">
        <f t="shared" si="23"/>
        <v>0</v>
      </c>
      <c r="DK31" s="168">
        <f t="shared" si="23"/>
        <v>0</v>
      </c>
      <c r="DL31" s="168">
        <f t="shared" si="23"/>
        <v>0</v>
      </c>
      <c r="DM31" s="168">
        <f t="shared" si="23"/>
        <v>0</v>
      </c>
      <c r="DN31" s="168">
        <f t="shared" si="23"/>
        <v>0</v>
      </c>
      <c r="DO31" s="168">
        <f t="shared" si="23"/>
        <v>0</v>
      </c>
      <c r="DP31" s="168">
        <f t="shared" si="23"/>
        <v>0</v>
      </c>
      <c r="DQ31" s="168">
        <f t="shared" si="23"/>
        <v>0</v>
      </c>
      <c r="DR31" s="168">
        <f t="shared" si="23"/>
        <v>0</v>
      </c>
      <c r="DS31" s="168">
        <f t="shared" si="23"/>
        <v>0</v>
      </c>
      <c r="DT31" s="168">
        <f t="shared" si="23"/>
        <v>0</v>
      </c>
      <c r="DU31" s="168">
        <f t="shared" si="23"/>
        <v>0</v>
      </c>
      <c r="DV31" s="168">
        <f t="shared" si="23"/>
        <v>0</v>
      </c>
      <c r="DW31" s="168">
        <f t="shared" si="23"/>
        <v>0</v>
      </c>
      <c r="DX31" s="168">
        <f t="shared" si="23"/>
        <v>0</v>
      </c>
      <c r="DY31" s="168">
        <f t="shared" si="23"/>
        <v>0</v>
      </c>
      <c r="DZ31" s="168">
        <f t="shared" si="23"/>
        <v>0</v>
      </c>
      <c r="EA31" s="168">
        <f t="shared" si="23"/>
        <v>0</v>
      </c>
      <c r="EB31" s="168">
        <f t="shared" si="23"/>
        <v>0</v>
      </c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</row>
    <row r="32" spans="1:151" x14ac:dyDescent="0.25">
      <c r="A32" t="s">
        <v>588</v>
      </c>
      <c r="B32" s="168">
        <f>Troupeau!C18</f>
        <v>0</v>
      </c>
      <c r="C32" s="183">
        <f>IF(B32&gt;0,VLOOKUP(Troupeau!C3,[1]Trav!$A$96:$B$99,2),0)</f>
        <v>0</v>
      </c>
      <c r="D32" s="166"/>
      <c r="E32" s="166"/>
      <c r="F32" s="168">
        <f t="shared" ref="F32:F33" si="25">B32*C32/60</f>
        <v>0</v>
      </c>
      <c r="AR32" s="181" t="s">
        <v>730</v>
      </c>
      <c r="AT32" s="182" t="str">
        <f>CdTrp1!A21</f>
        <v>lot7</v>
      </c>
      <c r="AU32" s="185">
        <f>Scénario!K102</f>
        <v>0</v>
      </c>
      <c r="AV32" s="168">
        <f t="shared" si="17"/>
        <v>0</v>
      </c>
      <c r="AW32" s="168">
        <f t="shared" si="17"/>
        <v>0</v>
      </c>
      <c r="AX32" s="168">
        <f t="shared" si="17"/>
        <v>0</v>
      </c>
      <c r="AY32" s="168">
        <f t="shared" si="17"/>
        <v>0</v>
      </c>
      <c r="AZ32" s="168">
        <f t="shared" si="17"/>
        <v>0</v>
      </c>
      <c r="BA32" s="168">
        <f t="shared" si="17"/>
        <v>0</v>
      </c>
      <c r="BB32" s="168">
        <f t="shared" si="17"/>
        <v>0</v>
      </c>
      <c r="BC32" s="168">
        <f t="shared" si="17"/>
        <v>0</v>
      </c>
      <c r="BD32" s="168">
        <f t="shared" si="17"/>
        <v>0</v>
      </c>
      <c r="BE32" s="168">
        <f t="shared" si="17"/>
        <v>0</v>
      </c>
      <c r="BF32" s="168">
        <f t="shared" si="17"/>
        <v>0</v>
      </c>
      <c r="BG32" s="168">
        <f t="shared" si="17"/>
        <v>0</v>
      </c>
      <c r="BH32" s="168">
        <f t="shared" si="17"/>
        <v>0</v>
      </c>
      <c r="BI32" s="168">
        <f t="shared" si="17"/>
        <v>0</v>
      </c>
      <c r="BJ32" s="168">
        <f t="shared" si="17"/>
        <v>0</v>
      </c>
      <c r="BK32" s="168">
        <f t="shared" si="17"/>
        <v>0</v>
      </c>
      <c r="BL32" s="168">
        <f t="shared" si="18"/>
        <v>0</v>
      </c>
      <c r="BM32" s="168">
        <f t="shared" si="18"/>
        <v>0</v>
      </c>
      <c r="BN32" s="168">
        <f t="shared" si="18"/>
        <v>0</v>
      </c>
      <c r="BO32" s="168">
        <f t="shared" si="18"/>
        <v>0</v>
      </c>
      <c r="BP32" s="168">
        <f t="shared" si="18"/>
        <v>0</v>
      </c>
      <c r="BQ32" s="168">
        <f t="shared" si="18"/>
        <v>0</v>
      </c>
      <c r="BR32" s="168">
        <f t="shared" si="18"/>
        <v>0</v>
      </c>
      <c r="BS32" s="168">
        <f t="shared" si="18"/>
        <v>0</v>
      </c>
      <c r="BT32" s="5"/>
      <c r="BY32" s="5"/>
      <c r="BZ32" s="182" t="str">
        <f t="shared" si="19"/>
        <v>lot7</v>
      </c>
      <c r="CA32" s="185">
        <f>Scénario!K112</f>
        <v>0</v>
      </c>
      <c r="CB32" s="168">
        <f t="shared" si="20"/>
        <v>0</v>
      </c>
      <c r="CC32" s="168">
        <f t="shared" si="20"/>
        <v>0</v>
      </c>
      <c r="CD32" s="168">
        <f t="shared" si="20"/>
        <v>0</v>
      </c>
      <c r="CE32" s="168">
        <f t="shared" si="20"/>
        <v>0</v>
      </c>
      <c r="CF32" s="168">
        <f t="shared" si="20"/>
        <v>0</v>
      </c>
      <c r="CG32" s="168">
        <f t="shared" si="20"/>
        <v>0</v>
      </c>
      <c r="CH32" s="168">
        <f t="shared" si="20"/>
        <v>0</v>
      </c>
      <c r="CI32" s="168">
        <f t="shared" si="20"/>
        <v>0</v>
      </c>
      <c r="CJ32" s="168">
        <f t="shared" si="20"/>
        <v>0</v>
      </c>
      <c r="CK32" s="168">
        <f t="shared" si="20"/>
        <v>0</v>
      </c>
      <c r="CL32" s="168">
        <f t="shared" si="21"/>
        <v>0</v>
      </c>
      <c r="CM32" s="168">
        <f t="shared" si="21"/>
        <v>0</v>
      </c>
      <c r="CN32" s="168">
        <f t="shared" si="21"/>
        <v>0</v>
      </c>
      <c r="CO32" s="168">
        <f t="shared" si="21"/>
        <v>0</v>
      </c>
      <c r="CP32" s="168">
        <f t="shared" si="21"/>
        <v>0</v>
      </c>
      <c r="CQ32" s="168">
        <f t="shared" si="21"/>
        <v>0</v>
      </c>
      <c r="CR32" s="168">
        <f t="shared" si="21"/>
        <v>0</v>
      </c>
      <c r="CS32" s="168">
        <f t="shared" si="21"/>
        <v>0</v>
      </c>
      <c r="CT32" s="168">
        <f t="shared" si="21"/>
        <v>0</v>
      </c>
      <c r="CU32" s="168">
        <f t="shared" si="21"/>
        <v>0</v>
      </c>
      <c r="CV32" s="168">
        <f t="shared" si="21"/>
        <v>0</v>
      </c>
      <c r="CW32" s="168">
        <f t="shared" si="21"/>
        <v>0</v>
      </c>
      <c r="CX32" s="168">
        <f t="shared" si="21"/>
        <v>0</v>
      </c>
      <c r="CY32" s="168">
        <f t="shared" si="21"/>
        <v>0</v>
      </c>
      <c r="CZ32" s="5"/>
      <c r="DA32" s="5"/>
      <c r="DB32" s="5"/>
      <c r="DC32" s="182" t="str">
        <f t="shared" si="22"/>
        <v>lot7</v>
      </c>
      <c r="DD32" s="185">
        <f>Scénario!K122</f>
        <v>0</v>
      </c>
      <c r="DE32" s="168">
        <f t="shared" si="24"/>
        <v>0</v>
      </c>
      <c r="DF32" s="168">
        <f t="shared" si="23"/>
        <v>0</v>
      </c>
      <c r="DG32" s="168">
        <f t="shared" si="23"/>
        <v>0</v>
      </c>
      <c r="DH32" s="168">
        <f t="shared" si="23"/>
        <v>0</v>
      </c>
      <c r="DI32" s="168">
        <f t="shared" si="23"/>
        <v>0</v>
      </c>
      <c r="DJ32" s="168">
        <f t="shared" si="23"/>
        <v>0</v>
      </c>
      <c r="DK32" s="168">
        <f t="shared" si="23"/>
        <v>0</v>
      </c>
      <c r="DL32" s="168">
        <f t="shared" si="23"/>
        <v>0</v>
      </c>
      <c r="DM32" s="168">
        <f t="shared" si="23"/>
        <v>0</v>
      </c>
      <c r="DN32" s="168">
        <f t="shared" si="23"/>
        <v>0</v>
      </c>
      <c r="DO32" s="168">
        <f t="shared" si="23"/>
        <v>0</v>
      </c>
      <c r="DP32" s="168">
        <f t="shared" si="23"/>
        <v>0</v>
      </c>
      <c r="DQ32" s="168">
        <f t="shared" si="23"/>
        <v>0</v>
      </c>
      <c r="DR32" s="168">
        <f t="shared" si="23"/>
        <v>0</v>
      </c>
      <c r="DS32" s="168">
        <f t="shared" si="23"/>
        <v>0</v>
      </c>
      <c r="DT32" s="168">
        <f t="shared" si="23"/>
        <v>0</v>
      </c>
      <c r="DU32" s="168">
        <f t="shared" si="23"/>
        <v>0</v>
      </c>
      <c r="DV32" s="168">
        <f t="shared" si="23"/>
        <v>0</v>
      </c>
      <c r="DW32" s="168">
        <f t="shared" si="23"/>
        <v>0</v>
      </c>
      <c r="DX32" s="168">
        <f t="shared" si="23"/>
        <v>0</v>
      </c>
      <c r="DY32" s="168">
        <f t="shared" si="23"/>
        <v>0</v>
      </c>
      <c r="DZ32" s="168">
        <f t="shared" si="23"/>
        <v>0</v>
      </c>
      <c r="EA32" s="168">
        <f t="shared" si="23"/>
        <v>0</v>
      </c>
      <c r="EB32" s="168">
        <f t="shared" si="23"/>
        <v>0</v>
      </c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</row>
    <row r="33" spans="1:151" x14ac:dyDescent="0.25">
      <c r="A33" t="s">
        <v>721</v>
      </c>
      <c r="B33" s="168">
        <f>Troupeau!D18</f>
        <v>0</v>
      </c>
      <c r="C33" s="183">
        <f>IF(B33&gt;0,VLOOKUP(Troupeau!D3,[1]Trav!$A$96:$B$99,2),0)</f>
        <v>0</v>
      </c>
      <c r="D33" s="166"/>
      <c r="E33" s="166"/>
      <c r="F33" s="168">
        <f t="shared" si="25"/>
        <v>0</v>
      </c>
      <c r="AR33" s="181" t="s">
        <v>730</v>
      </c>
      <c r="AT33" s="182" t="str">
        <f>CdTrp1!A22</f>
        <v>lot8</v>
      </c>
      <c r="AU33" s="185">
        <f>Scénario!K103</f>
        <v>0</v>
      </c>
      <c r="AV33" s="168">
        <f t="shared" si="17"/>
        <v>0</v>
      </c>
      <c r="AW33" s="168">
        <f t="shared" si="17"/>
        <v>0</v>
      </c>
      <c r="AX33" s="168">
        <f t="shared" si="17"/>
        <v>0</v>
      </c>
      <c r="AY33" s="168">
        <f t="shared" si="17"/>
        <v>0</v>
      </c>
      <c r="AZ33" s="168">
        <f t="shared" si="17"/>
        <v>0</v>
      </c>
      <c r="BA33" s="168">
        <f t="shared" si="17"/>
        <v>0</v>
      </c>
      <c r="BB33" s="168">
        <f t="shared" si="17"/>
        <v>0</v>
      </c>
      <c r="BC33" s="168">
        <f t="shared" si="17"/>
        <v>0</v>
      </c>
      <c r="BD33" s="168">
        <f t="shared" si="17"/>
        <v>0</v>
      </c>
      <c r="BE33" s="168">
        <f t="shared" si="17"/>
        <v>0</v>
      </c>
      <c r="BF33" s="168">
        <f t="shared" si="17"/>
        <v>0</v>
      </c>
      <c r="BG33" s="168">
        <f t="shared" si="17"/>
        <v>0</v>
      </c>
      <c r="BH33" s="168">
        <f t="shared" si="17"/>
        <v>0</v>
      </c>
      <c r="BI33" s="168">
        <f t="shared" si="17"/>
        <v>0</v>
      </c>
      <c r="BJ33" s="168">
        <f t="shared" si="17"/>
        <v>0</v>
      </c>
      <c r="BK33" s="168">
        <f t="shared" si="17"/>
        <v>0</v>
      </c>
      <c r="BL33" s="168">
        <f t="shared" si="18"/>
        <v>0</v>
      </c>
      <c r="BM33" s="168">
        <f t="shared" si="18"/>
        <v>0</v>
      </c>
      <c r="BN33" s="168">
        <f t="shared" si="18"/>
        <v>0</v>
      </c>
      <c r="BO33" s="168">
        <f t="shared" si="18"/>
        <v>0</v>
      </c>
      <c r="BP33" s="168">
        <f t="shared" si="18"/>
        <v>0</v>
      </c>
      <c r="BQ33" s="168">
        <f t="shared" si="18"/>
        <v>0</v>
      </c>
      <c r="BR33" s="168">
        <f t="shared" si="18"/>
        <v>0</v>
      </c>
      <c r="BS33" s="168">
        <f t="shared" si="18"/>
        <v>0</v>
      </c>
      <c r="BT33" s="5"/>
      <c r="BY33" s="5"/>
      <c r="BZ33" s="182" t="str">
        <f t="shared" si="19"/>
        <v>lot8</v>
      </c>
      <c r="CA33" s="185">
        <f>Scénario!K113</f>
        <v>0</v>
      </c>
      <c r="CB33" s="168">
        <f t="shared" si="20"/>
        <v>0</v>
      </c>
      <c r="CC33" s="168">
        <f t="shared" si="20"/>
        <v>0</v>
      </c>
      <c r="CD33" s="168">
        <f t="shared" si="20"/>
        <v>0</v>
      </c>
      <c r="CE33" s="168">
        <f t="shared" si="20"/>
        <v>0</v>
      </c>
      <c r="CF33" s="168">
        <f t="shared" si="20"/>
        <v>0</v>
      </c>
      <c r="CG33" s="168">
        <f t="shared" si="20"/>
        <v>0</v>
      </c>
      <c r="CH33" s="168">
        <f t="shared" si="20"/>
        <v>0</v>
      </c>
      <c r="CI33" s="168">
        <f t="shared" si="20"/>
        <v>0</v>
      </c>
      <c r="CJ33" s="168">
        <f t="shared" si="20"/>
        <v>0</v>
      </c>
      <c r="CK33" s="168">
        <f t="shared" si="20"/>
        <v>0</v>
      </c>
      <c r="CL33" s="168">
        <f t="shared" si="21"/>
        <v>0</v>
      </c>
      <c r="CM33" s="168">
        <f t="shared" si="21"/>
        <v>0</v>
      </c>
      <c r="CN33" s="168">
        <f t="shared" si="21"/>
        <v>0</v>
      </c>
      <c r="CO33" s="168">
        <f t="shared" si="21"/>
        <v>0</v>
      </c>
      <c r="CP33" s="168">
        <f t="shared" si="21"/>
        <v>0</v>
      </c>
      <c r="CQ33" s="168">
        <f t="shared" si="21"/>
        <v>0</v>
      </c>
      <c r="CR33" s="168">
        <f t="shared" si="21"/>
        <v>0</v>
      </c>
      <c r="CS33" s="168">
        <f t="shared" si="21"/>
        <v>0</v>
      </c>
      <c r="CT33" s="168">
        <f t="shared" si="21"/>
        <v>0</v>
      </c>
      <c r="CU33" s="168">
        <f t="shared" si="21"/>
        <v>0</v>
      </c>
      <c r="CV33" s="168">
        <f t="shared" si="21"/>
        <v>0</v>
      </c>
      <c r="CW33" s="168">
        <f t="shared" si="21"/>
        <v>0</v>
      </c>
      <c r="CX33" s="168">
        <f t="shared" si="21"/>
        <v>0</v>
      </c>
      <c r="CY33" s="168">
        <f t="shared" si="21"/>
        <v>0</v>
      </c>
      <c r="CZ33" s="5"/>
      <c r="DA33" s="5"/>
      <c r="DB33" s="5"/>
      <c r="DC33" s="182" t="str">
        <f t="shared" si="22"/>
        <v>lot8</v>
      </c>
      <c r="DD33" s="185">
        <f>Scénario!K123</f>
        <v>0</v>
      </c>
      <c r="DE33" s="168">
        <f t="shared" si="24"/>
        <v>0</v>
      </c>
      <c r="DF33" s="168">
        <f t="shared" si="23"/>
        <v>0</v>
      </c>
      <c r="DG33" s="168">
        <f t="shared" si="23"/>
        <v>0</v>
      </c>
      <c r="DH33" s="168">
        <f t="shared" si="23"/>
        <v>0</v>
      </c>
      <c r="DI33" s="168">
        <f t="shared" si="23"/>
        <v>0</v>
      </c>
      <c r="DJ33" s="168">
        <f t="shared" si="23"/>
        <v>0</v>
      </c>
      <c r="DK33" s="168">
        <f t="shared" si="23"/>
        <v>0</v>
      </c>
      <c r="DL33" s="168">
        <f t="shared" si="23"/>
        <v>0</v>
      </c>
      <c r="DM33" s="168">
        <f t="shared" si="23"/>
        <v>0</v>
      </c>
      <c r="DN33" s="168">
        <f t="shared" si="23"/>
        <v>0</v>
      </c>
      <c r="DO33" s="168">
        <f t="shared" si="23"/>
        <v>0</v>
      </c>
      <c r="DP33" s="168">
        <f t="shared" si="23"/>
        <v>0</v>
      </c>
      <c r="DQ33" s="168">
        <f t="shared" si="23"/>
        <v>0</v>
      </c>
      <c r="DR33" s="168">
        <f t="shared" si="23"/>
        <v>0</v>
      </c>
      <c r="DS33" s="168">
        <f t="shared" si="23"/>
        <v>0</v>
      </c>
      <c r="DT33" s="168">
        <f t="shared" si="23"/>
        <v>0</v>
      </c>
      <c r="DU33" s="168">
        <f t="shared" si="23"/>
        <v>0</v>
      </c>
      <c r="DV33" s="168">
        <f t="shared" si="23"/>
        <v>0</v>
      </c>
      <c r="DW33" s="168">
        <f t="shared" si="23"/>
        <v>0</v>
      </c>
      <c r="DX33" s="168">
        <f t="shared" si="23"/>
        <v>0</v>
      </c>
      <c r="DY33" s="168">
        <f t="shared" si="23"/>
        <v>0</v>
      </c>
      <c r="DZ33" s="168">
        <f t="shared" si="23"/>
        <v>0</v>
      </c>
      <c r="EA33" s="168">
        <f t="shared" si="23"/>
        <v>0</v>
      </c>
      <c r="EB33" s="168">
        <f t="shared" si="23"/>
        <v>0</v>
      </c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</row>
    <row r="34" spans="1:151" ht="15.75" x14ac:dyDescent="0.25">
      <c r="A34" s="2" t="s">
        <v>750</v>
      </c>
      <c r="B34" s="186" t="s">
        <v>751</v>
      </c>
      <c r="C34" s="186" t="s">
        <v>752</v>
      </c>
      <c r="D34" s="186" t="s">
        <v>753</v>
      </c>
      <c r="E34" s="187"/>
      <c r="F34" s="33"/>
      <c r="AR34" s="181" t="s">
        <v>730</v>
      </c>
      <c r="AT34" s="182" t="str">
        <f>CdTrp1!A23</f>
        <v>lot9</v>
      </c>
      <c r="AU34" s="185">
        <f>Scénario!K104</f>
        <v>0</v>
      </c>
      <c r="AV34" s="168">
        <f t="shared" si="17"/>
        <v>0</v>
      </c>
      <c r="AW34" s="168">
        <f t="shared" si="17"/>
        <v>0</v>
      </c>
      <c r="AX34" s="168">
        <f t="shared" si="17"/>
        <v>0</v>
      </c>
      <c r="AY34" s="168">
        <f t="shared" si="17"/>
        <v>0</v>
      </c>
      <c r="AZ34" s="168">
        <f t="shared" si="17"/>
        <v>0</v>
      </c>
      <c r="BA34" s="168">
        <f t="shared" si="17"/>
        <v>0</v>
      </c>
      <c r="BB34" s="168">
        <f t="shared" si="17"/>
        <v>0</v>
      </c>
      <c r="BC34" s="168">
        <f t="shared" si="17"/>
        <v>0</v>
      </c>
      <c r="BD34" s="168">
        <f t="shared" si="17"/>
        <v>0</v>
      </c>
      <c r="BE34" s="168">
        <f t="shared" si="17"/>
        <v>0</v>
      </c>
      <c r="BF34" s="168">
        <f t="shared" si="17"/>
        <v>0</v>
      </c>
      <c r="BG34" s="168">
        <f t="shared" si="17"/>
        <v>0</v>
      </c>
      <c r="BH34" s="168">
        <f t="shared" si="17"/>
        <v>0</v>
      </c>
      <c r="BI34" s="168">
        <f t="shared" si="17"/>
        <v>0</v>
      </c>
      <c r="BJ34" s="168">
        <f t="shared" si="17"/>
        <v>0</v>
      </c>
      <c r="BK34" s="168">
        <f t="shared" si="17"/>
        <v>0</v>
      </c>
      <c r="BL34" s="168">
        <f t="shared" si="18"/>
        <v>0</v>
      </c>
      <c r="BM34" s="168">
        <f t="shared" si="18"/>
        <v>0</v>
      </c>
      <c r="BN34" s="168">
        <f t="shared" si="18"/>
        <v>0</v>
      </c>
      <c r="BO34" s="168">
        <f t="shared" si="18"/>
        <v>0</v>
      </c>
      <c r="BP34" s="168">
        <f t="shared" si="18"/>
        <v>0</v>
      </c>
      <c r="BQ34" s="168">
        <f t="shared" si="18"/>
        <v>0</v>
      </c>
      <c r="BR34" s="168">
        <f t="shared" si="18"/>
        <v>0</v>
      </c>
      <c r="BS34" s="168">
        <f t="shared" si="18"/>
        <v>0</v>
      </c>
      <c r="BT34" s="5"/>
      <c r="BY34" s="5"/>
      <c r="BZ34" s="182" t="str">
        <f t="shared" si="19"/>
        <v>lot9</v>
      </c>
      <c r="CA34" s="185">
        <f>Scénario!K114</f>
        <v>0</v>
      </c>
      <c r="CB34" s="168">
        <f t="shared" si="20"/>
        <v>0</v>
      </c>
      <c r="CC34" s="168">
        <f t="shared" si="20"/>
        <v>0</v>
      </c>
      <c r="CD34" s="168">
        <f t="shared" si="20"/>
        <v>0</v>
      </c>
      <c r="CE34" s="168">
        <f t="shared" si="20"/>
        <v>0</v>
      </c>
      <c r="CF34" s="168">
        <f t="shared" si="20"/>
        <v>0</v>
      </c>
      <c r="CG34" s="168">
        <f t="shared" si="20"/>
        <v>0</v>
      </c>
      <c r="CH34" s="168">
        <f t="shared" si="20"/>
        <v>0</v>
      </c>
      <c r="CI34" s="168">
        <f t="shared" si="20"/>
        <v>0</v>
      </c>
      <c r="CJ34" s="168">
        <f t="shared" si="20"/>
        <v>0</v>
      </c>
      <c r="CK34" s="168">
        <f t="shared" si="20"/>
        <v>0</v>
      </c>
      <c r="CL34" s="168">
        <f t="shared" si="21"/>
        <v>0</v>
      </c>
      <c r="CM34" s="168">
        <f t="shared" si="21"/>
        <v>0</v>
      </c>
      <c r="CN34" s="168">
        <f t="shared" si="21"/>
        <v>0</v>
      </c>
      <c r="CO34" s="168">
        <f t="shared" si="21"/>
        <v>0</v>
      </c>
      <c r="CP34" s="168">
        <f t="shared" si="21"/>
        <v>0</v>
      </c>
      <c r="CQ34" s="168">
        <f t="shared" si="21"/>
        <v>0</v>
      </c>
      <c r="CR34" s="168">
        <f t="shared" si="21"/>
        <v>0</v>
      </c>
      <c r="CS34" s="168">
        <f t="shared" si="21"/>
        <v>0</v>
      </c>
      <c r="CT34" s="168">
        <f t="shared" si="21"/>
        <v>0</v>
      </c>
      <c r="CU34" s="168">
        <f t="shared" si="21"/>
        <v>0</v>
      </c>
      <c r="CV34" s="168">
        <f t="shared" si="21"/>
        <v>0</v>
      </c>
      <c r="CW34" s="168">
        <f t="shared" si="21"/>
        <v>0</v>
      </c>
      <c r="CX34" s="168">
        <f t="shared" si="21"/>
        <v>0</v>
      </c>
      <c r="CY34" s="168">
        <f t="shared" si="21"/>
        <v>0</v>
      </c>
      <c r="CZ34" s="5"/>
      <c r="DA34" s="5"/>
      <c r="DB34" s="5"/>
      <c r="DC34" s="182" t="str">
        <f t="shared" si="22"/>
        <v>lot9</v>
      </c>
      <c r="DD34" s="185">
        <f>Scénario!K124</f>
        <v>0</v>
      </c>
      <c r="DE34" s="168">
        <f t="shared" si="24"/>
        <v>0</v>
      </c>
      <c r="DF34" s="168">
        <f t="shared" si="23"/>
        <v>0</v>
      </c>
      <c r="DG34" s="168">
        <f t="shared" si="23"/>
        <v>0</v>
      </c>
      <c r="DH34" s="168">
        <f t="shared" si="23"/>
        <v>0</v>
      </c>
      <c r="DI34" s="168">
        <f t="shared" si="23"/>
        <v>0</v>
      </c>
      <c r="DJ34" s="168">
        <f t="shared" si="23"/>
        <v>0</v>
      </c>
      <c r="DK34" s="168">
        <f t="shared" si="23"/>
        <v>0</v>
      </c>
      <c r="DL34" s="168">
        <f t="shared" si="23"/>
        <v>0</v>
      </c>
      <c r="DM34" s="168">
        <f t="shared" si="23"/>
        <v>0</v>
      </c>
      <c r="DN34" s="168">
        <f t="shared" si="23"/>
        <v>0</v>
      </c>
      <c r="DO34" s="168">
        <f t="shared" si="23"/>
        <v>0</v>
      </c>
      <c r="DP34" s="168">
        <f t="shared" si="23"/>
        <v>0</v>
      </c>
      <c r="DQ34" s="168">
        <f t="shared" si="23"/>
        <v>0</v>
      </c>
      <c r="DR34" s="168">
        <f t="shared" si="23"/>
        <v>0</v>
      </c>
      <c r="DS34" s="168">
        <f t="shared" si="23"/>
        <v>0</v>
      </c>
      <c r="DT34" s="168">
        <f t="shared" si="23"/>
        <v>0</v>
      </c>
      <c r="DU34" s="168">
        <f t="shared" si="23"/>
        <v>0</v>
      </c>
      <c r="DV34" s="168">
        <f t="shared" si="23"/>
        <v>0</v>
      </c>
      <c r="DW34" s="168">
        <f t="shared" si="23"/>
        <v>0</v>
      </c>
      <c r="DX34" s="168">
        <f t="shared" si="23"/>
        <v>0</v>
      </c>
      <c r="DY34" s="168">
        <f t="shared" si="23"/>
        <v>0</v>
      </c>
      <c r="DZ34" s="168">
        <f t="shared" si="23"/>
        <v>0</v>
      </c>
      <c r="EA34" s="168">
        <f t="shared" si="23"/>
        <v>0</v>
      </c>
      <c r="EB34" s="168">
        <f t="shared" si="23"/>
        <v>0</v>
      </c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</row>
    <row r="35" spans="1:151" x14ac:dyDescent="0.25">
      <c r="A35" t="s">
        <v>557</v>
      </c>
      <c r="B35" s="183">
        <f>IF(Troupeau!B3="BL",[1]Trav!$F$102,IF(Troupeau!B3="OL",[1]Trav!$F$103,0))</f>
        <v>0</v>
      </c>
      <c r="C35" s="168">
        <f>Troupeau!B19</f>
        <v>0</v>
      </c>
      <c r="D35" s="183">
        <f>IF(Troupeau!B3="OL",[1]Trav!$B$103,0)</f>
        <v>0</v>
      </c>
      <c r="E35" s="166"/>
      <c r="F35" s="168">
        <f>B35+C35*D35</f>
        <v>0</v>
      </c>
      <c r="AR35" s="181" t="s">
        <v>730</v>
      </c>
      <c r="AT35" s="182" t="str">
        <f>CdTrp1!A24</f>
        <v>lot10</v>
      </c>
      <c r="AU35" s="185">
        <f>Scénario!K105</f>
        <v>0</v>
      </c>
      <c r="AV35" s="168">
        <f t="shared" si="17"/>
        <v>0</v>
      </c>
      <c r="AW35" s="168">
        <f t="shared" si="17"/>
        <v>0</v>
      </c>
      <c r="AX35" s="168">
        <f t="shared" si="17"/>
        <v>0</v>
      </c>
      <c r="AY35" s="168">
        <f t="shared" si="17"/>
        <v>0</v>
      </c>
      <c r="AZ35" s="168">
        <f t="shared" si="17"/>
        <v>0</v>
      </c>
      <c r="BA35" s="168">
        <f t="shared" si="17"/>
        <v>0</v>
      </c>
      <c r="BB35" s="168">
        <f t="shared" si="17"/>
        <v>0</v>
      </c>
      <c r="BC35" s="168">
        <f t="shared" si="17"/>
        <v>0</v>
      </c>
      <c r="BD35" s="168">
        <f t="shared" si="17"/>
        <v>0</v>
      </c>
      <c r="BE35" s="168">
        <f t="shared" si="17"/>
        <v>0</v>
      </c>
      <c r="BF35" s="168">
        <f t="shared" si="17"/>
        <v>0</v>
      </c>
      <c r="BG35" s="168">
        <f t="shared" si="17"/>
        <v>0</v>
      </c>
      <c r="BH35" s="168">
        <f t="shared" si="17"/>
        <v>0</v>
      </c>
      <c r="BI35" s="168">
        <f t="shared" si="17"/>
        <v>0</v>
      </c>
      <c r="BJ35" s="168">
        <f t="shared" si="17"/>
        <v>0</v>
      </c>
      <c r="BK35" s="168">
        <f t="shared" si="17"/>
        <v>0</v>
      </c>
      <c r="BL35" s="168">
        <f t="shared" si="18"/>
        <v>0</v>
      </c>
      <c r="BM35" s="168">
        <f t="shared" si="18"/>
        <v>0</v>
      </c>
      <c r="BN35" s="168">
        <f t="shared" si="18"/>
        <v>0</v>
      </c>
      <c r="BO35" s="168">
        <f t="shared" si="18"/>
        <v>0</v>
      </c>
      <c r="BP35" s="168">
        <f t="shared" si="18"/>
        <v>0</v>
      </c>
      <c r="BQ35" s="168">
        <f t="shared" si="18"/>
        <v>0</v>
      </c>
      <c r="BR35" s="168">
        <f t="shared" si="18"/>
        <v>0</v>
      </c>
      <c r="BS35" s="168">
        <f t="shared" si="18"/>
        <v>0</v>
      </c>
      <c r="BZ35" s="182" t="str">
        <f t="shared" si="19"/>
        <v>lot10</v>
      </c>
      <c r="CA35" s="185">
        <f>Scénario!K115</f>
        <v>0</v>
      </c>
      <c r="CB35" s="168">
        <f t="shared" si="20"/>
        <v>0</v>
      </c>
      <c r="CC35" s="168">
        <f t="shared" si="20"/>
        <v>0</v>
      </c>
      <c r="CD35" s="168">
        <f t="shared" si="20"/>
        <v>0</v>
      </c>
      <c r="CE35" s="168">
        <f t="shared" si="20"/>
        <v>0</v>
      </c>
      <c r="CF35" s="168">
        <f t="shared" si="20"/>
        <v>0</v>
      </c>
      <c r="CG35" s="168">
        <f t="shared" si="20"/>
        <v>0</v>
      </c>
      <c r="CH35" s="168">
        <f t="shared" si="20"/>
        <v>0</v>
      </c>
      <c r="CI35" s="168">
        <f t="shared" si="20"/>
        <v>0</v>
      </c>
      <c r="CJ35" s="168">
        <f t="shared" si="20"/>
        <v>0</v>
      </c>
      <c r="CK35" s="168">
        <f t="shared" si="20"/>
        <v>0</v>
      </c>
      <c r="CL35" s="168">
        <f t="shared" si="21"/>
        <v>0</v>
      </c>
      <c r="CM35" s="168">
        <f t="shared" si="21"/>
        <v>0</v>
      </c>
      <c r="CN35" s="168">
        <f t="shared" si="21"/>
        <v>0</v>
      </c>
      <c r="CO35" s="168">
        <f t="shared" si="21"/>
        <v>0</v>
      </c>
      <c r="CP35" s="168">
        <f t="shared" si="21"/>
        <v>0</v>
      </c>
      <c r="CQ35" s="168">
        <f t="shared" si="21"/>
        <v>0</v>
      </c>
      <c r="CR35" s="168">
        <f t="shared" si="21"/>
        <v>0</v>
      </c>
      <c r="CS35" s="168">
        <f t="shared" si="21"/>
        <v>0</v>
      </c>
      <c r="CT35" s="168">
        <f t="shared" si="21"/>
        <v>0</v>
      </c>
      <c r="CU35" s="168">
        <f t="shared" si="21"/>
        <v>0</v>
      </c>
      <c r="CV35" s="168">
        <f t="shared" si="21"/>
        <v>0</v>
      </c>
      <c r="CW35" s="168">
        <f t="shared" si="21"/>
        <v>0</v>
      </c>
      <c r="CX35" s="168">
        <f t="shared" si="21"/>
        <v>0</v>
      </c>
      <c r="CY35" s="168">
        <f t="shared" si="21"/>
        <v>0</v>
      </c>
      <c r="DC35" s="182" t="str">
        <f t="shared" si="22"/>
        <v>lot10</v>
      </c>
      <c r="DD35" s="185">
        <f>Scénario!K125</f>
        <v>0</v>
      </c>
      <c r="DE35" s="168">
        <f t="shared" si="24"/>
        <v>0</v>
      </c>
      <c r="DF35" s="168">
        <f t="shared" si="23"/>
        <v>0</v>
      </c>
      <c r="DG35" s="168">
        <f t="shared" si="23"/>
        <v>0</v>
      </c>
      <c r="DH35" s="168">
        <f t="shared" si="23"/>
        <v>0</v>
      </c>
      <c r="DI35" s="168">
        <f t="shared" si="23"/>
        <v>0</v>
      </c>
      <c r="DJ35" s="168">
        <f t="shared" si="23"/>
        <v>0</v>
      </c>
      <c r="DK35" s="168">
        <f t="shared" si="23"/>
        <v>0</v>
      </c>
      <c r="DL35" s="168">
        <f t="shared" si="23"/>
        <v>0</v>
      </c>
      <c r="DM35" s="168">
        <f t="shared" si="23"/>
        <v>0</v>
      </c>
      <c r="DN35" s="168">
        <f t="shared" si="23"/>
        <v>0</v>
      </c>
      <c r="DO35" s="168">
        <f t="shared" si="23"/>
        <v>0</v>
      </c>
      <c r="DP35" s="168">
        <f t="shared" si="23"/>
        <v>0</v>
      </c>
      <c r="DQ35" s="168">
        <f t="shared" si="23"/>
        <v>0</v>
      </c>
      <c r="DR35" s="168">
        <f t="shared" si="23"/>
        <v>0</v>
      </c>
      <c r="DS35" s="168">
        <f t="shared" si="23"/>
        <v>0</v>
      </c>
      <c r="DT35" s="168">
        <f t="shared" si="23"/>
        <v>0</v>
      </c>
      <c r="DU35" s="168">
        <f t="shared" si="23"/>
        <v>0</v>
      </c>
      <c r="DV35" s="168">
        <f t="shared" si="23"/>
        <v>0</v>
      </c>
      <c r="DW35" s="168">
        <f t="shared" si="23"/>
        <v>0</v>
      </c>
      <c r="DX35" s="168">
        <f t="shared" si="23"/>
        <v>0</v>
      </c>
      <c r="DY35" s="168">
        <f t="shared" si="23"/>
        <v>0</v>
      </c>
      <c r="DZ35" s="168">
        <f t="shared" si="23"/>
        <v>0</v>
      </c>
      <c r="EA35" s="168">
        <f t="shared" si="23"/>
        <v>0</v>
      </c>
      <c r="EB35" s="168">
        <f>IF($DD35="fort",2,IF($DD35="faible",1,0))</f>
        <v>0</v>
      </c>
    </row>
    <row r="36" spans="1:151" x14ac:dyDescent="0.25">
      <c r="A36" t="s">
        <v>588</v>
      </c>
      <c r="B36" s="183">
        <f>IF(Troupeau!C3="BL",[1]Trav!$F$102,IF(Troupeau!C3="OL",[1]Trav!$F$103,0))</f>
        <v>0</v>
      </c>
      <c r="C36" s="168">
        <f>Troupeau!C19</f>
        <v>0</v>
      </c>
      <c r="D36" s="183">
        <f>IF(Troupeau!C3="OL",[1]Trav!$B$103,0)</f>
        <v>0</v>
      </c>
      <c r="E36" s="166"/>
      <c r="F36" s="168">
        <f t="shared" ref="F36:F37" si="26">B36+C36*D36</f>
        <v>0</v>
      </c>
      <c r="AR36" s="181" t="s">
        <v>730</v>
      </c>
      <c r="AT36" s="2" t="s">
        <v>728</v>
      </c>
      <c r="BZ36" s="2" t="s">
        <v>728</v>
      </c>
      <c r="CB36" s="165"/>
      <c r="CC36" s="165"/>
      <c r="CD36" s="165"/>
      <c r="CE36" s="165"/>
      <c r="CF36" s="165"/>
      <c r="CG36" s="165"/>
      <c r="CH36" s="165"/>
      <c r="CI36" s="165"/>
      <c r="CJ36" s="165"/>
      <c r="CK36" s="165"/>
      <c r="CL36" s="165"/>
      <c r="CM36" s="165"/>
      <c r="CN36" s="165"/>
      <c r="CO36" s="165"/>
      <c r="CP36" s="165"/>
      <c r="CQ36" s="165"/>
      <c r="CR36" s="165"/>
      <c r="CS36" s="165"/>
      <c r="CT36" s="165"/>
      <c r="CU36" s="165"/>
      <c r="CV36" s="165"/>
      <c r="CW36" s="165"/>
      <c r="CX36" s="165"/>
      <c r="CY36" s="165"/>
      <c r="DC36" s="2" t="s">
        <v>728</v>
      </c>
      <c r="DD36" s="177"/>
      <c r="DE36" s="165"/>
      <c r="DF36" s="165"/>
      <c r="DG36" s="165"/>
      <c r="DH36" s="165"/>
      <c r="DI36" s="165"/>
      <c r="DJ36" s="165"/>
      <c r="DK36" s="165"/>
      <c r="DL36" s="165"/>
      <c r="DM36" s="165"/>
      <c r="DN36" s="165"/>
      <c r="DO36" s="165"/>
      <c r="DP36" s="165"/>
      <c r="DQ36" s="165"/>
      <c r="DR36" s="165"/>
      <c r="DS36" s="165"/>
      <c r="DT36" s="165"/>
      <c r="DU36" s="165"/>
      <c r="DV36" s="165"/>
      <c r="DW36" s="165"/>
      <c r="DX36" s="165"/>
      <c r="DY36" s="165"/>
      <c r="DZ36" s="165"/>
      <c r="EA36" s="165"/>
      <c r="EB36" s="165"/>
    </row>
    <row r="37" spans="1:151" x14ac:dyDescent="0.25">
      <c r="A37" t="s">
        <v>721</v>
      </c>
      <c r="B37" s="183">
        <f>IF(Troupeau!D3="BL",[1]Trav!$F$102,IF(Troupeau!D3="OL",[1]Trav!$F$103,0))</f>
        <v>0</v>
      </c>
      <c r="C37" s="168">
        <f>Troupeau!D19</f>
        <v>0</v>
      </c>
      <c r="D37" s="183">
        <f>IF(Troupeau!D3="OL",[1]Trav!$B$103,0)</f>
        <v>0</v>
      </c>
      <c r="E37" s="166"/>
      <c r="F37" s="168">
        <f t="shared" si="26"/>
        <v>0</v>
      </c>
      <c r="AR37" s="181" t="s">
        <v>730</v>
      </c>
      <c r="AT37" s="182" t="str">
        <f>CdTrp1!$A52</f>
        <v xml:space="preserve">Vaches </v>
      </c>
      <c r="AU37" s="32"/>
      <c r="AV37" s="168">
        <f>IF(CdTrp1!B52=1,3,IF(CdTrp1!B52=0.5,2,IF(CdTrp1!B52=0,1,0)))</f>
        <v>3</v>
      </c>
      <c r="AW37" s="168">
        <f>IF(CdTrp1!C52=1,3,IF(CdTrp1!C52=0.5,2,IF(CdTrp1!C52=0,1,0)))</f>
        <v>3</v>
      </c>
      <c r="AX37" s="168">
        <f>IF(CdTrp1!D52=1,3,IF(CdTrp1!D52=0.5,2,IF(CdTrp1!D52=0,1,0)))</f>
        <v>3</v>
      </c>
      <c r="AY37" s="168">
        <f>IF(CdTrp1!E52=1,3,IF(CdTrp1!E52=0.5,2,IF(CdTrp1!E52=0,1,0)))</f>
        <v>3</v>
      </c>
      <c r="AZ37" s="168">
        <f>IF(CdTrp1!F52=1,3,IF(CdTrp1!F52=0.5,2,IF(CdTrp1!F52=0,1,0)))</f>
        <v>1</v>
      </c>
      <c r="BA37" s="168">
        <f>IF(CdTrp1!G52=1,3,IF(CdTrp1!G52=0.5,2,IF(CdTrp1!G52=0,1,0)))</f>
        <v>1</v>
      </c>
      <c r="BB37" s="168">
        <f>IF(CdTrp1!H52=1,3,IF(CdTrp1!H52=0.5,2,IF(CdTrp1!H52=0,1,0)))</f>
        <v>1</v>
      </c>
      <c r="BC37" s="168">
        <f>IF(CdTrp1!I52=1,3,IF(CdTrp1!I52=0.5,2,IF(CdTrp1!I52=0,1,0)))</f>
        <v>1</v>
      </c>
      <c r="BD37" s="168">
        <f>IF(CdTrp1!J52=1,3,IF(CdTrp1!J52=0.5,2,IF(CdTrp1!J52=0,1,0)))</f>
        <v>1</v>
      </c>
      <c r="BE37" s="168">
        <f>IF(CdTrp1!K52=1,3,IF(CdTrp1!K52=0.5,2,IF(CdTrp1!K52=0,1,0)))</f>
        <v>1</v>
      </c>
      <c r="BF37" s="168">
        <f>IF(CdTrp1!L52=1,3,IF(CdTrp1!L52=0.5,2,IF(CdTrp1!L52=0,1,0)))</f>
        <v>1</v>
      </c>
      <c r="BG37" s="168">
        <f>IF(CdTrp1!M52=1,3,IF(CdTrp1!M52=0.5,2,IF(CdTrp1!M52=0,1,0)))</f>
        <v>1</v>
      </c>
      <c r="BH37" s="168">
        <f>IF(CdTrp1!N52=1,3,IF(CdTrp1!N52=0.5,2,IF(CdTrp1!N52=0,1,0)))</f>
        <v>1</v>
      </c>
      <c r="BI37" s="168">
        <f>IF(CdTrp1!O52=1,3,IF(CdTrp1!O52=0.5,2,IF(CdTrp1!O52=0,1,0)))</f>
        <v>1</v>
      </c>
      <c r="BJ37" s="168">
        <f>IF(CdTrp1!P52=1,3,IF(CdTrp1!P52=0.5,2,IF(CdTrp1!P52=0,1,0)))</f>
        <v>1</v>
      </c>
      <c r="BK37" s="168">
        <f>IF(CdTrp1!Q52=1,3,IF(CdTrp1!Q52=0.5,2,IF(CdTrp1!Q52=0,1,0)))</f>
        <v>1</v>
      </c>
      <c r="BL37" s="168">
        <f>IF(CdTrp1!R52=1,3,IF(CdTrp1!R52=0.5,2,IF(CdTrp1!R52=0,1,0)))</f>
        <v>1</v>
      </c>
      <c r="BM37" s="168">
        <f>IF(CdTrp1!S52=1,3,IF(CdTrp1!S52=0.5,2,IF(CdTrp1!S52=0,1,0)))</f>
        <v>1</v>
      </c>
      <c r="BN37" s="168">
        <f>IF(CdTrp1!T52=1,3,IF(CdTrp1!T52=0.5,2,IF(CdTrp1!T52=0,1,0)))</f>
        <v>1</v>
      </c>
      <c r="BO37" s="168">
        <f>IF(CdTrp1!U52=1,3,IF(CdTrp1!U52=0.5,2,IF(CdTrp1!U52=0,1,0)))</f>
        <v>1</v>
      </c>
      <c r="BP37" s="168">
        <f>IF(CdTrp1!V52=1,3,IF(CdTrp1!V52=0.5,2,IF(CdTrp1!V52=0,1,0)))</f>
        <v>3</v>
      </c>
      <c r="BQ37" s="168">
        <f>IF(CdTrp1!W52=1,3,IF(CdTrp1!W52=0.5,2,IF(CdTrp1!W52=0,1,0)))</f>
        <v>3</v>
      </c>
      <c r="BR37" s="168">
        <f>IF(CdTrp1!X52=1,3,IF(CdTrp1!X52=0.5,2,IF(CdTrp1!X52=0,1,0)))</f>
        <v>3</v>
      </c>
      <c r="BS37" s="168">
        <f>IF(CdTrp1!Y52=1,3,IF(CdTrp1!Y52=0.5,2,IF(CdTrp1!Y52=0,1,0)))</f>
        <v>3</v>
      </c>
      <c r="BU37">
        <v>3</v>
      </c>
      <c r="BV37" t="s">
        <v>754</v>
      </c>
      <c r="BZ37" s="182" t="str">
        <f t="shared" ref="BZ37:BZ46" si="27">+BZ4</f>
        <v>lot1</v>
      </c>
      <c r="CA37" s="32"/>
      <c r="CB37" s="168">
        <f>IF(CdTrp2!B52=1,3,IF(CdTrp2!B52=0.5,2,IF(CdTrp2!B52=0,1,0)))</f>
        <v>1</v>
      </c>
      <c r="CC37" s="168">
        <f>IF(CdTrp2!C52=1,3,IF(CdTrp2!C52=0.5,2,IF(CdTrp2!C52=0,1,0)))</f>
        <v>1</v>
      </c>
      <c r="CD37" s="168">
        <f>IF(CdTrp2!D52=1,3,IF(CdTrp2!D52=0.5,2,IF(CdTrp2!D52=0,1,0)))</f>
        <v>1</v>
      </c>
      <c r="CE37" s="168">
        <f>IF(CdTrp2!E52=1,3,IF(CdTrp2!E52=0.5,2,IF(CdTrp2!E52=0,1,0)))</f>
        <v>1</v>
      </c>
      <c r="CF37" s="168">
        <f>IF(CdTrp2!F52=1,3,IF(CdTrp2!F52=0.5,2,IF(CdTrp2!F52=0,1,0)))</f>
        <v>1</v>
      </c>
      <c r="CG37" s="168">
        <f>IF(CdTrp2!G52=1,3,IF(CdTrp2!G52=0.5,2,IF(CdTrp2!G52=0,1,0)))</f>
        <v>1</v>
      </c>
      <c r="CH37" s="168">
        <f>IF(CdTrp2!H52=1,3,IF(CdTrp2!H52=0.5,2,IF(CdTrp2!H52=0,1,0)))</f>
        <v>1</v>
      </c>
      <c r="CI37" s="168">
        <f>IF(CdTrp2!I52=1,3,IF(CdTrp2!I52=0.5,2,IF(CdTrp2!I52=0,1,0)))</f>
        <v>1</v>
      </c>
      <c r="CJ37" s="168">
        <f>IF(CdTrp2!J52=1,3,IF(CdTrp2!J52=0.5,2,IF(CdTrp2!J52=0,1,0)))</f>
        <v>1</v>
      </c>
      <c r="CK37" s="168">
        <f>IF(CdTrp2!K52=1,3,IF(CdTrp2!K52=0.5,2,IF(CdTrp2!K52=0,1,0)))</f>
        <v>1</v>
      </c>
      <c r="CL37" s="168">
        <f>IF(CdTrp2!L52=1,3,IF(CdTrp2!L52=0.5,2,IF(CdTrp2!L52=0,1,0)))</f>
        <v>1</v>
      </c>
      <c r="CM37" s="168">
        <f>IF(CdTrp2!M52=1,3,IF(CdTrp2!M52=0.5,2,IF(CdTrp2!M52=0,1,0)))</f>
        <v>1</v>
      </c>
      <c r="CN37" s="168">
        <f>IF(CdTrp2!N52=1,3,IF(CdTrp2!N52=0.5,2,IF(CdTrp2!N52=0,1,0)))</f>
        <v>1</v>
      </c>
      <c r="CO37" s="168">
        <f>IF(CdTrp2!O52=1,3,IF(CdTrp2!O52=0.5,2,IF(CdTrp2!O52=0,1,0)))</f>
        <v>1</v>
      </c>
      <c r="CP37" s="168">
        <f>IF(CdTrp2!P52=1,3,IF(CdTrp2!P52=0.5,2,IF(CdTrp2!P52=0,1,0)))</f>
        <v>1</v>
      </c>
      <c r="CQ37" s="168">
        <f>IF(CdTrp2!Q52=1,3,IF(CdTrp2!Q52=0.5,2,IF(CdTrp2!Q52=0,1,0)))</f>
        <v>1</v>
      </c>
      <c r="CR37" s="168">
        <f>IF(CdTrp2!R52=1,3,IF(CdTrp2!R52=0.5,2,IF(CdTrp2!R52=0,1,0)))</f>
        <v>1</v>
      </c>
      <c r="CS37" s="168">
        <f>IF(CdTrp2!S52=1,3,IF(CdTrp2!S52=0.5,2,IF(CdTrp2!S52=0,1,0)))</f>
        <v>1</v>
      </c>
      <c r="CT37" s="168">
        <f>IF(CdTrp2!T52=1,3,IF(CdTrp2!T52=0.5,2,IF(CdTrp2!T52=0,1,0)))</f>
        <v>1</v>
      </c>
      <c r="CU37" s="168">
        <f>IF(CdTrp2!U52=1,3,IF(CdTrp2!U52=0.5,2,IF(CdTrp2!U52=0,1,0)))</f>
        <v>1</v>
      </c>
      <c r="CV37" s="168">
        <f>IF(CdTrp2!V52=1,3,IF(CdTrp2!V52=0.5,2,IF(CdTrp2!V52=0,1,0)))</f>
        <v>1</v>
      </c>
      <c r="CW37" s="168">
        <f>IF(CdTrp2!W52=1,3,IF(CdTrp2!W52=0.5,2,IF(CdTrp2!W52=0,1,0)))</f>
        <v>1</v>
      </c>
      <c r="CX37" s="168">
        <f>IF(CdTrp2!X52=1,3,IF(CdTrp2!X52=0.5,2,IF(CdTrp2!X52=0,1,0)))</f>
        <v>1</v>
      </c>
      <c r="CY37" s="168">
        <f>IF(CdTrp2!Y52=1,3,IF(CdTrp2!Y52=0.5,2,IF(CdTrp2!Y52=0,1,0)))</f>
        <v>1</v>
      </c>
      <c r="DC37" s="182" t="str">
        <f t="shared" ref="DC37:DC46" si="28">+DC4</f>
        <v>lot1</v>
      </c>
      <c r="DD37" s="32"/>
      <c r="DE37" s="168">
        <f>IF(CdTrp3!B52=1,3,IF(CdTrp3!B52=0.5,2,IF(CdTrp3!B52=0,1,0)))</f>
        <v>1</v>
      </c>
      <c r="DF37" s="168">
        <f>IF(CdTrp3!C52=1,3,IF(CdTrp3!C52=0.5,2,IF(CdTrp3!C52=0,1,0)))</f>
        <v>1</v>
      </c>
      <c r="DG37" s="168">
        <f>IF(CdTrp3!D52=1,3,IF(CdTrp3!D52=0.5,2,IF(CdTrp3!D52=0,1,0)))</f>
        <v>1</v>
      </c>
      <c r="DH37" s="168">
        <f>IF(CdTrp3!E52=1,3,IF(CdTrp3!E52=0.5,2,IF(CdTrp3!E52=0,1,0)))</f>
        <v>1</v>
      </c>
      <c r="DI37" s="168">
        <f>IF(CdTrp3!F52=1,3,IF(CdTrp3!F52=0.5,2,IF(CdTrp3!F52=0,1,0)))</f>
        <v>1</v>
      </c>
      <c r="DJ37" s="168">
        <f>IF(CdTrp3!G52=1,3,IF(CdTrp3!G52=0.5,2,IF(CdTrp3!G52=0,1,0)))</f>
        <v>1</v>
      </c>
      <c r="DK37" s="168">
        <f>IF(CdTrp3!H52=1,3,IF(CdTrp3!H52=0.5,2,IF(CdTrp3!H52=0,1,0)))</f>
        <v>1</v>
      </c>
      <c r="DL37" s="168">
        <f>IF(CdTrp3!I52=1,3,IF(CdTrp3!I52=0.5,2,IF(CdTrp3!I52=0,1,0)))</f>
        <v>1</v>
      </c>
      <c r="DM37" s="168">
        <f>IF(CdTrp3!J52=1,3,IF(CdTrp3!J52=0.5,2,IF(CdTrp3!J52=0,1,0)))</f>
        <v>1</v>
      </c>
      <c r="DN37" s="168">
        <f>IF(CdTrp3!K52=1,3,IF(CdTrp3!K52=0.5,2,IF(CdTrp3!K52=0,1,0)))</f>
        <v>1</v>
      </c>
      <c r="DO37" s="168">
        <f>IF(CdTrp3!L52=1,3,IF(CdTrp3!L52=0.5,2,IF(CdTrp3!L52=0,1,0)))</f>
        <v>1</v>
      </c>
      <c r="DP37" s="168">
        <f>IF(CdTrp3!M52=1,3,IF(CdTrp3!M52=0.5,2,IF(CdTrp3!M52=0,1,0)))</f>
        <v>1</v>
      </c>
      <c r="DQ37" s="168">
        <f>IF(CdTrp3!N52=1,3,IF(CdTrp3!N52=0.5,2,IF(CdTrp3!N52=0,1,0)))</f>
        <v>1</v>
      </c>
      <c r="DR37" s="168">
        <f>IF(CdTrp3!O52=1,3,IF(CdTrp3!O52=0.5,2,IF(CdTrp3!O52=0,1,0)))</f>
        <v>1</v>
      </c>
      <c r="DS37" s="168">
        <f>IF(CdTrp3!P52=1,3,IF(CdTrp3!P52=0.5,2,IF(CdTrp3!P52=0,1,0)))</f>
        <v>1</v>
      </c>
      <c r="DT37" s="168">
        <f>IF(CdTrp3!Q52=1,3,IF(CdTrp3!Q52=0.5,2,IF(CdTrp3!Q52=0,1,0)))</f>
        <v>1</v>
      </c>
      <c r="DU37" s="168">
        <f>IF(CdTrp3!R52=1,3,IF(CdTrp3!R52=0.5,2,IF(CdTrp3!R52=0,1,0)))</f>
        <v>1</v>
      </c>
      <c r="DV37" s="168">
        <f>IF(CdTrp3!S52=1,3,IF(CdTrp3!S52=0.5,2,IF(CdTrp3!S52=0,1,0)))</f>
        <v>1</v>
      </c>
      <c r="DW37" s="168">
        <f>IF(CdTrp3!T52=1,3,IF(CdTrp3!T52=0.5,2,IF(CdTrp3!T52=0,1,0)))</f>
        <v>1</v>
      </c>
      <c r="DX37" s="168">
        <f>IF(CdTrp3!U52=1,3,IF(CdTrp3!U52=0.5,2,IF(CdTrp3!U52=0,1,0)))</f>
        <v>1</v>
      </c>
      <c r="DY37" s="168">
        <f>IF(CdTrp3!V52=1,3,IF(CdTrp3!V52=0.5,2,IF(CdTrp3!V52=0,1,0)))</f>
        <v>1</v>
      </c>
      <c r="DZ37" s="168">
        <f>IF(CdTrp3!W52=1,3,IF(CdTrp3!W52=0.5,2,IF(CdTrp3!W52=0,1,0)))</f>
        <v>1</v>
      </c>
      <c r="EA37" s="168">
        <f>IF(CdTrp3!X52=1,3,IF(CdTrp3!X52=0.5,2,IF(CdTrp3!X52=0,1,0)))</f>
        <v>1</v>
      </c>
      <c r="EB37" s="168">
        <f>IF(CdTrp3!Y52=1,3,IF(CdTrp3!Y52=0.5,2,IF(CdTrp3!Y52=0,1,0)))</f>
        <v>1</v>
      </c>
    </row>
    <row r="38" spans="1:151" x14ac:dyDescent="0.25">
      <c r="A38" s="2" t="s">
        <v>755</v>
      </c>
      <c r="B38" s="188" t="s">
        <v>756</v>
      </c>
      <c r="C38" s="188" t="s">
        <v>757</v>
      </c>
      <c r="D38" s="187"/>
      <c r="E38" s="187"/>
      <c r="F38" s="33"/>
      <c r="AR38" s="181" t="s">
        <v>730</v>
      </c>
      <c r="AT38" s="252" t="str">
        <f>CdTrp1!$A53</f>
        <v>Génisses 24 mois</v>
      </c>
      <c r="AU38" s="32"/>
      <c r="AV38" s="168">
        <f>IF(CdTrp1!B53=1,3,IF(CdTrp1!B53=0.5,2,IF(CdTrp1!B53=0,1,0)))</f>
        <v>3</v>
      </c>
      <c r="AW38" s="168">
        <f>IF(CdTrp1!C53=1,3,IF(CdTrp1!C53=0.5,2,IF(CdTrp1!C53=0,1,0)))</f>
        <v>3</v>
      </c>
      <c r="AX38" s="168">
        <f>IF(CdTrp1!D53=1,3,IF(CdTrp1!D53=0.5,2,IF(CdTrp1!D53=0,1,0)))</f>
        <v>3</v>
      </c>
      <c r="AY38" s="168">
        <f>IF(CdTrp1!E53=1,3,IF(CdTrp1!E53=0.5,2,IF(CdTrp1!E53=0,1,0)))</f>
        <v>3</v>
      </c>
      <c r="AZ38" s="168">
        <f>IF(CdTrp1!F53=1,3,IF(CdTrp1!F53=0.5,2,IF(CdTrp1!F53=0,1,0)))</f>
        <v>2</v>
      </c>
      <c r="BA38" s="168">
        <f>IF(CdTrp1!G53=1,3,IF(CdTrp1!G53=0.5,2,IF(CdTrp1!G53=0,1,0)))</f>
        <v>2</v>
      </c>
      <c r="BB38" s="168">
        <f>IF(CdTrp1!H53=1,3,IF(CdTrp1!H53=0.5,2,IF(CdTrp1!H53=0,1,0)))</f>
        <v>1</v>
      </c>
      <c r="BC38" s="168">
        <f>IF(CdTrp1!I53=1,3,IF(CdTrp1!I53=0.5,2,IF(CdTrp1!I53=0,1,0)))</f>
        <v>1</v>
      </c>
      <c r="BD38" s="168">
        <f>IF(CdTrp1!J53=1,3,IF(CdTrp1!J53=0.5,2,IF(CdTrp1!J53=0,1,0)))</f>
        <v>1</v>
      </c>
      <c r="BE38" s="168">
        <f>IF(CdTrp1!K53=1,3,IF(CdTrp1!K53=0.5,2,IF(CdTrp1!K53=0,1,0)))</f>
        <v>1</v>
      </c>
      <c r="BF38" s="168">
        <f>IF(CdTrp1!L53=1,3,IF(CdTrp1!L53=0.5,2,IF(CdTrp1!L53=0,1,0)))</f>
        <v>1</v>
      </c>
      <c r="BG38" s="168">
        <f>IF(CdTrp1!M53=1,3,IF(CdTrp1!M53=0.5,2,IF(CdTrp1!M53=0,1,0)))</f>
        <v>1</v>
      </c>
      <c r="BH38" s="168">
        <f>IF(CdTrp1!N53=1,3,IF(CdTrp1!N53=0.5,2,IF(CdTrp1!N53=0,1,0)))</f>
        <v>1</v>
      </c>
      <c r="BI38" s="168">
        <f>IF(CdTrp1!O53=1,3,IF(CdTrp1!O53=0.5,2,IF(CdTrp1!O53=0,1,0)))</f>
        <v>1</v>
      </c>
      <c r="BJ38" s="168">
        <f>IF(CdTrp1!P53=1,3,IF(CdTrp1!P53=0.5,2,IF(CdTrp1!P53=0,1,0)))</f>
        <v>1</v>
      </c>
      <c r="BK38" s="168">
        <f>IF(CdTrp1!Q53=1,3,IF(CdTrp1!Q53=0.5,2,IF(CdTrp1!Q53=0,1,0)))</f>
        <v>1</v>
      </c>
      <c r="BL38" s="168">
        <f>IF(CdTrp1!R53=1,3,IF(CdTrp1!R53=0.5,2,IF(CdTrp1!R53=0,1,0)))</f>
        <v>1</v>
      </c>
      <c r="BM38" s="168">
        <f>IF(CdTrp1!S53=1,3,IF(CdTrp1!S53=0.5,2,IF(CdTrp1!S53=0,1,0)))</f>
        <v>1</v>
      </c>
      <c r="BN38" s="168">
        <f>IF(CdTrp1!T53=1,3,IF(CdTrp1!T53=0.5,2,IF(CdTrp1!T53=0,1,0)))</f>
        <v>1</v>
      </c>
      <c r="BO38" s="168">
        <f>IF(CdTrp1!U53=1,3,IF(CdTrp1!U53=0.5,2,IF(CdTrp1!U53=0,1,0)))</f>
        <v>1</v>
      </c>
      <c r="BP38" s="168">
        <f>IF(CdTrp1!V53=1,3,IF(CdTrp1!V53=0.5,2,IF(CdTrp1!V53=0,1,0)))</f>
        <v>2</v>
      </c>
      <c r="BQ38" s="168">
        <f>IF(CdTrp1!W53=1,3,IF(CdTrp1!W53=0.5,2,IF(CdTrp1!W53=0,1,0)))</f>
        <v>3</v>
      </c>
      <c r="BR38" s="168">
        <f>IF(CdTrp1!X53=1,3,IF(CdTrp1!X53=0.5,2,IF(CdTrp1!X53=0,1,0)))</f>
        <v>3</v>
      </c>
      <c r="BS38" s="168">
        <f>IF(CdTrp1!Y53=1,3,IF(CdTrp1!Y53=0.5,2,IF(CdTrp1!Y53=0,1,0)))</f>
        <v>3</v>
      </c>
      <c r="BU38">
        <v>2</v>
      </c>
      <c r="BV38" t="s">
        <v>758</v>
      </c>
      <c r="BZ38" s="182" t="str">
        <f t="shared" si="27"/>
        <v>lot2</v>
      </c>
      <c r="CA38" s="32"/>
      <c r="CB38" s="168">
        <f>IF(CdTrp2!B53=1,3,IF(CdTrp2!B53=0.5,2,IF(CdTrp2!B53=0,1,0)))</f>
        <v>1</v>
      </c>
      <c r="CC38" s="168">
        <f>IF(CdTrp2!C53=1,3,IF(CdTrp2!C53=0.5,2,IF(CdTrp2!C53=0,1,0)))</f>
        <v>1</v>
      </c>
      <c r="CD38" s="168">
        <f>IF(CdTrp2!D53=1,3,IF(CdTrp2!D53=0.5,2,IF(CdTrp2!D53=0,1,0)))</f>
        <v>1</v>
      </c>
      <c r="CE38" s="168">
        <f>IF(CdTrp2!E53=1,3,IF(CdTrp2!E53=0.5,2,IF(CdTrp2!E53=0,1,0)))</f>
        <v>1</v>
      </c>
      <c r="CF38" s="168">
        <f>IF(CdTrp2!F53=1,3,IF(CdTrp2!F53=0.5,2,IF(CdTrp2!F53=0,1,0)))</f>
        <v>1</v>
      </c>
      <c r="CG38" s="168">
        <f>IF(CdTrp2!G53=1,3,IF(CdTrp2!G53=0.5,2,IF(CdTrp2!G53=0,1,0)))</f>
        <v>1</v>
      </c>
      <c r="CH38" s="168">
        <f>IF(CdTrp2!H53=1,3,IF(CdTrp2!H53=0.5,2,IF(CdTrp2!H53=0,1,0)))</f>
        <v>1</v>
      </c>
      <c r="CI38" s="168">
        <f>IF(CdTrp2!I53=1,3,IF(CdTrp2!I53=0.5,2,IF(CdTrp2!I53=0,1,0)))</f>
        <v>1</v>
      </c>
      <c r="CJ38" s="168">
        <f>IF(CdTrp2!J53=1,3,IF(CdTrp2!J53=0.5,2,IF(CdTrp2!J53=0,1,0)))</f>
        <v>1</v>
      </c>
      <c r="CK38" s="168">
        <f>IF(CdTrp2!K53=1,3,IF(CdTrp2!K53=0.5,2,IF(CdTrp2!K53=0,1,0)))</f>
        <v>1</v>
      </c>
      <c r="CL38" s="168">
        <f>IF(CdTrp2!L53=1,3,IF(CdTrp2!L53=0.5,2,IF(CdTrp2!L53=0,1,0)))</f>
        <v>1</v>
      </c>
      <c r="CM38" s="168">
        <f>IF(CdTrp2!M53=1,3,IF(CdTrp2!M53=0.5,2,IF(CdTrp2!M53=0,1,0)))</f>
        <v>1</v>
      </c>
      <c r="CN38" s="168">
        <f>IF(CdTrp2!N53=1,3,IF(CdTrp2!N53=0.5,2,IF(CdTrp2!N53=0,1,0)))</f>
        <v>1</v>
      </c>
      <c r="CO38" s="168">
        <f>IF(CdTrp2!O53=1,3,IF(CdTrp2!O53=0.5,2,IF(CdTrp2!O53=0,1,0)))</f>
        <v>1</v>
      </c>
      <c r="CP38" s="168">
        <f>IF(CdTrp2!P53=1,3,IF(CdTrp2!P53=0.5,2,IF(CdTrp2!P53=0,1,0)))</f>
        <v>1</v>
      </c>
      <c r="CQ38" s="168">
        <f>IF(CdTrp2!Q53=1,3,IF(CdTrp2!Q53=0.5,2,IF(CdTrp2!Q53=0,1,0)))</f>
        <v>1</v>
      </c>
      <c r="CR38" s="168">
        <f>IF(CdTrp2!R53=1,3,IF(CdTrp2!R53=0.5,2,IF(CdTrp2!R53=0,1,0)))</f>
        <v>1</v>
      </c>
      <c r="CS38" s="168">
        <f>IF(CdTrp2!S53=1,3,IF(CdTrp2!S53=0.5,2,IF(CdTrp2!S53=0,1,0)))</f>
        <v>1</v>
      </c>
      <c r="CT38" s="168">
        <f>IF(CdTrp2!T53=1,3,IF(CdTrp2!T53=0.5,2,IF(CdTrp2!T53=0,1,0)))</f>
        <v>1</v>
      </c>
      <c r="CU38" s="168">
        <f>IF(CdTrp2!U53=1,3,IF(CdTrp2!U53=0.5,2,IF(CdTrp2!U53=0,1,0)))</f>
        <v>1</v>
      </c>
      <c r="CV38" s="168">
        <f>IF(CdTrp2!V53=1,3,IF(CdTrp2!V53=0.5,2,IF(CdTrp2!V53=0,1,0)))</f>
        <v>1</v>
      </c>
      <c r="CW38" s="168">
        <f>IF(CdTrp2!W53=1,3,IF(CdTrp2!W53=0.5,2,IF(CdTrp2!W53=0,1,0)))</f>
        <v>1</v>
      </c>
      <c r="CX38" s="168">
        <f>IF(CdTrp2!X53=1,3,IF(CdTrp2!X53=0.5,2,IF(CdTrp2!X53=0,1,0)))</f>
        <v>1</v>
      </c>
      <c r="CY38" s="168">
        <f>IF(CdTrp2!Y53=1,3,IF(CdTrp2!Y53=0.5,2,IF(CdTrp2!Y53=0,1,0)))</f>
        <v>1</v>
      </c>
      <c r="DC38" s="182" t="str">
        <f t="shared" si="28"/>
        <v>lot2</v>
      </c>
      <c r="DD38" s="32"/>
      <c r="DE38" s="168">
        <f>IF(CdTrp3!B53=1,3,IF(CdTrp3!B53=0.5,2,IF(CdTrp3!B53=0,1,0)))</f>
        <v>1</v>
      </c>
      <c r="DF38" s="168">
        <f>IF(CdTrp3!C53=1,3,IF(CdTrp3!C53=0.5,2,IF(CdTrp3!C53=0,1,0)))</f>
        <v>1</v>
      </c>
      <c r="DG38" s="168">
        <f>IF(CdTrp3!D53=1,3,IF(CdTrp3!D53=0.5,2,IF(CdTrp3!D53=0,1,0)))</f>
        <v>1</v>
      </c>
      <c r="DH38" s="168">
        <f>IF(CdTrp3!E53=1,3,IF(CdTrp3!E53=0.5,2,IF(CdTrp3!E53=0,1,0)))</f>
        <v>1</v>
      </c>
      <c r="DI38" s="168">
        <f>IF(CdTrp3!F53=1,3,IF(CdTrp3!F53=0.5,2,IF(CdTrp3!F53=0,1,0)))</f>
        <v>1</v>
      </c>
      <c r="DJ38" s="168">
        <f>IF(CdTrp3!G53=1,3,IF(CdTrp3!G53=0.5,2,IF(CdTrp3!G53=0,1,0)))</f>
        <v>1</v>
      </c>
      <c r="DK38" s="168">
        <f>IF(CdTrp3!H53=1,3,IF(CdTrp3!H53=0.5,2,IF(CdTrp3!H53=0,1,0)))</f>
        <v>1</v>
      </c>
      <c r="DL38" s="168">
        <f>IF(CdTrp3!I53=1,3,IF(CdTrp3!I53=0.5,2,IF(CdTrp3!I53=0,1,0)))</f>
        <v>1</v>
      </c>
      <c r="DM38" s="168">
        <f>IF(CdTrp3!J53=1,3,IF(CdTrp3!J53=0.5,2,IF(CdTrp3!J53=0,1,0)))</f>
        <v>1</v>
      </c>
      <c r="DN38" s="168">
        <f>IF(CdTrp3!K53=1,3,IF(CdTrp3!K53=0.5,2,IF(CdTrp3!K53=0,1,0)))</f>
        <v>1</v>
      </c>
      <c r="DO38" s="168">
        <f>IF(CdTrp3!L53=1,3,IF(CdTrp3!L53=0.5,2,IF(CdTrp3!L53=0,1,0)))</f>
        <v>1</v>
      </c>
      <c r="DP38" s="168">
        <f>IF(CdTrp3!M53=1,3,IF(CdTrp3!M53=0.5,2,IF(CdTrp3!M53=0,1,0)))</f>
        <v>1</v>
      </c>
      <c r="DQ38" s="168">
        <f>IF(CdTrp3!N53=1,3,IF(CdTrp3!N53=0.5,2,IF(CdTrp3!N53=0,1,0)))</f>
        <v>1</v>
      </c>
      <c r="DR38" s="168">
        <f>IF(CdTrp3!O53=1,3,IF(CdTrp3!O53=0.5,2,IF(CdTrp3!O53=0,1,0)))</f>
        <v>1</v>
      </c>
      <c r="DS38" s="168">
        <f>IF(CdTrp3!P53=1,3,IF(CdTrp3!P53=0.5,2,IF(CdTrp3!P53=0,1,0)))</f>
        <v>1</v>
      </c>
      <c r="DT38" s="168">
        <f>IF(CdTrp3!Q53=1,3,IF(CdTrp3!Q53=0.5,2,IF(CdTrp3!Q53=0,1,0)))</f>
        <v>1</v>
      </c>
      <c r="DU38" s="168">
        <f>IF(CdTrp3!R53=1,3,IF(CdTrp3!R53=0.5,2,IF(CdTrp3!R53=0,1,0)))</f>
        <v>1</v>
      </c>
      <c r="DV38" s="168">
        <f>IF(CdTrp3!S53=1,3,IF(CdTrp3!S53=0.5,2,IF(CdTrp3!S53=0,1,0)))</f>
        <v>1</v>
      </c>
      <c r="DW38" s="168">
        <f>IF(CdTrp3!T53=1,3,IF(CdTrp3!T53=0.5,2,IF(CdTrp3!T53=0,1,0)))</f>
        <v>1</v>
      </c>
      <c r="DX38" s="168">
        <f>IF(CdTrp3!U53=1,3,IF(CdTrp3!U53=0.5,2,IF(CdTrp3!U53=0,1,0)))</f>
        <v>1</v>
      </c>
      <c r="DY38" s="168">
        <f>IF(CdTrp3!V53=1,3,IF(CdTrp3!V53=0.5,2,IF(CdTrp3!V53=0,1,0)))</f>
        <v>1</v>
      </c>
      <c r="DZ38" s="168">
        <f>IF(CdTrp3!W53=1,3,IF(CdTrp3!W53=0.5,2,IF(CdTrp3!W53=0,1,0)))</f>
        <v>1</v>
      </c>
      <c r="EA38" s="168">
        <f>IF(CdTrp3!X53=1,3,IF(CdTrp3!X53=0.5,2,IF(CdTrp3!X53=0,1,0)))</f>
        <v>1</v>
      </c>
      <c r="EB38" s="168">
        <f>IF(CdTrp3!Y53=1,3,IF(CdTrp3!Y53=0.5,2,IF(CdTrp3!Y53=0,1,0)))</f>
        <v>1</v>
      </c>
    </row>
    <row r="39" spans="1:151" x14ac:dyDescent="0.25">
      <c r="A39" t="s">
        <v>557</v>
      </c>
      <c r="B39" s="30">
        <f>Troupeau!B35*Scénario!K16/100</f>
        <v>0</v>
      </c>
      <c r="C39" s="183">
        <f>IF(B39=0,0,VLOOKUP(Troupeau!B3,[1]Trav!$A$108:$B$109,2))</f>
        <v>0</v>
      </c>
      <c r="D39" s="166"/>
      <c r="E39" s="166"/>
      <c r="F39" s="168">
        <f>ROUND(B39*C39/60,0)</f>
        <v>0</v>
      </c>
      <c r="AR39" s="181" t="s">
        <v>730</v>
      </c>
      <c r="AT39" s="252" t="str">
        <f>CdTrp1!$A54</f>
        <v>Génisses jeunes</v>
      </c>
      <c r="AU39" s="32"/>
      <c r="AV39" s="168">
        <f>IF(CdTrp1!B54=1,3,IF(CdTrp1!B54=0.5,2,IF(CdTrp1!B54=0,1,0)))</f>
        <v>3</v>
      </c>
      <c r="AW39" s="168">
        <f>IF(CdTrp1!C54=1,3,IF(CdTrp1!C54=0.5,2,IF(CdTrp1!C54=0,1,0)))</f>
        <v>3</v>
      </c>
      <c r="AX39" s="168">
        <f>IF(CdTrp1!D54=1,3,IF(CdTrp1!D54=0.5,2,IF(CdTrp1!D54=0,1,0)))</f>
        <v>3</v>
      </c>
      <c r="AY39" s="168">
        <f>IF(CdTrp1!E54=1,3,IF(CdTrp1!E54=0.5,2,IF(CdTrp1!E54=0,1,0)))</f>
        <v>3</v>
      </c>
      <c r="AZ39" s="168">
        <f>IF(CdTrp1!F54=1,3,IF(CdTrp1!F54=0.5,2,IF(CdTrp1!F54=0,1,0)))</f>
        <v>3</v>
      </c>
      <c r="BA39" s="168">
        <f>IF(CdTrp1!G54=1,3,IF(CdTrp1!G54=0.5,2,IF(CdTrp1!G54=0,1,0)))</f>
        <v>3</v>
      </c>
      <c r="BB39" s="168">
        <f>IF(CdTrp1!H54=1,3,IF(CdTrp1!H54=0.5,2,IF(CdTrp1!H54=0,1,0)))</f>
        <v>3</v>
      </c>
      <c r="BC39" s="168">
        <f>IF(CdTrp1!I54=1,3,IF(CdTrp1!I54=0.5,2,IF(CdTrp1!I54=0,1,0)))</f>
        <v>3</v>
      </c>
      <c r="BD39" s="168">
        <f>IF(CdTrp1!J54=1,3,IF(CdTrp1!J54=0.5,2,IF(CdTrp1!J54=0,1,0)))</f>
        <v>3</v>
      </c>
      <c r="BE39" s="168">
        <f>IF(CdTrp1!K54=1,3,IF(CdTrp1!K54=0.5,2,IF(CdTrp1!K54=0,1,0)))</f>
        <v>2</v>
      </c>
      <c r="BF39" s="168">
        <f>IF(CdTrp1!L54=1,3,IF(CdTrp1!L54=0.5,2,IF(CdTrp1!L54=0,1,0)))</f>
        <v>2</v>
      </c>
      <c r="BG39" s="168">
        <f>IF(CdTrp1!M54=1,3,IF(CdTrp1!M54=0.5,2,IF(CdTrp1!M54=0,1,0)))</f>
        <v>2</v>
      </c>
      <c r="BH39" s="168">
        <f>IF(CdTrp1!N54=1,3,IF(CdTrp1!N54=0.5,2,IF(CdTrp1!N54=0,1,0)))</f>
        <v>2</v>
      </c>
      <c r="BI39" s="168">
        <f>IF(CdTrp1!O54=1,3,IF(CdTrp1!O54=0.5,2,IF(CdTrp1!O54=0,1,0)))</f>
        <v>2</v>
      </c>
      <c r="BJ39" s="168">
        <f>IF(CdTrp1!P54=1,3,IF(CdTrp1!P54=0.5,2,IF(CdTrp1!P54=0,1,0)))</f>
        <v>2</v>
      </c>
      <c r="BK39" s="168">
        <f>IF(CdTrp1!Q54=1,3,IF(CdTrp1!Q54=0.5,2,IF(CdTrp1!Q54=0,1,0)))</f>
        <v>2</v>
      </c>
      <c r="BL39" s="168">
        <f>IF(CdTrp1!R54=1,3,IF(CdTrp1!R54=0.5,2,IF(CdTrp1!R54=0,1,0)))</f>
        <v>2</v>
      </c>
      <c r="BM39" s="168">
        <f>IF(CdTrp1!S54=1,3,IF(CdTrp1!S54=0.5,2,IF(CdTrp1!S54=0,1,0)))</f>
        <v>2</v>
      </c>
      <c r="BN39" s="168">
        <f>IF(CdTrp1!T54=1,3,IF(CdTrp1!T54=0.5,2,IF(CdTrp1!T54=0,1,0)))</f>
        <v>2</v>
      </c>
      <c r="BO39" s="168">
        <f>IF(CdTrp1!U54=1,3,IF(CdTrp1!U54=0.5,2,IF(CdTrp1!U54=0,1,0)))</f>
        <v>2</v>
      </c>
      <c r="BP39" s="168">
        <f>IF(CdTrp1!V54=1,3,IF(CdTrp1!V54=0.5,2,IF(CdTrp1!V54=0,1,0)))</f>
        <v>2</v>
      </c>
      <c r="BQ39" s="168">
        <f>IF(CdTrp1!W54=1,3,IF(CdTrp1!W54=0.5,2,IF(CdTrp1!W54=0,1,0)))</f>
        <v>3</v>
      </c>
      <c r="BR39" s="168">
        <f>IF(CdTrp1!X54=1,3,IF(CdTrp1!X54=0.5,2,IF(CdTrp1!X54=0,1,0)))</f>
        <v>3</v>
      </c>
      <c r="BS39" s="168">
        <f>IF(CdTrp1!Y54=1,3,IF(CdTrp1!Y54=0.5,2,IF(CdTrp1!Y54=0,1,0)))</f>
        <v>3</v>
      </c>
      <c r="BU39">
        <v>1</v>
      </c>
      <c r="BV39" t="s">
        <v>759</v>
      </c>
      <c r="BZ39" s="182" t="str">
        <f t="shared" si="27"/>
        <v>lot3</v>
      </c>
      <c r="CA39" s="32"/>
      <c r="CB39" s="168">
        <f>IF(CdTrp2!B54=1,3,IF(CdTrp2!B54=0.5,2,IF(CdTrp2!B54=0,1,0)))</f>
        <v>1</v>
      </c>
      <c r="CC39" s="168">
        <f>IF(CdTrp2!C54=1,3,IF(CdTrp2!C54=0.5,2,IF(CdTrp2!C54=0,1,0)))</f>
        <v>1</v>
      </c>
      <c r="CD39" s="168">
        <f>IF(CdTrp2!D54=1,3,IF(CdTrp2!D54=0.5,2,IF(CdTrp2!D54=0,1,0)))</f>
        <v>1</v>
      </c>
      <c r="CE39" s="168">
        <f>IF(CdTrp2!E54=1,3,IF(CdTrp2!E54=0.5,2,IF(CdTrp2!E54=0,1,0)))</f>
        <v>1</v>
      </c>
      <c r="CF39" s="168">
        <f>IF(CdTrp2!F54=1,3,IF(CdTrp2!F54=0.5,2,IF(CdTrp2!F54=0,1,0)))</f>
        <v>1</v>
      </c>
      <c r="CG39" s="168">
        <f>IF(CdTrp2!G54=1,3,IF(CdTrp2!G54=0.5,2,IF(CdTrp2!G54=0,1,0)))</f>
        <v>1</v>
      </c>
      <c r="CH39" s="168">
        <f>IF(CdTrp2!H54=1,3,IF(CdTrp2!H54=0.5,2,IF(CdTrp2!H54=0,1,0)))</f>
        <v>1</v>
      </c>
      <c r="CI39" s="168">
        <f>IF(CdTrp2!I54=1,3,IF(CdTrp2!I54=0.5,2,IF(CdTrp2!I54=0,1,0)))</f>
        <v>1</v>
      </c>
      <c r="CJ39" s="168">
        <f>IF(CdTrp2!J54=1,3,IF(CdTrp2!J54=0.5,2,IF(CdTrp2!J54=0,1,0)))</f>
        <v>1</v>
      </c>
      <c r="CK39" s="168">
        <f>IF(CdTrp2!K54=1,3,IF(CdTrp2!K54=0.5,2,IF(CdTrp2!K54=0,1,0)))</f>
        <v>1</v>
      </c>
      <c r="CL39" s="168">
        <f>IF(CdTrp2!L54=1,3,IF(CdTrp2!L54=0.5,2,IF(CdTrp2!L54=0,1,0)))</f>
        <v>1</v>
      </c>
      <c r="CM39" s="168">
        <f>IF(CdTrp2!M54=1,3,IF(CdTrp2!M54=0.5,2,IF(CdTrp2!M54=0,1,0)))</f>
        <v>1</v>
      </c>
      <c r="CN39" s="168">
        <f>IF(CdTrp2!N54=1,3,IF(CdTrp2!N54=0.5,2,IF(CdTrp2!N54=0,1,0)))</f>
        <v>1</v>
      </c>
      <c r="CO39" s="168">
        <f>IF(CdTrp2!O54=1,3,IF(CdTrp2!O54=0.5,2,IF(CdTrp2!O54=0,1,0)))</f>
        <v>1</v>
      </c>
      <c r="CP39" s="168">
        <f>IF(CdTrp2!P54=1,3,IF(CdTrp2!P54=0.5,2,IF(CdTrp2!P54=0,1,0)))</f>
        <v>1</v>
      </c>
      <c r="CQ39" s="168">
        <f>IF(CdTrp2!Q54=1,3,IF(CdTrp2!Q54=0.5,2,IF(CdTrp2!Q54=0,1,0)))</f>
        <v>1</v>
      </c>
      <c r="CR39" s="168">
        <f>IF(CdTrp2!R54=1,3,IF(CdTrp2!R54=0.5,2,IF(CdTrp2!R54=0,1,0)))</f>
        <v>1</v>
      </c>
      <c r="CS39" s="168">
        <f>IF(CdTrp2!S54=1,3,IF(CdTrp2!S54=0.5,2,IF(CdTrp2!S54=0,1,0)))</f>
        <v>1</v>
      </c>
      <c r="CT39" s="168">
        <f>IF(CdTrp2!T54=1,3,IF(CdTrp2!T54=0.5,2,IF(CdTrp2!T54=0,1,0)))</f>
        <v>1</v>
      </c>
      <c r="CU39" s="168">
        <f>IF(CdTrp2!U54=1,3,IF(CdTrp2!U54=0.5,2,IF(CdTrp2!U54=0,1,0)))</f>
        <v>1</v>
      </c>
      <c r="CV39" s="168">
        <f>IF(CdTrp2!V54=1,3,IF(CdTrp2!V54=0.5,2,IF(CdTrp2!V54=0,1,0)))</f>
        <v>1</v>
      </c>
      <c r="CW39" s="168">
        <f>IF(CdTrp2!W54=1,3,IF(CdTrp2!W54=0.5,2,IF(CdTrp2!W54=0,1,0)))</f>
        <v>1</v>
      </c>
      <c r="CX39" s="168">
        <f>IF(CdTrp2!X54=1,3,IF(CdTrp2!X54=0.5,2,IF(CdTrp2!X54=0,1,0)))</f>
        <v>1</v>
      </c>
      <c r="CY39" s="168">
        <f>IF(CdTrp2!Y54=1,3,IF(CdTrp2!Y54=0.5,2,IF(CdTrp2!Y54=0,1,0)))</f>
        <v>1</v>
      </c>
      <c r="DC39" s="182" t="str">
        <f t="shared" si="28"/>
        <v>lot3</v>
      </c>
      <c r="DD39" s="32"/>
      <c r="DE39" s="168">
        <f>IF(CdTrp3!B54=1,3,IF(CdTrp3!B54=0.5,2,IF(CdTrp3!B54=0,1,0)))</f>
        <v>1</v>
      </c>
      <c r="DF39" s="168">
        <f>IF(CdTrp3!C54=1,3,IF(CdTrp3!C54=0.5,2,IF(CdTrp3!C54=0,1,0)))</f>
        <v>1</v>
      </c>
      <c r="DG39" s="168">
        <f>IF(CdTrp3!D54=1,3,IF(CdTrp3!D54=0.5,2,IF(CdTrp3!D54=0,1,0)))</f>
        <v>1</v>
      </c>
      <c r="DH39" s="168">
        <f>IF(CdTrp3!E54=1,3,IF(CdTrp3!E54=0.5,2,IF(CdTrp3!E54=0,1,0)))</f>
        <v>1</v>
      </c>
      <c r="DI39" s="168">
        <f>IF(CdTrp3!F54=1,3,IF(CdTrp3!F54=0.5,2,IF(CdTrp3!F54=0,1,0)))</f>
        <v>1</v>
      </c>
      <c r="DJ39" s="168">
        <f>IF(CdTrp3!G54=1,3,IF(CdTrp3!G54=0.5,2,IF(CdTrp3!G54=0,1,0)))</f>
        <v>1</v>
      </c>
      <c r="DK39" s="168">
        <f>IF(CdTrp3!H54=1,3,IF(CdTrp3!H54=0.5,2,IF(CdTrp3!H54=0,1,0)))</f>
        <v>1</v>
      </c>
      <c r="DL39" s="168">
        <f>IF(CdTrp3!I54=1,3,IF(CdTrp3!I54=0.5,2,IF(CdTrp3!I54=0,1,0)))</f>
        <v>1</v>
      </c>
      <c r="DM39" s="168">
        <f>IF(CdTrp3!J54=1,3,IF(CdTrp3!J54=0.5,2,IF(CdTrp3!J54=0,1,0)))</f>
        <v>1</v>
      </c>
      <c r="DN39" s="168">
        <f>IF(CdTrp3!K54=1,3,IF(CdTrp3!K54=0.5,2,IF(CdTrp3!K54=0,1,0)))</f>
        <v>1</v>
      </c>
      <c r="DO39" s="168">
        <f>IF(CdTrp3!L54=1,3,IF(CdTrp3!L54=0.5,2,IF(CdTrp3!L54=0,1,0)))</f>
        <v>1</v>
      </c>
      <c r="DP39" s="168">
        <f>IF(CdTrp3!M54=1,3,IF(CdTrp3!M54=0.5,2,IF(CdTrp3!M54=0,1,0)))</f>
        <v>1</v>
      </c>
      <c r="DQ39" s="168">
        <f>IF(CdTrp3!N54=1,3,IF(CdTrp3!N54=0.5,2,IF(CdTrp3!N54=0,1,0)))</f>
        <v>1</v>
      </c>
      <c r="DR39" s="168">
        <f>IF(CdTrp3!O54=1,3,IF(CdTrp3!O54=0.5,2,IF(CdTrp3!O54=0,1,0)))</f>
        <v>1</v>
      </c>
      <c r="DS39" s="168">
        <f>IF(CdTrp3!P54=1,3,IF(CdTrp3!P54=0.5,2,IF(CdTrp3!P54=0,1,0)))</f>
        <v>1</v>
      </c>
      <c r="DT39" s="168">
        <f>IF(CdTrp3!Q54=1,3,IF(CdTrp3!Q54=0.5,2,IF(CdTrp3!Q54=0,1,0)))</f>
        <v>1</v>
      </c>
      <c r="DU39" s="168">
        <f>IF(CdTrp3!R54=1,3,IF(CdTrp3!R54=0.5,2,IF(CdTrp3!R54=0,1,0)))</f>
        <v>1</v>
      </c>
      <c r="DV39" s="168">
        <f>IF(CdTrp3!S54=1,3,IF(CdTrp3!S54=0.5,2,IF(CdTrp3!S54=0,1,0)))</f>
        <v>1</v>
      </c>
      <c r="DW39" s="168">
        <f>IF(CdTrp3!T54=1,3,IF(CdTrp3!T54=0.5,2,IF(CdTrp3!T54=0,1,0)))</f>
        <v>1</v>
      </c>
      <c r="DX39" s="168">
        <f>IF(CdTrp3!U54=1,3,IF(CdTrp3!U54=0.5,2,IF(CdTrp3!U54=0,1,0)))</f>
        <v>1</v>
      </c>
      <c r="DY39" s="168">
        <f>IF(CdTrp3!V54=1,3,IF(CdTrp3!V54=0.5,2,IF(CdTrp3!V54=0,1,0)))</f>
        <v>1</v>
      </c>
      <c r="DZ39" s="168">
        <f>IF(CdTrp3!W54=1,3,IF(CdTrp3!W54=0.5,2,IF(CdTrp3!W54=0,1,0)))</f>
        <v>1</v>
      </c>
      <c r="EA39" s="168">
        <f>IF(CdTrp3!X54=1,3,IF(CdTrp3!X54=0.5,2,IF(CdTrp3!X54=0,1,0)))</f>
        <v>1</v>
      </c>
      <c r="EB39" s="168">
        <f>IF(CdTrp3!Y54=1,3,IF(CdTrp3!Y54=0.5,2,IF(CdTrp3!Y54=0,1,0)))</f>
        <v>1</v>
      </c>
    </row>
    <row r="40" spans="1:151" x14ac:dyDescent="0.25">
      <c r="D40"/>
      <c r="E40"/>
      <c r="F40"/>
      <c r="AR40" s="181" t="s">
        <v>730</v>
      </c>
      <c r="AT40" s="182" t="str">
        <f>CdTrp1!$A55</f>
        <v>broutards</v>
      </c>
      <c r="AU40" s="32"/>
      <c r="AV40" s="168">
        <f>IF(CdTrp1!B55=1,3,IF(CdTrp1!B55=0.5,2,IF(CdTrp1!B55=0,1,0)))</f>
        <v>3</v>
      </c>
      <c r="AW40" s="168">
        <f>IF(CdTrp1!C55=1,3,IF(CdTrp1!C55=0.5,2,IF(CdTrp1!C55=0,1,0)))</f>
        <v>3</v>
      </c>
      <c r="AX40" s="168">
        <f>IF(CdTrp1!D55=1,3,IF(CdTrp1!D55=0.5,2,IF(CdTrp1!D55=0,1,0)))</f>
        <v>3</v>
      </c>
      <c r="AY40" s="168">
        <f>IF(CdTrp1!E55=1,3,IF(CdTrp1!E55=0.5,2,IF(CdTrp1!E55=0,1,0)))</f>
        <v>3</v>
      </c>
      <c r="AZ40" s="168">
        <f>IF(CdTrp1!F55=1,3,IF(CdTrp1!F55=0.5,2,IF(CdTrp1!F55=0,1,0)))</f>
        <v>3</v>
      </c>
      <c r="BA40" s="168">
        <f>IF(CdTrp1!G55=1,3,IF(CdTrp1!G55=0.5,2,IF(CdTrp1!G55=0,1,0)))</f>
        <v>3</v>
      </c>
      <c r="BB40" s="168">
        <f>IF(CdTrp1!H55=1,3,IF(CdTrp1!H55=0.5,2,IF(CdTrp1!H55=0,1,0)))</f>
        <v>3</v>
      </c>
      <c r="BC40" s="168">
        <f>IF(CdTrp1!I55=1,3,IF(CdTrp1!I55=0.5,2,IF(CdTrp1!I55=0,1,0)))</f>
        <v>3</v>
      </c>
      <c r="BD40" s="168">
        <f>IF(CdTrp1!J55=1,3,IF(CdTrp1!J55=0.5,2,IF(CdTrp1!J55=0,1,0)))</f>
        <v>3</v>
      </c>
      <c r="BE40" s="168">
        <f>IF(CdTrp1!K55=1,3,IF(CdTrp1!K55=0.5,2,IF(CdTrp1!K55=0,1,0)))</f>
        <v>3</v>
      </c>
      <c r="BF40" s="168">
        <f>IF(CdTrp1!L55=1,3,IF(CdTrp1!L55=0.5,2,IF(CdTrp1!L55=0,1,0)))</f>
        <v>3</v>
      </c>
      <c r="BG40" s="168">
        <f>IF(CdTrp1!M55=1,3,IF(CdTrp1!M55=0.5,2,IF(CdTrp1!M55=0,1,0)))</f>
        <v>3</v>
      </c>
      <c r="BH40" s="168">
        <f>IF(CdTrp1!N55=1,3,IF(CdTrp1!N55=0.5,2,IF(CdTrp1!N55=0,1,0)))</f>
        <v>3</v>
      </c>
      <c r="BI40" s="168">
        <f>IF(CdTrp1!O55=1,3,IF(CdTrp1!O55=0.5,2,IF(CdTrp1!O55=0,1,0)))</f>
        <v>3</v>
      </c>
      <c r="BJ40" s="168">
        <f>IF(CdTrp1!P55=1,3,IF(CdTrp1!P55=0.5,2,IF(CdTrp1!P55=0,1,0)))</f>
        <v>3</v>
      </c>
      <c r="BK40" s="168">
        <f>IF(CdTrp1!Q55=1,3,IF(CdTrp1!Q55=0.5,2,IF(CdTrp1!Q55=0,1,0)))</f>
        <v>3</v>
      </c>
      <c r="BL40" s="168">
        <f>IF(CdTrp1!R55=1,3,IF(CdTrp1!R55=0.5,2,IF(CdTrp1!R55=0,1,0)))</f>
        <v>3</v>
      </c>
      <c r="BM40" s="168">
        <f>IF(CdTrp1!S55=1,3,IF(CdTrp1!S55=0.5,2,IF(CdTrp1!S55=0,1,0)))</f>
        <v>3</v>
      </c>
      <c r="BN40" s="168">
        <f>IF(CdTrp1!T55=1,3,IF(CdTrp1!T55=0.5,2,IF(CdTrp1!T55=0,1,0)))</f>
        <v>3</v>
      </c>
      <c r="BO40" s="168">
        <f>IF(CdTrp1!U55=1,3,IF(CdTrp1!U55=0.5,2,IF(CdTrp1!U55=0,1,0)))</f>
        <v>3</v>
      </c>
      <c r="BP40" s="168">
        <f>IF(CdTrp1!V55=1,3,IF(CdTrp1!V55=0.5,2,IF(CdTrp1!V55=0,1,0)))</f>
        <v>3</v>
      </c>
      <c r="BQ40" s="168">
        <f>IF(CdTrp1!W55=1,3,IF(CdTrp1!W55=0.5,2,IF(CdTrp1!W55=0,1,0)))</f>
        <v>3</v>
      </c>
      <c r="BR40" s="168">
        <f>IF(CdTrp1!X55=1,3,IF(CdTrp1!X55=0.5,2,IF(CdTrp1!X55=0,1,0)))</f>
        <v>3</v>
      </c>
      <c r="BS40" s="168">
        <f>IF(CdTrp1!Y55=1,3,IF(CdTrp1!Y55=0.5,2,IF(CdTrp1!Y55=0,1,0)))</f>
        <v>3</v>
      </c>
      <c r="BZ40" s="182" t="str">
        <f t="shared" si="27"/>
        <v>lot4</v>
      </c>
      <c r="CA40" s="32"/>
      <c r="CB40" s="168">
        <f>IF(CdTrp2!B55=1,3,IF(CdTrp2!B55=0.5,2,IF(CdTrp2!B55=0,1,0)))</f>
        <v>1</v>
      </c>
      <c r="CC40" s="168">
        <f>IF(CdTrp2!C55=1,3,IF(CdTrp2!C55=0.5,2,IF(CdTrp2!C55=0,1,0)))</f>
        <v>1</v>
      </c>
      <c r="CD40" s="168">
        <f>IF(CdTrp2!D55=1,3,IF(CdTrp2!D55=0.5,2,IF(CdTrp2!D55=0,1,0)))</f>
        <v>1</v>
      </c>
      <c r="CE40" s="168">
        <f>IF(CdTrp2!E55=1,3,IF(CdTrp2!E55=0.5,2,IF(CdTrp2!E55=0,1,0)))</f>
        <v>1</v>
      </c>
      <c r="CF40" s="168">
        <f>IF(CdTrp2!F55=1,3,IF(CdTrp2!F55=0.5,2,IF(CdTrp2!F55=0,1,0)))</f>
        <v>1</v>
      </c>
      <c r="CG40" s="168">
        <f>IF(CdTrp2!G55=1,3,IF(CdTrp2!G55=0.5,2,IF(CdTrp2!G55=0,1,0)))</f>
        <v>1</v>
      </c>
      <c r="CH40" s="168">
        <f>IF(CdTrp2!H55=1,3,IF(CdTrp2!H55=0.5,2,IF(CdTrp2!H55=0,1,0)))</f>
        <v>1</v>
      </c>
      <c r="CI40" s="168">
        <f>IF(CdTrp2!I55=1,3,IF(CdTrp2!I55=0.5,2,IF(CdTrp2!I55=0,1,0)))</f>
        <v>1</v>
      </c>
      <c r="CJ40" s="168">
        <f>IF(CdTrp2!J55=1,3,IF(CdTrp2!J55=0.5,2,IF(CdTrp2!J55=0,1,0)))</f>
        <v>1</v>
      </c>
      <c r="CK40" s="168">
        <f>IF(CdTrp2!K55=1,3,IF(CdTrp2!K55=0.5,2,IF(CdTrp2!K55=0,1,0)))</f>
        <v>1</v>
      </c>
      <c r="CL40" s="168">
        <f>IF(CdTrp2!L55=1,3,IF(CdTrp2!L55=0.5,2,IF(CdTrp2!L55=0,1,0)))</f>
        <v>1</v>
      </c>
      <c r="CM40" s="168">
        <f>IF(CdTrp2!M55=1,3,IF(CdTrp2!M55=0.5,2,IF(CdTrp2!M55=0,1,0)))</f>
        <v>1</v>
      </c>
      <c r="CN40" s="168">
        <f>IF(CdTrp2!N55=1,3,IF(CdTrp2!N55=0.5,2,IF(CdTrp2!N55=0,1,0)))</f>
        <v>1</v>
      </c>
      <c r="CO40" s="168">
        <f>IF(CdTrp2!O55=1,3,IF(CdTrp2!O55=0.5,2,IF(CdTrp2!O55=0,1,0)))</f>
        <v>1</v>
      </c>
      <c r="CP40" s="168">
        <f>IF(CdTrp2!P55=1,3,IF(CdTrp2!P55=0.5,2,IF(CdTrp2!P55=0,1,0)))</f>
        <v>1</v>
      </c>
      <c r="CQ40" s="168">
        <f>IF(CdTrp2!Q55=1,3,IF(CdTrp2!Q55=0.5,2,IF(CdTrp2!Q55=0,1,0)))</f>
        <v>1</v>
      </c>
      <c r="CR40" s="168">
        <f>IF(CdTrp2!R55=1,3,IF(CdTrp2!R55=0.5,2,IF(CdTrp2!R55=0,1,0)))</f>
        <v>1</v>
      </c>
      <c r="CS40" s="168">
        <f>IF(CdTrp2!S55=1,3,IF(CdTrp2!S55=0.5,2,IF(CdTrp2!S55=0,1,0)))</f>
        <v>1</v>
      </c>
      <c r="CT40" s="168">
        <f>IF(CdTrp2!T55=1,3,IF(CdTrp2!T55=0.5,2,IF(CdTrp2!T55=0,1,0)))</f>
        <v>1</v>
      </c>
      <c r="CU40" s="168">
        <f>IF(CdTrp2!U55=1,3,IF(CdTrp2!U55=0.5,2,IF(CdTrp2!U55=0,1,0)))</f>
        <v>1</v>
      </c>
      <c r="CV40" s="168">
        <f>IF(CdTrp2!V55=1,3,IF(CdTrp2!V55=0.5,2,IF(CdTrp2!V55=0,1,0)))</f>
        <v>1</v>
      </c>
      <c r="CW40" s="168">
        <f>IF(CdTrp2!W55=1,3,IF(CdTrp2!W55=0.5,2,IF(CdTrp2!W55=0,1,0)))</f>
        <v>1</v>
      </c>
      <c r="CX40" s="168">
        <f>IF(CdTrp2!X55=1,3,IF(CdTrp2!X55=0.5,2,IF(CdTrp2!X55=0,1,0)))</f>
        <v>1</v>
      </c>
      <c r="CY40" s="168">
        <f>IF(CdTrp2!Y55=1,3,IF(CdTrp2!Y55=0.5,2,IF(CdTrp2!Y55=0,1,0)))</f>
        <v>1</v>
      </c>
      <c r="DC40" s="182" t="str">
        <f t="shared" si="28"/>
        <v>lot4</v>
      </c>
      <c r="DD40" s="32"/>
      <c r="DE40" s="168">
        <f>IF(CdTrp3!B55=1,3,IF(CdTrp3!B55=0.5,2,IF(CdTrp3!B55=0,1,0)))</f>
        <v>1</v>
      </c>
      <c r="DF40" s="168">
        <f>IF(CdTrp3!C55=1,3,IF(CdTrp3!C55=0.5,2,IF(CdTrp3!C55=0,1,0)))</f>
        <v>1</v>
      </c>
      <c r="DG40" s="168">
        <f>IF(CdTrp3!D55=1,3,IF(CdTrp3!D55=0.5,2,IF(CdTrp3!D55=0,1,0)))</f>
        <v>1</v>
      </c>
      <c r="DH40" s="168">
        <f>IF(CdTrp3!E55=1,3,IF(CdTrp3!E55=0.5,2,IF(CdTrp3!E55=0,1,0)))</f>
        <v>1</v>
      </c>
      <c r="DI40" s="168">
        <f>IF(CdTrp3!F55=1,3,IF(CdTrp3!F55=0.5,2,IF(CdTrp3!F55=0,1,0)))</f>
        <v>1</v>
      </c>
      <c r="DJ40" s="168">
        <f>IF(CdTrp3!G55=1,3,IF(CdTrp3!G55=0.5,2,IF(CdTrp3!G55=0,1,0)))</f>
        <v>1</v>
      </c>
      <c r="DK40" s="168">
        <f>IF(CdTrp3!H55=1,3,IF(CdTrp3!H55=0.5,2,IF(CdTrp3!H55=0,1,0)))</f>
        <v>1</v>
      </c>
      <c r="DL40" s="168">
        <f>IF(CdTrp3!I55=1,3,IF(CdTrp3!I55=0.5,2,IF(CdTrp3!I55=0,1,0)))</f>
        <v>1</v>
      </c>
      <c r="DM40" s="168">
        <f>IF(CdTrp3!J55=1,3,IF(CdTrp3!J55=0.5,2,IF(CdTrp3!J55=0,1,0)))</f>
        <v>1</v>
      </c>
      <c r="DN40" s="168">
        <f>IF(CdTrp3!K55=1,3,IF(CdTrp3!K55=0.5,2,IF(CdTrp3!K55=0,1,0)))</f>
        <v>1</v>
      </c>
      <c r="DO40" s="168">
        <f>IF(CdTrp3!L55=1,3,IF(CdTrp3!L55=0.5,2,IF(CdTrp3!L55=0,1,0)))</f>
        <v>1</v>
      </c>
      <c r="DP40" s="168">
        <f>IF(CdTrp3!M55=1,3,IF(CdTrp3!M55=0.5,2,IF(CdTrp3!M55=0,1,0)))</f>
        <v>1</v>
      </c>
      <c r="DQ40" s="168">
        <f>IF(CdTrp3!N55=1,3,IF(CdTrp3!N55=0.5,2,IF(CdTrp3!N55=0,1,0)))</f>
        <v>1</v>
      </c>
      <c r="DR40" s="168">
        <f>IF(CdTrp3!O55=1,3,IF(CdTrp3!O55=0.5,2,IF(CdTrp3!O55=0,1,0)))</f>
        <v>1</v>
      </c>
      <c r="DS40" s="168">
        <f>IF(CdTrp3!P55=1,3,IF(CdTrp3!P55=0.5,2,IF(CdTrp3!P55=0,1,0)))</f>
        <v>1</v>
      </c>
      <c r="DT40" s="168">
        <f>IF(CdTrp3!Q55=1,3,IF(CdTrp3!Q55=0.5,2,IF(CdTrp3!Q55=0,1,0)))</f>
        <v>1</v>
      </c>
      <c r="DU40" s="168">
        <f>IF(CdTrp3!R55=1,3,IF(CdTrp3!R55=0.5,2,IF(CdTrp3!R55=0,1,0)))</f>
        <v>1</v>
      </c>
      <c r="DV40" s="168">
        <f>IF(CdTrp3!S55=1,3,IF(CdTrp3!S55=0.5,2,IF(CdTrp3!S55=0,1,0)))</f>
        <v>1</v>
      </c>
      <c r="DW40" s="168">
        <f>IF(CdTrp3!T55=1,3,IF(CdTrp3!T55=0.5,2,IF(CdTrp3!T55=0,1,0)))</f>
        <v>1</v>
      </c>
      <c r="DX40" s="168">
        <f>IF(CdTrp3!U55=1,3,IF(CdTrp3!U55=0.5,2,IF(CdTrp3!U55=0,1,0)))</f>
        <v>1</v>
      </c>
      <c r="DY40" s="168">
        <f>IF(CdTrp3!V55=1,3,IF(CdTrp3!V55=0.5,2,IF(CdTrp3!V55=0,1,0)))</f>
        <v>1</v>
      </c>
      <c r="DZ40" s="168">
        <f>IF(CdTrp3!W55=1,3,IF(CdTrp3!W55=0.5,2,IF(CdTrp3!W55=0,1,0)))</f>
        <v>1</v>
      </c>
      <c r="EA40" s="168">
        <f>IF(CdTrp3!X55=1,3,IF(CdTrp3!X55=0.5,2,IF(CdTrp3!X55=0,1,0)))</f>
        <v>1</v>
      </c>
      <c r="EB40" s="168">
        <f>IF(CdTrp3!Y55=1,3,IF(CdTrp3!Y55=0.5,2,IF(CdTrp3!Y55=0,1,0)))</f>
        <v>1</v>
      </c>
    </row>
    <row r="41" spans="1:151" x14ac:dyDescent="0.25">
      <c r="D41"/>
      <c r="E41"/>
      <c r="F41"/>
      <c r="AR41" s="181" t="s">
        <v>730</v>
      </c>
      <c r="AT41" s="252" t="str">
        <f>CdTrp1!$A56</f>
        <v>génisses &lt; 1 an</v>
      </c>
      <c r="AU41" s="32"/>
      <c r="AV41" s="168">
        <f>IF(CdTrp1!B56=1,3,IF(CdTrp1!B56=0.5,2,IF(CdTrp1!B56=0,1,0)))</f>
        <v>3</v>
      </c>
      <c r="AW41" s="168">
        <f>IF(CdTrp1!C56=1,3,IF(CdTrp1!C56=0.5,2,IF(CdTrp1!C56=0,1,0)))</f>
        <v>3</v>
      </c>
      <c r="AX41" s="168">
        <f>IF(CdTrp1!D56=1,3,IF(CdTrp1!D56=0.5,2,IF(CdTrp1!D56=0,1,0)))</f>
        <v>3</v>
      </c>
      <c r="AY41" s="168">
        <f>IF(CdTrp1!E56=1,3,IF(CdTrp1!E56=0.5,2,IF(CdTrp1!E56=0,1,0)))</f>
        <v>3</v>
      </c>
      <c r="AZ41" s="168">
        <f>IF(CdTrp1!F56=1,3,IF(CdTrp1!F56=0.5,2,IF(CdTrp1!F56=0,1,0)))</f>
        <v>3</v>
      </c>
      <c r="BA41" s="168">
        <f>IF(CdTrp1!G56=1,3,IF(CdTrp1!G56=0.5,2,IF(CdTrp1!G56=0,1,0)))</f>
        <v>3</v>
      </c>
      <c r="BB41" s="168">
        <f>IF(CdTrp1!H56=1,3,IF(CdTrp1!H56=0.5,2,IF(CdTrp1!H56=0,1,0)))</f>
        <v>3</v>
      </c>
      <c r="BC41" s="168">
        <f>IF(CdTrp1!I56=1,3,IF(CdTrp1!I56=0.5,2,IF(CdTrp1!I56=0,1,0)))</f>
        <v>3</v>
      </c>
      <c r="BD41" s="168">
        <f>IF(CdTrp1!J56=1,3,IF(CdTrp1!J56=0.5,2,IF(CdTrp1!J56=0,1,0)))</f>
        <v>3</v>
      </c>
      <c r="BE41" s="168">
        <f>IF(CdTrp1!K56=1,3,IF(CdTrp1!K56=0.5,2,IF(CdTrp1!K56=0,1,0)))</f>
        <v>3</v>
      </c>
      <c r="BF41" s="168">
        <f>IF(CdTrp1!L56=1,3,IF(CdTrp1!L56=0.5,2,IF(CdTrp1!L56=0,1,0)))</f>
        <v>3</v>
      </c>
      <c r="BG41" s="168">
        <f>IF(CdTrp1!M56=1,3,IF(CdTrp1!M56=0.5,2,IF(CdTrp1!M56=0,1,0)))</f>
        <v>3</v>
      </c>
      <c r="BH41" s="168">
        <f>IF(CdTrp1!N56=1,3,IF(CdTrp1!N56=0.5,2,IF(CdTrp1!N56=0,1,0)))</f>
        <v>3</v>
      </c>
      <c r="BI41" s="168">
        <f>IF(CdTrp1!O56=1,3,IF(CdTrp1!O56=0.5,2,IF(CdTrp1!O56=0,1,0)))</f>
        <v>3</v>
      </c>
      <c r="BJ41" s="168">
        <f>IF(CdTrp1!P56=1,3,IF(CdTrp1!P56=0.5,2,IF(CdTrp1!P56=0,1,0)))</f>
        <v>3</v>
      </c>
      <c r="BK41" s="168">
        <f>IF(CdTrp1!Q56=1,3,IF(CdTrp1!Q56=0.5,2,IF(CdTrp1!Q56=0,1,0)))</f>
        <v>3</v>
      </c>
      <c r="BL41" s="168">
        <f>IF(CdTrp1!R56=1,3,IF(CdTrp1!R56=0.5,2,IF(CdTrp1!R56=0,1,0)))</f>
        <v>3</v>
      </c>
      <c r="BM41" s="168">
        <f>IF(CdTrp1!S56=1,3,IF(CdTrp1!S56=0.5,2,IF(CdTrp1!S56=0,1,0)))</f>
        <v>3</v>
      </c>
      <c r="BN41" s="168">
        <f>IF(CdTrp1!T56=1,3,IF(CdTrp1!T56=0.5,2,IF(CdTrp1!T56=0,1,0)))</f>
        <v>3</v>
      </c>
      <c r="BO41" s="168">
        <f>IF(CdTrp1!U56=1,3,IF(CdTrp1!U56=0.5,2,IF(CdTrp1!U56=0,1,0)))</f>
        <v>3</v>
      </c>
      <c r="BP41" s="168">
        <f>IF(CdTrp1!V56=1,3,IF(CdTrp1!V56=0.5,2,IF(CdTrp1!V56=0,1,0)))</f>
        <v>3</v>
      </c>
      <c r="BQ41" s="168">
        <f>IF(CdTrp1!W56=1,3,IF(CdTrp1!W56=0.5,2,IF(CdTrp1!W56=0,1,0)))</f>
        <v>3</v>
      </c>
      <c r="BR41" s="168">
        <f>IF(CdTrp1!X56=1,3,IF(CdTrp1!X56=0.5,2,IF(CdTrp1!X56=0,1,0)))</f>
        <v>3</v>
      </c>
      <c r="BS41" s="168">
        <f>IF(CdTrp1!Y56=1,3,IF(CdTrp1!Y56=0.5,2,IF(CdTrp1!Y56=0,1,0)))</f>
        <v>3</v>
      </c>
      <c r="BZ41" s="182" t="str">
        <f t="shared" si="27"/>
        <v>lot5</v>
      </c>
      <c r="CA41" s="32"/>
      <c r="CB41" s="168">
        <f>IF(CdTrp2!B56=1,3,IF(CdTrp2!B56=0.5,2,IF(CdTrp2!B56=0,1,0)))</f>
        <v>1</v>
      </c>
      <c r="CC41" s="168">
        <f>IF(CdTrp2!C56=1,3,IF(CdTrp2!C56=0.5,2,IF(CdTrp2!C56=0,1,0)))</f>
        <v>1</v>
      </c>
      <c r="CD41" s="168">
        <f>IF(CdTrp2!D56=1,3,IF(CdTrp2!D56=0.5,2,IF(CdTrp2!D56=0,1,0)))</f>
        <v>1</v>
      </c>
      <c r="CE41" s="168">
        <f>IF(CdTrp2!E56=1,3,IF(CdTrp2!E56=0.5,2,IF(CdTrp2!E56=0,1,0)))</f>
        <v>1</v>
      </c>
      <c r="CF41" s="168">
        <f>IF(CdTrp2!F56=1,3,IF(CdTrp2!F56=0.5,2,IF(CdTrp2!F56=0,1,0)))</f>
        <v>1</v>
      </c>
      <c r="CG41" s="168">
        <f>IF(CdTrp2!G56=1,3,IF(CdTrp2!G56=0.5,2,IF(CdTrp2!G56=0,1,0)))</f>
        <v>1</v>
      </c>
      <c r="CH41" s="168">
        <f>IF(CdTrp2!H56=1,3,IF(CdTrp2!H56=0.5,2,IF(CdTrp2!H56=0,1,0)))</f>
        <v>1</v>
      </c>
      <c r="CI41" s="168">
        <f>IF(CdTrp2!I56=1,3,IF(CdTrp2!I56=0.5,2,IF(CdTrp2!I56=0,1,0)))</f>
        <v>1</v>
      </c>
      <c r="CJ41" s="168">
        <f>IF(CdTrp2!J56=1,3,IF(CdTrp2!J56=0.5,2,IF(CdTrp2!J56=0,1,0)))</f>
        <v>1</v>
      </c>
      <c r="CK41" s="168">
        <f>IF(CdTrp2!K56=1,3,IF(CdTrp2!K56=0.5,2,IF(CdTrp2!K56=0,1,0)))</f>
        <v>1</v>
      </c>
      <c r="CL41" s="168">
        <f>IF(CdTrp2!L56=1,3,IF(CdTrp2!L56=0.5,2,IF(CdTrp2!L56=0,1,0)))</f>
        <v>1</v>
      </c>
      <c r="CM41" s="168">
        <f>IF(CdTrp2!M56=1,3,IF(CdTrp2!M56=0.5,2,IF(CdTrp2!M56=0,1,0)))</f>
        <v>1</v>
      </c>
      <c r="CN41" s="168">
        <f>IF(CdTrp2!N56=1,3,IF(CdTrp2!N56=0.5,2,IF(CdTrp2!N56=0,1,0)))</f>
        <v>1</v>
      </c>
      <c r="CO41" s="168">
        <f>IF(CdTrp2!O56=1,3,IF(CdTrp2!O56=0.5,2,IF(CdTrp2!O56=0,1,0)))</f>
        <v>1</v>
      </c>
      <c r="CP41" s="168">
        <f>IF(CdTrp2!P56=1,3,IF(CdTrp2!P56=0.5,2,IF(CdTrp2!P56=0,1,0)))</f>
        <v>1</v>
      </c>
      <c r="CQ41" s="168">
        <f>IF(CdTrp2!Q56=1,3,IF(CdTrp2!Q56=0.5,2,IF(CdTrp2!Q56=0,1,0)))</f>
        <v>1</v>
      </c>
      <c r="CR41" s="168">
        <f>IF(CdTrp2!R56=1,3,IF(CdTrp2!R56=0.5,2,IF(CdTrp2!R56=0,1,0)))</f>
        <v>1</v>
      </c>
      <c r="CS41" s="168">
        <f>IF(CdTrp2!S56=1,3,IF(CdTrp2!S56=0.5,2,IF(CdTrp2!S56=0,1,0)))</f>
        <v>1</v>
      </c>
      <c r="CT41" s="168">
        <f>IF(CdTrp2!T56=1,3,IF(CdTrp2!T56=0.5,2,IF(CdTrp2!T56=0,1,0)))</f>
        <v>1</v>
      </c>
      <c r="CU41" s="168">
        <f>IF(CdTrp2!U56=1,3,IF(CdTrp2!U56=0.5,2,IF(CdTrp2!U56=0,1,0)))</f>
        <v>1</v>
      </c>
      <c r="CV41" s="168">
        <f>IF(CdTrp2!V56=1,3,IF(CdTrp2!V56=0.5,2,IF(CdTrp2!V56=0,1,0)))</f>
        <v>1</v>
      </c>
      <c r="CW41" s="168">
        <f>IF(CdTrp2!W56=1,3,IF(CdTrp2!W56=0.5,2,IF(CdTrp2!W56=0,1,0)))</f>
        <v>1</v>
      </c>
      <c r="CX41" s="168">
        <f>IF(CdTrp2!X56=1,3,IF(CdTrp2!X56=0.5,2,IF(CdTrp2!X56=0,1,0)))</f>
        <v>1</v>
      </c>
      <c r="CY41" s="168">
        <f>IF(CdTrp2!Y56=1,3,IF(CdTrp2!Y56=0.5,2,IF(CdTrp2!Y56=0,1,0)))</f>
        <v>1</v>
      </c>
      <c r="DC41" s="182" t="str">
        <f t="shared" si="28"/>
        <v>lot5</v>
      </c>
      <c r="DD41" s="32"/>
      <c r="DE41" s="168">
        <f>IF(CdTrp3!B56=1,3,IF(CdTrp3!B56=0.5,2,IF(CdTrp3!B56=0,1,0)))</f>
        <v>1</v>
      </c>
      <c r="DF41" s="168">
        <f>IF(CdTrp3!C56=1,3,IF(CdTrp3!C56=0.5,2,IF(CdTrp3!C56=0,1,0)))</f>
        <v>1</v>
      </c>
      <c r="DG41" s="168">
        <f>IF(CdTrp3!D56=1,3,IF(CdTrp3!D56=0.5,2,IF(CdTrp3!D56=0,1,0)))</f>
        <v>1</v>
      </c>
      <c r="DH41" s="168">
        <f>IF(CdTrp3!E56=1,3,IF(CdTrp3!E56=0.5,2,IF(CdTrp3!E56=0,1,0)))</f>
        <v>1</v>
      </c>
      <c r="DI41" s="168">
        <f>IF(CdTrp3!F56=1,3,IF(CdTrp3!F56=0.5,2,IF(CdTrp3!F56=0,1,0)))</f>
        <v>1</v>
      </c>
      <c r="DJ41" s="168">
        <f>IF(CdTrp3!G56=1,3,IF(CdTrp3!G56=0.5,2,IF(CdTrp3!G56=0,1,0)))</f>
        <v>1</v>
      </c>
      <c r="DK41" s="168">
        <f>IF(CdTrp3!H56=1,3,IF(CdTrp3!H56=0.5,2,IF(CdTrp3!H56=0,1,0)))</f>
        <v>1</v>
      </c>
      <c r="DL41" s="168">
        <f>IF(CdTrp3!I56=1,3,IF(CdTrp3!I56=0.5,2,IF(CdTrp3!I56=0,1,0)))</f>
        <v>1</v>
      </c>
      <c r="DM41" s="168">
        <f>IF(CdTrp3!J56=1,3,IF(CdTrp3!J56=0.5,2,IF(CdTrp3!J56=0,1,0)))</f>
        <v>1</v>
      </c>
      <c r="DN41" s="168">
        <f>IF(CdTrp3!K56=1,3,IF(CdTrp3!K56=0.5,2,IF(CdTrp3!K56=0,1,0)))</f>
        <v>1</v>
      </c>
      <c r="DO41" s="168">
        <f>IF(CdTrp3!L56=1,3,IF(CdTrp3!L56=0.5,2,IF(CdTrp3!L56=0,1,0)))</f>
        <v>1</v>
      </c>
      <c r="DP41" s="168">
        <f>IF(CdTrp3!M56=1,3,IF(CdTrp3!M56=0.5,2,IF(CdTrp3!M56=0,1,0)))</f>
        <v>1</v>
      </c>
      <c r="DQ41" s="168">
        <f>IF(CdTrp3!N56=1,3,IF(CdTrp3!N56=0.5,2,IF(CdTrp3!N56=0,1,0)))</f>
        <v>1</v>
      </c>
      <c r="DR41" s="168">
        <f>IF(CdTrp3!O56=1,3,IF(CdTrp3!O56=0.5,2,IF(CdTrp3!O56=0,1,0)))</f>
        <v>1</v>
      </c>
      <c r="DS41" s="168">
        <f>IF(CdTrp3!P56=1,3,IF(CdTrp3!P56=0.5,2,IF(CdTrp3!P56=0,1,0)))</f>
        <v>1</v>
      </c>
      <c r="DT41" s="168">
        <f>IF(CdTrp3!Q56=1,3,IF(CdTrp3!Q56=0.5,2,IF(CdTrp3!Q56=0,1,0)))</f>
        <v>1</v>
      </c>
      <c r="DU41" s="168">
        <f>IF(CdTrp3!R56=1,3,IF(CdTrp3!R56=0.5,2,IF(CdTrp3!R56=0,1,0)))</f>
        <v>1</v>
      </c>
      <c r="DV41" s="168">
        <f>IF(CdTrp3!S56=1,3,IF(CdTrp3!S56=0.5,2,IF(CdTrp3!S56=0,1,0)))</f>
        <v>1</v>
      </c>
      <c r="DW41" s="168">
        <f>IF(CdTrp3!T56=1,3,IF(CdTrp3!T56=0.5,2,IF(CdTrp3!T56=0,1,0)))</f>
        <v>1</v>
      </c>
      <c r="DX41" s="168">
        <f>IF(CdTrp3!U56=1,3,IF(CdTrp3!U56=0.5,2,IF(CdTrp3!U56=0,1,0)))</f>
        <v>1</v>
      </c>
      <c r="DY41" s="168">
        <f>IF(CdTrp3!V56=1,3,IF(CdTrp3!V56=0.5,2,IF(CdTrp3!V56=0,1,0)))</f>
        <v>1</v>
      </c>
      <c r="DZ41" s="168">
        <f>IF(CdTrp3!W56=1,3,IF(CdTrp3!W56=0.5,2,IF(CdTrp3!W56=0,1,0)))</f>
        <v>1</v>
      </c>
      <c r="EA41" s="168">
        <f>IF(CdTrp3!X56=1,3,IF(CdTrp3!X56=0.5,2,IF(CdTrp3!X56=0,1,0)))</f>
        <v>1</v>
      </c>
      <c r="EB41" s="168">
        <f>IF(CdTrp3!Y56=1,3,IF(CdTrp3!Y56=0.5,2,IF(CdTrp3!Y56=0,1,0)))</f>
        <v>1</v>
      </c>
    </row>
    <row r="42" spans="1:151" x14ac:dyDescent="0.25">
      <c r="A42" s="161" t="s">
        <v>760</v>
      </c>
      <c r="B42" s="2"/>
      <c r="F42" s="33"/>
      <c r="AR42" s="181" t="s">
        <v>730</v>
      </c>
      <c r="AT42" s="182" t="str">
        <f>CdTrp1!$A57</f>
        <v>lot6</v>
      </c>
      <c r="AU42" s="32"/>
      <c r="AV42" s="168">
        <f>IF(CdTrp1!B57=1,3,IF(CdTrp1!B57=0.5,2,IF(CdTrp1!B57=0,1,0)))</f>
        <v>1</v>
      </c>
      <c r="AW42" s="168">
        <f>IF(CdTrp1!C57=1,3,IF(CdTrp1!C57=0.5,2,IF(CdTrp1!C57=0,1,0)))</f>
        <v>1</v>
      </c>
      <c r="AX42" s="168">
        <f>IF(CdTrp1!D57=1,3,IF(CdTrp1!D57=0.5,2,IF(CdTrp1!D57=0,1,0)))</f>
        <v>1</v>
      </c>
      <c r="AY42" s="168">
        <f>IF(CdTrp1!E57=1,3,IF(CdTrp1!E57=0.5,2,IF(CdTrp1!E57=0,1,0)))</f>
        <v>1</v>
      </c>
      <c r="AZ42" s="168">
        <f>IF(CdTrp1!F57=1,3,IF(CdTrp1!F57=0.5,2,IF(CdTrp1!F57=0,1,0)))</f>
        <v>1</v>
      </c>
      <c r="BA42" s="168">
        <f>IF(CdTrp1!G57=1,3,IF(CdTrp1!G57=0.5,2,IF(CdTrp1!G57=0,1,0)))</f>
        <v>1</v>
      </c>
      <c r="BB42" s="168">
        <f>IF(CdTrp1!H57=1,3,IF(CdTrp1!H57=0.5,2,IF(CdTrp1!H57=0,1,0)))</f>
        <v>1</v>
      </c>
      <c r="BC42" s="168">
        <f>IF(CdTrp1!I57=1,3,IF(CdTrp1!I57=0.5,2,IF(CdTrp1!I57=0,1,0)))</f>
        <v>1</v>
      </c>
      <c r="BD42" s="168">
        <f>IF(CdTrp1!J57=1,3,IF(CdTrp1!J57=0.5,2,IF(CdTrp1!J57=0,1,0)))</f>
        <v>1</v>
      </c>
      <c r="BE42" s="168">
        <f>IF(CdTrp1!K57=1,3,IF(CdTrp1!K57=0.5,2,IF(CdTrp1!K57=0,1,0)))</f>
        <v>1</v>
      </c>
      <c r="BF42" s="168">
        <f>IF(CdTrp1!L57=1,3,IF(CdTrp1!L57=0.5,2,IF(CdTrp1!L57=0,1,0)))</f>
        <v>1</v>
      </c>
      <c r="BG42" s="168">
        <f>IF(CdTrp1!M57=1,3,IF(CdTrp1!M57=0.5,2,IF(CdTrp1!M57=0,1,0)))</f>
        <v>1</v>
      </c>
      <c r="BH42" s="168">
        <f>IF(CdTrp1!N57=1,3,IF(CdTrp1!N57=0.5,2,IF(CdTrp1!N57=0,1,0)))</f>
        <v>1</v>
      </c>
      <c r="BI42" s="168">
        <f>IF(CdTrp1!O57=1,3,IF(CdTrp1!O57=0.5,2,IF(CdTrp1!O57=0,1,0)))</f>
        <v>1</v>
      </c>
      <c r="BJ42" s="168">
        <f>IF(CdTrp1!P57=1,3,IF(CdTrp1!P57=0.5,2,IF(CdTrp1!P57=0,1,0)))</f>
        <v>1</v>
      </c>
      <c r="BK42" s="168">
        <f>IF(CdTrp1!Q57=1,3,IF(CdTrp1!Q57=0.5,2,IF(CdTrp1!Q57=0,1,0)))</f>
        <v>1</v>
      </c>
      <c r="BL42" s="168">
        <f>IF(CdTrp1!R57=1,3,IF(CdTrp1!R57=0.5,2,IF(CdTrp1!R57=0,1,0)))</f>
        <v>1</v>
      </c>
      <c r="BM42" s="168">
        <f>IF(CdTrp1!S57=1,3,IF(CdTrp1!S57=0.5,2,IF(CdTrp1!S57=0,1,0)))</f>
        <v>1</v>
      </c>
      <c r="BN42" s="168">
        <f>IF(CdTrp1!T57=1,3,IF(CdTrp1!T57=0.5,2,IF(CdTrp1!T57=0,1,0)))</f>
        <v>1</v>
      </c>
      <c r="BO42" s="168">
        <f>IF(CdTrp1!U57=1,3,IF(CdTrp1!U57=0.5,2,IF(CdTrp1!U57=0,1,0)))</f>
        <v>1</v>
      </c>
      <c r="BP42" s="168">
        <f>IF(CdTrp1!V57=1,3,IF(CdTrp1!V57=0.5,2,IF(CdTrp1!V57=0,1,0)))</f>
        <v>1</v>
      </c>
      <c r="BQ42" s="168">
        <f>IF(CdTrp1!W57=1,3,IF(CdTrp1!W57=0.5,2,IF(CdTrp1!W57=0,1,0)))</f>
        <v>1</v>
      </c>
      <c r="BR42" s="168">
        <f>IF(CdTrp1!X57=1,3,IF(CdTrp1!X57=0.5,2,IF(CdTrp1!X57=0,1,0)))</f>
        <v>1</v>
      </c>
      <c r="BS42" s="168">
        <f>IF(CdTrp1!Y57=1,3,IF(CdTrp1!Y57=0.5,2,IF(CdTrp1!Y57=0,1,0)))</f>
        <v>1</v>
      </c>
      <c r="BZ42" s="182" t="str">
        <f t="shared" si="27"/>
        <v>lot6</v>
      </c>
      <c r="CA42" s="32"/>
      <c r="CB42" s="168">
        <f>IF(CdTrp2!B57=1,3,IF(CdTrp2!B57=0.5,2,IF(CdTrp2!B57=0,1,0)))</f>
        <v>1</v>
      </c>
      <c r="CC42" s="168">
        <f>IF(CdTrp2!C57=1,3,IF(CdTrp2!C57=0.5,2,IF(CdTrp2!C57=0,1,0)))</f>
        <v>1</v>
      </c>
      <c r="CD42" s="168">
        <f>IF(CdTrp2!D57=1,3,IF(CdTrp2!D57=0.5,2,IF(CdTrp2!D57=0,1,0)))</f>
        <v>1</v>
      </c>
      <c r="CE42" s="168">
        <f>IF(CdTrp2!E57=1,3,IF(CdTrp2!E57=0.5,2,IF(CdTrp2!E57=0,1,0)))</f>
        <v>1</v>
      </c>
      <c r="CF42" s="168">
        <f>IF(CdTrp2!F57=1,3,IF(CdTrp2!F57=0.5,2,IF(CdTrp2!F57=0,1,0)))</f>
        <v>1</v>
      </c>
      <c r="CG42" s="168">
        <f>IF(CdTrp2!G57=1,3,IF(CdTrp2!G57=0.5,2,IF(CdTrp2!G57=0,1,0)))</f>
        <v>1</v>
      </c>
      <c r="CH42" s="168">
        <f>IF(CdTrp2!H57=1,3,IF(CdTrp2!H57=0.5,2,IF(CdTrp2!H57=0,1,0)))</f>
        <v>1</v>
      </c>
      <c r="CI42" s="168">
        <f>IF(CdTrp2!I57=1,3,IF(CdTrp2!I57=0.5,2,IF(CdTrp2!I57=0,1,0)))</f>
        <v>1</v>
      </c>
      <c r="CJ42" s="168">
        <f>IF(CdTrp2!J57=1,3,IF(CdTrp2!J57=0.5,2,IF(CdTrp2!J57=0,1,0)))</f>
        <v>1</v>
      </c>
      <c r="CK42" s="168">
        <f>IF(CdTrp2!K57=1,3,IF(CdTrp2!K57=0.5,2,IF(CdTrp2!K57=0,1,0)))</f>
        <v>1</v>
      </c>
      <c r="CL42" s="168">
        <f>IF(CdTrp2!L57=1,3,IF(CdTrp2!L57=0.5,2,IF(CdTrp2!L57=0,1,0)))</f>
        <v>1</v>
      </c>
      <c r="CM42" s="168">
        <f>IF(CdTrp2!M57=1,3,IF(CdTrp2!M57=0.5,2,IF(CdTrp2!M57=0,1,0)))</f>
        <v>1</v>
      </c>
      <c r="CN42" s="168">
        <f>IF(CdTrp2!N57=1,3,IF(CdTrp2!N57=0.5,2,IF(CdTrp2!N57=0,1,0)))</f>
        <v>1</v>
      </c>
      <c r="CO42" s="168">
        <f>IF(CdTrp2!O57=1,3,IF(CdTrp2!O57=0.5,2,IF(CdTrp2!O57=0,1,0)))</f>
        <v>1</v>
      </c>
      <c r="CP42" s="168">
        <f>IF(CdTrp2!P57=1,3,IF(CdTrp2!P57=0.5,2,IF(CdTrp2!P57=0,1,0)))</f>
        <v>1</v>
      </c>
      <c r="CQ42" s="168">
        <f>IF(CdTrp2!Q57=1,3,IF(CdTrp2!Q57=0.5,2,IF(CdTrp2!Q57=0,1,0)))</f>
        <v>1</v>
      </c>
      <c r="CR42" s="168">
        <f>IF(CdTrp2!R57=1,3,IF(CdTrp2!R57=0.5,2,IF(CdTrp2!R57=0,1,0)))</f>
        <v>1</v>
      </c>
      <c r="CS42" s="168">
        <f>IF(CdTrp2!S57=1,3,IF(CdTrp2!S57=0.5,2,IF(CdTrp2!S57=0,1,0)))</f>
        <v>1</v>
      </c>
      <c r="CT42" s="168">
        <f>IF(CdTrp2!T57=1,3,IF(CdTrp2!T57=0.5,2,IF(CdTrp2!T57=0,1,0)))</f>
        <v>1</v>
      </c>
      <c r="CU42" s="168">
        <f>IF(CdTrp2!U57=1,3,IF(CdTrp2!U57=0.5,2,IF(CdTrp2!U57=0,1,0)))</f>
        <v>1</v>
      </c>
      <c r="CV42" s="168">
        <f>IF(CdTrp2!V57=1,3,IF(CdTrp2!V57=0.5,2,IF(CdTrp2!V57=0,1,0)))</f>
        <v>1</v>
      </c>
      <c r="CW42" s="168">
        <f>IF(CdTrp2!W57=1,3,IF(CdTrp2!W57=0.5,2,IF(CdTrp2!W57=0,1,0)))</f>
        <v>1</v>
      </c>
      <c r="CX42" s="168">
        <f>IF(CdTrp2!X57=1,3,IF(CdTrp2!X57=0.5,2,IF(CdTrp2!X57=0,1,0)))</f>
        <v>1</v>
      </c>
      <c r="CY42" s="168">
        <f>IF(CdTrp2!Y57=1,3,IF(CdTrp2!Y57=0.5,2,IF(CdTrp2!Y57=0,1,0)))</f>
        <v>1</v>
      </c>
      <c r="DC42" s="182" t="str">
        <f t="shared" si="28"/>
        <v>lot6</v>
      </c>
      <c r="DD42" s="32"/>
      <c r="DE42" s="168">
        <f>IF(CdTrp3!B57=1,3,IF(CdTrp3!B57=0.5,2,IF(CdTrp3!B57=0,1,0)))</f>
        <v>1</v>
      </c>
      <c r="DF42" s="168">
        <f>IF(CdTrp3!C57=1,3,IF(CdTrp3!C57=0.5,2,IF(CdTrp3!C57=0,1,0)))</f>
        <v>1</v>
      </c>
      <c r="DG42" s="168">
        <f>IF(CdTrp3!D57=1,3,IF(CdTrp3!D57=0.5,2,IF(CdTrp3!D57=0,1,0)))</f>
        <v>1</v>
      </c>
      <c r="DH42" s="168">
        <f>IF(CdTrp3!E57=1,3,IF(CdTrp3!E57=0.5,2,IF(CdTrp3!E57=0,1,0)))</f>
        <v>1</v>
      </c>
      <c r="DI42" s="168">
        <f>IF(CdTrp3!F57=1,3,IF(CdTrp3!F57=0.5,2,IF(CdTrp3!F57=0,1,0)))</f>
        <v>1</v>
      </c>
      <c r="DJ42" s="168">
        <f>IF(CdTrp3!G57=1,3,IF(CdTrp3!G57=0.5,2,IF(CdTrp3!G57=0,1,0)))</f>
        <v>1</v>
      </c>
      <c r="DK42" s="168">
        <f>IF(CdTrp3!H57=1,3,IF(CdTrp3!H57=0.5,2,IF(CdTrp3!H57=0,1,0)))</f>
        <v>1</v>
      </c>
      <c r="DL42" s="168">
        <f>IF(CdTrp3!I57=1,3,IF(CdTrp3!I57=0.5,2,IF(CdTrp3!I57=0,1,0)))</f>
        <v>1</v>
      </c>
      <c r="DM42" s="168">
        <f>IF(CdTrp3!J57=1,3,IF(CdTrp3!J57=0.5,2,IF(CdTrp3!J57=0,1,0)))</f>
        <v>1</v>
      </c>
      <c r="DN42" s="168">
        <f>IF(CdTrp3!K57=1,3,IF(CdTrp3!K57=0.5,2,IF(CdTrp3!K57=0,1,0)))</f>
        <v>1</v>
      </c>
      <c r="DO42" s="168">
        <f>IF(CdTrp3!L57=1,3,IF(CdTrp3!L57=0.5,2,IF(CdTrp3!L57=0,1,0)))</f>
        <v>1</v>
      </c>
      <c r="DP42" s="168">
        <f>IF(CdTrp3!M57=1,3,IF(CdTrp3!M57=0.5,2,IF(CdTrp3!M57=0,1,0)))</f>
        <v>1</v>
      </c>
      <c r="DQ42" s="168">
        <f>IF(CdTrp3!N57=1,3,IF(CdTrp3!N57=0.5,2,IF(CdTrp3!N57=0,1,0)))</f>
        <v>1</v>
      </c>
      <c r="DR42" s="168">
        <f>IF(CdTrp3!O57=1,3,IF(CdTrp3!O57=0.5,2,IF(CdTrp3!O57=0,1,0)))</f>
        <v>1</v>
      </c>
      <c r="DS42" s="168">
        <f>IF(CdTrp3!P57=1,3,IF(CdTrp3!P57=0.5,2,IF(CdTrp3!P57=0,1,0)))</f>
        <v>1</v>
      </c>
      <c r="DT42" s="168">
        <f>IF(CdTrp3!Q57=1,3,IF(CdTrp3!Q57=0.5,2,IF(CdTrp3!Q57=0,1,0)))</f>
        <v>1</v>
      </c>
      <c r="DU42" s="168">
        <f>IF(CdTrp3!R57=1,3,IF(CdTrp3!R57=0.5,2,IF(CdTrp3!R57=0,1,0)))</f>
        <v>1</v>
      </c>
      <c r="DV42" s="168">
        <f>IF(CdTrp3!S57=1,3,IF(CdTrp3!S57=0.5,2,IF(CdTrp3!S57=0,1,0)))</f>
        <v>1</v>
      </c>
      <c r="DW42" s="168">
        <f>IF(CdTrp3!T57=1,3,IF(CdTrp3!T57=0.5,2,IF(CdTrp3!T57=0,1,0)))</f>
        <v>1</v>
      </c>
      <c r="DX42" s="168">
        <f>IF(CdTrp3!U57=1,3,IF(CdTrp3!U57=0.5,2,IF(CdTrp3!U57=0,1,0)))</f>
        <v>1</v>
      </c>
      <c r="DY42" s="168">
        <f>IF(CdTrp3!V57=1,3,IF(CdTrp3!V57=0.5,2,IF(CdTrp3!V57=0,1,0)))</f>
        <v>1</v>
      </c>
      <c r="DZ42" s="168">
        <f>IF(CdTrp3!W57=1,3,IF(CdTrp3!W57=0.5,2,IF(CdTrp3!W57=0,1,0)))</f>
        <v>1</v>
      </c>
      <c r="EA42" s="168">
        <f>IF(CdTrp3!X57=1,3,IF(CdTrp3!X57=0.5,2,IF(CdTrp3!X57=0,1,0)))</f>
        <v>1</v>
      </c>
      <c r="EB42" s="168">
        <f>IF(CdTrp3!Y57=1,3,IF(CdTrp3!Y57=0.5,2,IF(CdTrp3!Y57=0,1,0)))</f>
        <v>1</v>
      </c>
    </row>
    <row r="43" spans="1:151" x14ac:dyDescent="0.25">
      <c r="A43" s="163" t="s">
        <v>557</v>
      </c>
      <c r="AR43" s="181" t="s">
        <v>730</v>
      </c>
      <c r="AT43" s="252" t="str">
        <f>CdTrp1!$A58</f>
        <v>lot7</v>
      </c>
      <c r="AU43" s="32"/>
      <c r="AV43" s="168">
        <f>IF(CdTrp1!B58=1,3,IF(CdTrp1!B58=0.5,2,IF(CdTrp1!B58=0,1,0)))</f>
        <v>1</v>
      </c>
      <c r="AW43" s="168">
        <f>IF(CdTrp1!C58=1,3,IF(CdTrp1!C58=0.5,2,IF(CdTrp1!C58=0,1,0)))</f>
        <v>1</v>
      </c>
      <c r="AX43" s="168">
        <f>IF(CdTrp1!D58=1,3,IF(CdTrp1!D58=0.5,2,IF(CdTrp1!D58=0,1,0)))</f>
        <v>1</v>
      </c>
      <c r="AY43" s="168">
        <f>IF(CdTrp1!E58=1,3,IF(CdTrp1!E58=0.5,2,IF(CdTrp1!E58=0,1,0)))</f>
        <v>1</v>
      </c>
      <c r="AZ43" s="168">
        <f>IF(CdTrp1!F58=1,3,IF(CdTrp1!F58=0.5,2,IF(CdTrp1!F58=0,1,0)))</f>
        <v>1</v>
      </c>
      <c r="BA43" s="168">
        <f>IF(CdTrp1!G58=1,3,IF(CdTrp1!G58=0.5,2,IF(CdTrp1!G58=0,1,0)))</f>
        <v>1</v>
      </c>
      <c r="BB43" s="168">
        <f>IF(CdTrp1!H58=1,3,IF(CdTrp1!H58=0.5,2,IF(CdTrp1!H58=0,1,0)))</f>
        <v>1</v>
      </c>
      <c r="BC43" s="168">
        <f>IF(CdTrp1!I58=1,3,IF(CdTrp1!I58=0.5,2,IF(CdTrp1!I58=0,1,0)))</f>
        <v>1</v>
      </c>
      <c r="BD43" s="168">
        <f>IF(CdTrp1!J58=1,3,IF(CdTrp1!J58=0.5,2,IF(CdTrp1!J58=0,1,0)))</f>
        <v>1</v>
      </c>
      <c r="BE43" s="168">
        <f>IF(CdTrp1!K58=1,3,IF(CdTrp1!K58=0.5,2,IF(CdTrp1!K58=0,1,0)))</f>
        <v>1</v>
      </c>
      <c r="BF43" s="168">
        <f>IF(CdTrp1!L58=1,3,IF(CdTrp1!L58=0.5,2,IF(CdTrp1!L58=0,1,0)))</f>
        <v>1</v>
      </c>
      <c r="BG43" s="168">
        <f>IF(CdTrp1!M58=1,3,IF(CdTrp1!M58=0.5,2,IF(CdTrp1!M58=0,1,0)))</f>
        <v>1</v>
      </c>
      <c r="BH43" s="168">
        <f>IF(CdTrp1!N58=1,3,IF(CdTrp1!N58=0.5,2,IF(CdTrp1!N58=0,1,0)))</f>
        <v>1</v>
      </c>
      <c r="BI43" s="168">
        <f>IF(CdTrp1!O58=1,3,IF(CdTrp1!O58=0.5,2,IF(CdTrp1!O58=0,1,0)))</f>
        <v>1</v>
      </c>
      <c r="BJ43" s="168">
        <f>IF(CdTrp1!P58=1,3,IF(CdTrp1!P58=0.5,2,IF(CdTrp1!P58=0,1,0)))</f>
        <v>1</v>
      </c>
      <c r="BK43" s="168">
        <f>IF(CdTrp1!Q58=1,3,IF(CdTrp1!Q58=0.5,2,IF(CdTrp1!Q58=0,1,0)))</f>
        <v>1</v>
      </c>
      <c r="BL43" s="168">
        <f>IF(CdTrp1!R58=1,3,IF(CdTrp1!R58=0.5,2,IF(CdTrp1!R58=0,1,0)))</f>
        <v>1</v>
      </c>
      <c r="BM43" s="168">
        <f>IF(CdTrp1!S58=1,3,IF(CdTrp1!S58=0.5,2,IF(CdTrp1!S58=0,1,0)))</f>
        <v>1</v>
      </c>
      <c r="BN43" s="168">
        <f>IF(CdTrp1!T58=1,3,IF(CdTrp1!T58=0.5,2,IF(CdTrp1!T58=0,1,0)))</f>
        <v>1</v>
      </c>
      <c r="BO43" s="168">
        <f>IF(CdTrp1!U58=1,3,IF(CdTrp1!U58=0.5,2,IF(CdTrp1!U58=0,1,0)))</f>
        <v>1</v>
      </c>
      <c r="BP43" s="168">
        <f>IF(CdTrp1!V58=1,3,IF(CdTrp1!V58=0.5,2,IF(CdTrp1!V58=0,1,0)))</f>
        <v>1</v>
      </c>
      <c r="BQ43" s="168">
        <f>IF(CdTrp1!W58=1,3,IF(CdTrp1!W58=0.5,2,IF(CdTrp1!W58=0,1,0)))</f>
        <v>1</v>
      </c>
      <c r="BR43" s="168">
        <f>IF(CdTrp1!X58=1,3,IF(CdTrp1!X58=0.5,2,IF(CdTrp1!X58=0,1,0)))</f>
        <v>1</v>
      </c>
      <c r="BS43" s="168">
        <f>IF(CdTrp1!Y58=1,3,IF(CdTrp1!Y58=0.5,2,IF(CdTrp1!Y58=0,1,0)))</f>
        <v>1</v>
      </c>
      <c r="BZ43" s="182" t="str">
        <f t="shared" si="27"/>
        <v>lot7</v>
      </c>
      <c r="CA43" s="32"/>
      <c r="CB43" s="168">
        <f>IF(CdTrp2!B58=1,3,IF(CdTrp2!B58=0.5,2,IF(CdTrp2!B58=0,1,0)))</f>
        <v>1</v>
      </c>
      <c r="CC43" s="168">
        <f>IF(CdTrp2!C58=1,3,IF(CdTrp2!C58=0.5,2,IF(CdTrp2!C58=0,1,0)))</f>
        <v>1</v>
      </c>
      <c r="CD43" s="168">
        <f>IF(CdTrp2!D58=1,3,IF(CdTrp2!D58=0.5,2,IF(CdTrp2!D58=0,1,0)))</f>
        <v>1</v>
      </c>
      <c r="CE43" s="168">
        <f>IF(CdTrp2!E58=1,3,IF(CdTrp2!E58=0.5,2,IF(CdTrp2!E58=0,1,0)))</f>
        <v>1</v>
      </c>
      <c r="CF43" s="168">
        <f>IF(CdTrp2!F58=1,3,IF(CdTrp2!F58=0.5,2,IF(CdTrp2!F58=0,1,0)))</f>
        <v>1</v>
      </c>
      <c r="CG43" s="168">
        <f>IF(CdTrp2!G58=1,3,IF(CdTrp2!G58=0.5,2,IF(CdTrp2!G58=0,1,0)))</f>
        <v>1</v>
      </c>
      <c r="CH43" s="168">
        <f>IF(CdTrp2!H58=1,3,IF(CdTrp2!H58=0.5,2,IF(CdTrp2!H58=0,1,0)))</f>
        <v>1</v>
      </c>
      <c r="CI43" s="168">
        <f>IF(CdTrp2!I58=1,3,IF(CdTrp2!I58=0.5,2,IF(CdTrp2!I58=0,1,0)))</f>
        <v>1</v>
      </c>
      <c r="CJ43" s="168">
        <f>IF(CdTrp2!J58=1,3,IF(CdTrp2!J58=0.5,2,IF(CdTrp2!J58=0,1,0)))</f>
        <v>1</v>
      </c>
      <c r="CK43" s="168">
        <f>IF(CdTrp2!K58=1,3,IF(CdTrp2!K58=0.5,2,IF(CdTrp2!K58=0,1,0)))</f>
        <v>1</v>
      </c>
      <c r="CL43" s="168">
        <f>IF(CdTrp2!L58=1,3,IF(CdTrp2!L58=0.5,2,IF(CdTrp2!L58=0,1,0)))</f>
        <v>1</v>
      </c>
      <c r="CM43" s="168">
        <f>IF(CdTrp2!M58=1,3,IF(CdTrp2!M58=0.5,2,IF(CdTrp2!M58=0,1,0)))</f>
        <v>1</v>
      </c>
      <c r="CN43" s="168">
        <f>IF(CdTrp2!N58=1,3,IF(CdTrp2!N58=0.5,2,IF(CdTrp2!N58=0,1,0)))</f>
        <v>1</v>
      </c>
      <c r="CO43" s="168">
        <f>IF(CdTrp2!O58=1,3,IF(CdTrp2!O58=0.5,2,IF(CdTrp2!O58=0,1,0)))</f>
        <v>1</v>
      </c>
      <c r="CP43" s="168">
        <f>IF(CdTrp2!P58=1,3,IF(CdTrp2!P58=0.5,2,IF(CdTrp2!P58=0,1,0)))</f>
        <v>1</v>
      </c>
      <c r="CQ43" s="168">
        <f>IF(CdTrp2!Q58=1,3,IF(CdTrp2!Q58=0.5,2,IF(CdTrp2!Q58=0,1,0)))</f>
        <v>1</v>
      </c>
      <c r="CR43" s="168">
        <f>IF(CdTrp2!R58=1,3,IF(CdTrp2!R58=0.5,2,IF(CdTrp2!R58=0,1,0)))</f>
        <v>1</v>
      </c>
      <c r="CS43" s="168">
        <f>IF(CdTrp2!S58=1,3,IF(CdTrp2!S58=0.5,2,IF(CdTrp2!S58=0,1,0)))</f>
        <v>1</v>
      </c>
      <c r="CT43" s="168">
        <f>IF(CdTrp2!T58=1,3,IF(CdTrp2!T58=0.5,2,IF(CdTrp2!T58=0,1,0)))</f>
        <v>1</v>
      </c>
      <c r="CU43" s="168">
        <f>IF(CdTrp2!U58=1,3,IF(CdTrp2!U58=0.5,2,IF(CdTrp2!U58=0,1,0)))</f>
        <v>1</v>
      </c>
      <c r="CV43" s="168">
        <f>IF(CdTrp2!V58=1,3,IF(CdTrp2!V58=0.5,2,IF(CdTrp2!V58=0,1,0)))</f>
        <v>1</v>
      </c>
      <c r="CW43" s="168">
        <f>IF(CdTrp2!W58=1,3,IF(CdTrp2!W58=0.5,2,IF(CdTrp2!W58=0,1,0)))</f>
        <v>1</v>
      </c>
      <c r="CX43" s="168">
        <f>IF(CdTrp2!X58=1,3,IF(CdTrp2!X58=0.5,2,IF(CdTrp2!X58=0,1,0)))</f>
        <v>1</v>
      </c>
      <c r="CY43" s="168">
        <f>IF(CdTrp2!Y58=1,3,IF(CdTrp2!Y58=0.5,2,IF(CdTrp2!Y58=0,1,0)))</f>
        <v>1</v>
      </c>
      <c r="DC43" s="182" t="str">
        <f t="shared" si="28"/>
        <v>lot7</v>
      </c>
      <c r="DD43" s="32"/>
      <c r="DE43" s="168">
        <f>IF(CdTrp3!B58=1,3,IF(CdTrp3!B58=0.5,2,IF(CdTrp3!B58=0,1,0)))</f>
        <v>1</v>
      </c>
      <c r="DF43" s="168">
        <f>IF(CdTrp3!C58=1,3,IF(CdTrp3!C58=0.5,2,IF(CdTrp3!C58=0,1,0)))</f>
        <v>1</v>
      </c>
      <c r="DG43" s="168">
        <f>IF(CdTrp3!D58=1,3,IF(CdTrp3!D58=0.5,2,IF(CdTrp3!D58=0,1,0)))</f>
        <v>1</v>
      </c>
      <c r="DH43" s="168">
        <f>IF(CdTrp3!E58=1,3,IF(CdTrp3!E58=0.5,2,IF(CdTrp3!E58=0,1,0)))</f>
        <v>1</v>
      </c>
      <c r="DI43" s="168">
        <f>IF(CdTrp3!F58=1,3,IF(CdTrp3!F58=0.5,2,IF(CdTrp3!F58=0,1,0)))</f>
        <v>1</v>
      </c>
      <c r="DJ43" s="168">
        <f>IF(CdTrp3!G58=1,3,IF(CdTrp3!G58=0.5,2,IF(CdTrp3!G58=0,1,0)))</f>
        <v>1</v>
      </c>
      <c r="DK43" s="168">
        <f>IF(CdTrp3!H58=1,3,IF(CdTrp3!H58=0.5,2,IF(CdTrp3!H58=0,1,0)))</f>
        <v>1</v>
      </c>
      <c r="DL43" s="168">
        <f>IF(CdTrp3!I58=1,3,IF(CdTrp3!I58=0.5,2,IF(CdTrp3!I58=0,1,0)))</f>
        <v>1</v>
      </c>
      <c r="DM43" s="168">
        <f>IF(CdTrp3!J58=1,3,IF(CdTrp3!J58=0.5,2,IF(CdTrp3!J58=0,1,0)))</f>
        <v>1</v>
      </c>
      <c r="DN43" s="168">
        <f>IF(CdTrp3!K58=1,3,IF(CdTrp3!K58=0.5,2,IF(CdTrp3!K58=0,1,0)))</f>
        <v>1</v>
      </c>
      <c r="DO43" s="168">
        <f>IF(CdTrp3!L58=1,3,IF(CdTrp3!L58=0.5,2,IF(CdTrp3!L58=0,1,0)))</f>
        <v>1</v>
      </c>
      <c r="DP43" s="168">
        <f>IF(CdTrp3!M58=1,3,IF(CdTrp3!M58=0.5,2,IF(CdTrp3!M58=0,1,0)))</f>
        <v>1</v>
      </c>
      <c r="DQ43" s="168">
        <f>IF(CdTrp3!N58=1,3,IF(CdTrp3!N58=0.5,2,IF(CdTrp3!N58=0,1,0)))</f>
        <v>1</v>
      </c>
      <c r="DR43" s="168">
        <f>IF(CdTrp3!O58=1,3,IF(CdTrp3!O58=0.5,2,IF(CdTrp3!O58=0,1,0)))</f>
        <v>1</v>
      </c>
      <c r="DS43" s="168">
        <f>IF(CdTrp3!P58=1,3,IF(CdTrp3!P58=0.5,2,IF(CdTrp3!P58=0,1,0)))</f>
        <v>1</v>
      </c>
      <c r="DT43" s="168">
        <f>IF(CdTrp3!Q58=1,3,IF(CdTrp3!Q58=0.5,2,IF(CdTrp3!Q58=0,1,0)))</f>
        <v>1</v>
      </c>
      <c r="DU43" s="168">
        <f>IF(CdTrp3!R58=1,3,IF(CdTrp3!R58=0.5,2,IF(CdTrp3!R58=0,1,0)))</f>
        <v>1</v>
      </c>
      <c r="DV43" s="168">
        <f>IF(CdTrp3!S58=1,3,IF(CdTrp3!S58=0.5,2,IF(CdTrp3!S58=0,1,0)))</f>
        <v>1</v>
      </c>
      <c r="DW43" s="168">
        <f>IF(CdTrp3!T58=1,3,IF(CdTrp3!T58=0.5,2,IF(CdTrp3!T58=0,1,0)))</f>
        <v>1</v>
      </c>
      <c r="DX43" s="168">
        <f>IF(CdTrp3!U58=1,3,IF(CdTrp3!U58=0.5,2,IF(CdTrp3!U58=0,1,0)))</f>
        <v>1</v>
      </c>
      <c r="DY43" s="168">
        <f>IF(CdTrp3!V58=1,3,IF(CdTrp3!V58=0.5,2,IF(CdTrp3!V58=0,1,0)))</f>
        <v>1</v>
      </c>
      <c r="DZ43" s="168">
        <f>IF(CdTrp3!W58=1,3,IF(CdTrp3!W58=0.5,2,IF(CdTrp3!W58=0,1,0)))</f>
        <v>1</v>
      </c>
      <c r="EA43" s="168">
        <f>IF(CdTrp3!X58=1,3,IF(CdTrp3!X58=0.5,2,IF(CdTrp3!X58=0,1,0)))</f>
        <v>1</v>
      </c>
      <c r="EB43" s="168">
        <f>IF(CdTrp3!Y58=1,3,IF(CdTrp3!Y58=0.5,2,IF(CdTrp3!Y58=0,1,0)))</f>
        <v>1</v>
      </c>
    </row>
    <row r="44" spans="1:151" s="5" customFormat="1" x14ac:dyDescent="0.25">
      <c r="A44" s="163" t="s">
        <v>588</v>
      </c>
      <c r="B44"/>
      <c r="C44"/>
      <c r="F44" s="165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 s="181" t="s">
        <v>730</v>
      </c>
      <c r="AT44" s="252" t="str">
        <f>CdTrp1!$A59</f>
        <v>lot8</v>
      </c>
      <c r="AU44" s="32"/>
      <c r="AV44" s="168">
        <f>IF(CdTrp1!B59=1,3,IF(CdTrp1!B59=0.5,2,IF(CdTrp1!B59=0,1,0)))</f>
        <v>1</v>
      </c>
      <c r="AW44" s="168">
        <f>IF(CdTrp1!C59=1,3,IF(CdTrp1!C59=0.5,2,IF(CdTrp1!C59=0,1,0)))</f>
        <v>1</v>
      </c>
      <c r="AX44" s="168">
        <f>IF(CdTrp1!D59=1,3,IF(CdTrp1!D59=0.5,2,IF(CdTrp1!D59=0,1,0)))</f>
        <v>1</v>
      </c>
      <c r="AY44" s="168">
        <f>IF(CdTrp1!E59=1,3,IF(CdTrp1!E59=0.5,2,IF(CdTrp1!E59=0,1,0)))</f>
        <v>1</v>
      </c>
      <c r="AZ44" s="168">
        <f>IF(CdTrp1!F59=1,3,IF(CdTrp1!F59=0.5,2,IF(CdTrp1!F59=0,1,0)))</f>
        <v>1</v>
      </c>
      <c r="BA44" s="168">
        <f>IF(CdTrp1!G59=1,3,IF(CdTrp1!G59=0.5,2,IF(CdTrp1!G59=0,1,0)))</f>
        <v>1</v>
      </c>
      <c r="BB44" s="168">
        <f>IF(CdTrp1!H59=1,3,IF(CdTrp1!H59=0.5,2,IF(CdTrp1!H59=0,1,0)))</f>
        <v>1</v>
      </c>
      <c r="BC44" s="168">
        <f>IF(CdTrp1!I59=1,3,IF(CdTrp1!I59=0.5,2,IF(CdTrp1!I59=0,1,0)))</f>
        <v>1</v>
      </c>
      <c r="BD44" s="168">
        <f>IF(CdTrp1!J59=1,3,IF(CdTrp1!J59=0.5,2,IF(CdTrp1!J59=0,1,0)))</f>
        <v>1</v>
      </c>
      <c r="BE44" s="168">
        <f>IF(CdTrp1!K59=1,3,IF(CdTrp1!K59=0.5,2,IF(CdTrp1!K59=0,1,0)))</f>
        <v>1</v>
      </c>
      <c r="BF44" s="168">
        <f>IF(CdTrp1!L59=1,3,IF(CdTrp1!L59=0.5,2,IF(CdTrp1!L59=0,1,0)))</f>
        <v>1</v>
      </c>
      <c r="BG44" s="168">
        <f>IF(CdTrp1!M59=1,3,IF(CdTrp1!M59=0.5,2,IF(CdTrp1!M59=0,1,0)))</f>
        <v>1</v>
      </c>
      <c r="BH44" s="168">
        <f>IF(CdTrp1!N59=1,3,IF(CdTrp1!N59=0.5,2,IF(CdTrp1!N59=0,1,0)))</f>
        <v>1</v>
      </c>
      <c r="BI44" s="168">
        <f>IF(CdTrp1!O59=1,3,IF(CdTrp1!O59=0.5,2,IF(CdTrp1!O59=0,1,0)))</f>
        <v>1</v>
      </c>
      <c r="BJ44" s="168">
        <f>IF(CdTrp1!P59=1,3,IF(CdTrp1!P59=0.5,2,IF(CdTrp1!P59=0,1,0)))</f>
        <v>1</v>
      </c>
      <c r="BK44" s="168">
        <f>IF(CdTrp1!Q59=1,3,IF(CdTrp1!Q59=0.5,2,IF(CdTrp1!Q59=0,1,0)))</f>
        <v>1</v>
      </c>
      <c r="BL44" s="168">
        <f>IF(CdTrp1!R59=1,3,IF(CdTrp1!R59=0.5,2,IF(CdTrp1!R59=0,1,0)))</f>
        <v>1</v>
      </c>
      <c r="BM44" s="168">
        <f>IF(CdTrp1!S59=1,3,IF(CdTrp1!S59=0.5,2,IF(CdTrp1!S59=0,1,0)))</f>
        <v>1</v>
      </c>
      <c r="BN44" s="168">
        <f>IF(CdTrp1!T59=1,3,IF(CdTrp1!T59=0.5,2,IF(CdTrp1!T59=0,1,0)))</f>
        <v>1</v>
      </c>
      <c r="BO44" s="168">
        <f>IF(CdTrp1!U59=1,3,IF(CdTrp1!U59=0.5,2,IF(CdTrp1!U59=0,1,0)))</f>
        <v>1</v>
      </c>
      <c r="BP44" s="168">
        <f>IF(CdTrp1!V59=1,3,IF(CdTrp1!V59=0.5,2,IF(CdTrp1!V59=0,1,0)))</f>
        <v>1</v>
      </c>
      <c r="BQ44" s="168">
        <f>IF(CdTrp1!W59=1,3,IF(CdTrp1!W59=0.5,2,IF(CdTrp1!W59=0,1,0)))</f>
        <v>1</v>
      </c>
      <c r="BR44" s="168">
        <f>IF(CdTrp1!X59=1,3,IF(CdTrp1!X59=0.5,2,IF(CdTrp1!X59=0,1,0)))</f>
        <v>1</v>
      </c>
      <c r="BS44" s="168">
        <f>IF(CdTrp1!Y59=1,3,IF(CdTrp1!Y59=0.5,2,IF(CdTrp1!Y59=0,1,0)))</f>
        <v>1</v>
      </c>
      <c r="BT44"/>
      <c r="BU44"/>
      <c r="BV44"/>
      <c r="BW44"/>
      <c r="BX44"/>
      <c r="BY44"/>
      <c r="BZ44" s="182" t="str">
        <f t="shared" si="27"/>
        <v>lot8</v>
      </c>
      <c r="CA44" s="32"/>
      <c r="CB44" s="168">
        <f>IF(CdTrp2!B59=1,3,IF(CdTrp2!B59=0.5,2,IF(CdTrp2!B59=0,1,0)))</f>
        <v>1</v>
      </c>
      <c r="CC44" s="168">
        <f>IF(CdTrp2!C59=1,3,IF(CdTrp2!C59=0.5,2,IF(CdTrp2!C59=0,1,0)))</f>
        <v>1</v>
      </c>
      <c r="CD44" s="168">
        <f>IF(CdTrp2!D59=1,3,IF(CdTrp2!D59=0.5,2,IF(CdTrp2!D59=0,1,0)))</f>
        <v>1</v>
      </c>
      <c r="CE44" s="168">
        <f>IF(CdTrp2!E59=1,3,IF(CdTrp2!E59=0.5,2,IF(CdTrp2!E59=0,1,0)))</f>
        <v>1</v>
      </c>
      <c r="CF44" s="168">
        <f>IF(CdTrp2!F59=1,3,IF(CdTrp2!F59=0.5,2,IF(CdTrp2!F59=0,1,0)))</f>
        <v>1</v>
      </c>
      <c r="CG44" s="168">
        <f>IF(CdTrp2!G59=1,3,IF(CdTrp2!G59=0.5,2,IF(CdTrp2!G59=0,1,0)))</f>
        <v>1</v>
      </c>
      <c r="CH44" s="168">
        <f>IF(CdTrp2!H59=1,3,IF(CdTrp2!H59=0.5,2,IF(CdTrp2!H59=0,1,0)))</f>
        <v>1</v>
      </c>
      <c r="CI44" s="168">
        <f>IF(CdTrp2!I59=1,3,IF(CdTrp2!I59=0.5,2,IF(CdTrp2!I59=0,1,0)))</f>
        <v>1</v>
      </c>
      <c r="CJ44" s="168">
        <f>IF(CdTrp2!J59=1,3,IF(CdTrp2!J59=0.5,2,IF(CdTrp2!J59=0,1,0)))</f>
        <v>1</v>
      </c>
      <c r="CK44" s="168">
        <f>IF(CdTrp2!K59=1,3,IF(CdTrp2!K59=0.5,2,IF(CdTrp2!K59=0,1,0)))</f>
        <v>1</v>
      </c>
      <c r="CL44" s="168">
        <f>IF(CdTrp2!L59=1,3,IF(CdTrp2!L59=0.5,2,IF(CdTrp2!L59=0,1,0)))</f>
        <v>1</v>
      </c>
      <c r="CM44" s="168">
        <f>IF(CdTrp2!M59=1,3,IF(CdTrp2!M59=0.5,2,IF(CdTrp2!M59=0,1,0)))</f>
        <v>1</v>
      </c>
      <c r="CN44" s="168">
        <f>IF(CdTrp2!N59=1,3,IF(CdTrp2!N59=0.5,2,IF(CdTrp2!N59=0,1,0)))</f>
        <v>1</v>
      </c>
      <c r="CO44" s="168">
        <f>IF(CdTrp2!O59=1,3,IF(CdTrp2!O59=0.5,2,IF(CdTrp2!O59=0,1,0)))</f>
        <v>1</v>
      </c>
      <c r="CP44" s="168">
        <f>IF(CdTrp2!P59=1,3,IF(CdTrp2!P59=0.5,2,IF(CdTrp2!P59=0,1,0)))</f>
        <v>1</v>
      </c>
      <c r="CQ44" s="168">
        <f>IF(CdTrp2!Q59=1,3,IF(CdTrp2!Q59=0.5,2,IF(CdTrp2!Q59=0,1,0)))</f>
        <v>1</v>
      </c>
      <c r="CR44" s="168">
        <f>IF(CdTrp2!R59=1,3,IF(CdTrp2!R59=0.5,2,IF(CdTrp2!R59=0,1,0)))</f>
        <v>1</v>
      </c>
      <c r="CS44" s="168">
        <f>IF(CdTrp2!S59=1,3,IF(CdTrp2!S59=0.5,2,IF(CdTrp2!S59=0,1,0)))</f>
        <v>1</v>
      </c>
      <c r="CT44" s="168">
        <f>IF(CdTrp2!T59=1,3,IF(CdTrp2!T59=0.5,2,IF(CdTrp2!T59=0,1,0)))</f>
        <v>1</v>
      </c>
      <c r="CU44" s="168">
        <f>IF(CdTrp2!U59=1,3,IF(CdTrp2!U59=0.5,2,IF(CdTrp2!U59=0,1,0)))</f>
        <v>1</v>
      </c>
      <c r="CV44" s="168">
        <f>IF(CdTrp2!V59=1,3,IF(CdTrp2!V59=0.5,2,IF(CdTrp2!V59=0,1,0)))</f>
        <v>1</v>
      </c>
      <c r="CW44" s="168">
        <f>IF(CdTrp2!W59=1,3,IF(CdTrp2!W59=0.5,2,IF(CdTrp2!W59=0,1,0)))</f>
        <v>1</v>
      </c>
      <c r="CX44" s="168">
        <f>IF(CdTrp2!X59=1,3,IF(CdTrp2!X59=0.5,2,IF(CdTrp2!X59=0,1,0)))</f>
        <v>1</v>
      </c>
      <c r="CY44" s="168">
        <f>IF(CdTrp2!Y59=1,3,IF(CdTrp2!Y59=0.5,2,IF(CdTrp2!Y59=0,1,0)))</f>
        <v>1</v>
      </c>
      <c r="CZ44"/>
      <c r="DA44"/>
      <c r="DB44"/>
      <c r="DC44" s="182" t="str">
        <f t="shared" si="28"/>
        <v>lot8</v>
      </c>
      <c r="DD44" s="32"/>
      <c r="DE44" s="168">
        <f>IF(CdTrp3!B59=1,3,IF(CdTrp3!B59=0.5,2,IF(CdTrp3!B59=0,1,0)))</f>
        <v>1</v>
      </c>
      <c r="DF44" s="168">
        <f>IF(CdTrp3!C59=1,3,IF(CdTrp3!C59=0.5,2,IF(CdTrp3!C59=0,1,0)))</f>
        <v>1</v>
      </c>
      <c r="DG44" s="168">
        <f>IF(CdTrp3!D59=1,3,IF(CdTrp3!D59=0.5,2,IF(CdTrp3!D59=0,1,0)))</f>
        <v>1</v>
      </c>
      <c r="DH44" s="168">
        <f>IF(CdTrp3!E59=1,3,IF(CdTrp3!E59=0.5,2,IF(CdTrp3!E59=0,1,0)))</f>
        <v>1</v>
      </c>
      <c r="DI44" s="168">
        <f>IF(CdTrp3!F59=1,3,IF(CdTrp3!F59=0.5,2,IF(CdTrp3!F59=0,1,0)))</f>
        <v>1</v>
      </c>
      <c r="DJ44" s="168">
        <f>IF(CdTrp3!G59=1,3,IF(CdTrp3!G59=0.5,2,IF(CdTrp3!G59=0,1,0)))</f>
        <v>1</v>
      </c>
      <c r="DK44" s="168">
        <f>IF(CdTrp3!H59=1,3,IF(CdTrp3!H59=0.5,2,IF(CdTrp3!H59=0,1,0)))</f>
        <v>1</v>
      </c>
      <c r="DL44" s="168">
        <f>IF(CdTrp3!I59=1,3,IF(CdTrp3!I59=0.5,2,IF(CdTrp3!I59=0,1,0)))</f>
        <v>1</v>
      </c>
      <c r="DM44" s="168">
        <f>IF(CdTrp3!J59=1,3,IF(CdTrp3!J59=0.5,2,IF(CdTrp3!J59=0,1,0)))</f>
        <v>1</v>
      </c>
      <c r="DN44" s="168">
        <f>IF(CdTrp3!K59=1,3,IF(CdTrp3!K59=0.5,2,IF(CdTrp3!K59=0,1,0)))</f>
        <v>1</v>
      </c>
      <c r="DO44" s="168">
        <f>IF(CdTrp3!L59=1,3,IF(CdTrp3!L59=0.5,2,IF(CdTrp3!L59=0,1,0)))</f>
        <v>1</v>
      </c>
      <c r="DP44" s="168">
        <f>IF(CdTrp3!M59=1,3,IF(CdTrp3!M59=0.5,2,IF(CdTrp3!M59=0,1,0)))</f>
        <v>1</v>
      </c>
      <c r="DQ44" s="168">
        <f>IF(CdTrp3!N59=1,3,IF(CdTrp3!N59=0.5,2,IF(CdTrp3!N59=0,1,0)))</f>
        <v>1</v>
      </c>
      <c r="DR44" s="168">
        <f>IF(CdTrp3!O59=1,3,IF(CdTrp3!O59=0.5,2,IF(CdTrp3!O59=0,1,0)))</f>
        <v>1</v>
      </c>
      <c r="DS44" s="168">
        <f>IF(CdTrp3!P59=1,3,IF(CdTrp3!P59=0.5,2,IF(CdTrp3!P59=0,1,0)))</f>
        <v>1</v>
      </c>
      <c r="DT44" s="168">
        <f>IF(CdTrp3!Q59=1,3,IF(CdTrp3!Q59=0.5,2,IF(CdTrp3!Q59=0,1,0)))</f>
        <v>1</v>
      </c>
      <c r="DU44" s="168">
        <f>IF(CdTrp3!R59=1,3,IF(CdTrp3!R59=0.5,2,IF(CdTrp3!R59=0,1,0)))</f>
        <v>1</v>
      </c>
      <c r="DV44" s="168">
        <f>IF(CdTrp3!S59=1,3,IF(CdTrp3!S59=0.5,2,IF(CdTrp3!S59=0,1,0)))</f>
        <v>1</v>
      </c>
      <c r="DW44" s="168">
        <f>IF(CdTrp3!T59=1,3,IF(CdTrp3!T59=0.5,2,IF(CdTrp3!T59=0,1,0)))</f>
        <v>1</v>
      </c>
      <c r="DX44" s="168">
        <f>IF(CdTrp3!U59=1,3,IF(CdTrp3!U59=0.5,2,IF(CdTrp3!U59=0,1,0)))</f>
        <v>1</v>
      </c>
      <c r="DY44" s="168">
        <f>IF(CdTrp3!V59=1,3,IF(CdTrp3!V59=0.5,2,IF(CdTrp3!V59=0,1,0)))</f>
        <v>1</v>
      </c>
      <c r="DZ44" s="168">
        <f>IF(CdTrp3!W59=1,3,IF(CdTrp3!W59=0.5,2,IF(CdTrp3!W59=0,1,0)))</f>
        <v>1</v>
      </c>
      <c r="EA44" s="168">
        <f>IF(CdTrp3!X59=1,3,IF(CdTrp3!X59=0.5,2,IF(CdTrp3!X59=0,1,0)))</f>
        <v>1</v>
      </c>
      <c r="EB44" s="168">
        <f>IF(CdTrp3!Y59=1,3,IF(CdTrp3!Y59=0.5,2,IF(CdTrp3!Y59=0,1,0)))</f>
        <v>1</v>
      </c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</row>
    <row r="45" spans="1:151" s="5" customFormat="1" x14ac:dyDescent="0.25">
      <c r="A45" s="163" t="s">
        <v>721</v>
      </c>
      <c r="B45"/>
      <c r="C45"/>
      <c r="F45" s="16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 s="181" t="s">
        <v>730</v>
      </c>
      <c r="AT45" s="182" t="str">
        <f>CdTrp1!$A60</f>
        <v>lot9</v>
      </c>
      <c r="AU45" s="32"/>
      <c r="AV45" s="168">
        <f>IF(CdTrp1!B60=1,3,IF(CdTrp1!B60=0.5,2,IF(CdTrp1!B60=0,1,0)))</f>
        <v>1</v>
      </c>
      <c r="AW45" s="168">
        <f>IF(CdTrp1!C60=1,3,IF(CdTrp1!C60=0.5,2,IF(CdTrp1!C60=0,1,0)))</f>
        <v>1</v>
      </c>
      <c r="AX45" s="168">
        <f>IF(CdTrp1!D60=1,3,IF(CdTrp1!D60=0.5,2,IF(CdTrp1!D60=0,1,0)))</f>
        <v>1</v>
      </c>
      <c r="AY45" s="168">
        <f>IF(CdTrp1!E60=1,3,IF(CdTrp1!E60=0.5,2,IF(CdTrp1!E60=0,1,0)))</f>
        <v>1</v>
      </c>
      <c r="AZ45" s="168">
        <f>IF(CdTrp1!F60=1,3,IF(CdTrp1!F60=0.5,2,IF(CdTrp1!F60=0,1,0)))</f>
        <v>1</v>
      </c>
      <c r="BA45" s="168">
        <f>IF(CdTrp1!G60=1,3,IF(CdTrp1!G60=0.5,2,IF(CdTrp1!G60=0,1,0)))</f>
        <v>1</v>
      </c>
      <c r="BB45" s="168">
        <f>IF(CdTrp1!H60=1,3,IF(CdTrp1!H60=0.5,2,IF(CdTrp1!H60=0,1,0)))</f>
        <v>1</v>
      </c>
      <c r="BC45" s="168">
        <f>IF(CdTrp1!I60=1,3,IF(CdTrp1!I60=0.5,2,IF(CdTrp1!I60=0,1,0)))</f>
        <v>1</v>
      </c>
      <c r="BD45" s="168">
        <f>IF(CdTrp1!J60=1,3,IF(CdTrp1!J60=0.5,2,IF(CdTrp1!J60=0,1,0)))</f>
        <v>1</v>
      </c>
      <c r="BE45" s="168">
        <f>IF(CdTrp1!K60=1,3,IF(CdTrp1!K60=0.5,2,IF(CdTrp1!K60=0,1,0)))</f>
        <v>1</v>
      </c>
      <c r="BF45" s="168">
        <f>IF(CdTrp1!L60=1,3,IF(CdTrp1!L60=0.5,2,IF(CdTrp1!L60=0,1,0)))</f>
        <v>1</v>
      </c>
      <c r="BG45" s="168">
        <f>IF(CdTrp1!M60=1,3,IF(CdTrp1!M60=0.5,2,IF(CdTrp1!M60=0,1,0)))</f>
        <v>1</v>
      </c>
      <c r="BH45" s="168">
        <f>IF(CdTrp1!N60=1,3,IF(CdTrp1!N60=0.5,2,IF(CdTrp1!N60=0,1,0)))</f>
        <v>1</v>
      </c>
      <c r="BI45" s="168">
        <f>IF(CdTrp1!O60=1,3,IF(CdTrp1!O60=0.5,2,IF(CdTrp1!O60=0,1,0)))</f>
        <v>1</v>
      </c>
      <c r="BJ45" s="168">
        <f>IF(CdTrp1!P60=1,3,IF(CdTrp1!P60=0.5,2,IF(CdTrp1!P60=0,1,0)))</f>
        <v>1</v>
      </c>
      <c r="BK45" s="168">
        <f>IF(CdTrp1!Q60=1,3,IF(CdTrp1!Q60=0.5,2,IF(CdTrp1!Q60=0,1,0)))</f>
        <v>1</v>
      </c>
      <c r="BL45" s="168">
        <f>IF(CdTrp1!R60=1,3,IF(CdTrp1!R60=0.5,2,IF(CdTrp1!R60=0,1,0)))</f>
        <v>1</v>
      </c>
      <c r="BM45" s="168">
        <f>IF(CdTrp1!S60=1,3,IF(CdTrp1!S60=0.5,2,IF(CdTrp1!S60=0,1,0)))</f>
        <v>1</v>
      </c>
      <c r="BN45" s="168">
        <f>IF(CdTrp1!T60=1,3,IF(CdTrp1!T60=0.5,2,IF(CdTrp1!T60=0,1,0)))</f>
        <v>1</v>
      </c>
      <c r="BO45" s="168">
        <f>IF(CdTrp1!U60=1,3,IF(CdTrp1!U60=0.5,2,IF(CdTrp1!U60=0,1,0)))</f>
        <v>1</v>
      </c>
      <c r="BP45" s="168">
        <f>IF(CdTrp1!V60=1,3,IF(CdTrp1!V60=0.5,2,IF(CdTrp1!V60=0,1,0)))</f>
        <v>1</v>
      </c>
      <c r="BQ45" s="168">
        <f>IF(CdTrp1!W60=1,3,IF(CdTrp1!W60=0.5,2,IF(CdTrp1!W60=0,1,0)))</f>
        <v>1</v>
      </c>
      <c r="BR45" s="168">
        <f>IF(CdTrp1!X60=1,3,IF(CdTrp1!X60=0.5,2,IF(CdTrp1!X60=0,1,0)))</f>
        <v>1</v>
      </c>
      <c r="BS45" s="168">
        <f>IF(CdTrp1!Y60=1,3,IF(CdTrp1!Y60=0.5,2,IF(CdTrp1!Y60=0,1,0)))</f>
        <v>1</v>
      </c>
      <c r="BT45"/>
      <c r="BU45"/>
      <c r="BV45"/>
      <c r="BW45"/>
      <c r="BX45"/>
      <c r="BY45"/>
      <c r="BZ45" s="182" t="str">
        <f t="shared" si="27"/>
        <v>lot9</v>
      </c>
      <c r="CA45" s="32"/>
      <c r="CB45" s="168">
        <f>IF(CdTrp2!B60=1,3,IF(CdTrp2!B60=0.5,2,IF(CdTrp2!B60=0,1,0)))</f>
        <v>1</v>
      </c>
      <c r="CC45" s="168">
        <f>IF(CdTrp2!C60=1,3,IF(CdTrp2!C60=0.5,2,IF(CdTrp2!C60=0,1,0)))</f>
        <v>1</v>
      </c>
      <c r="CD45" s="168">
        <f>IF(CdTrp2!D60=1,3,IF(CdTrp2!D60=0.5,2,IF(CdTrp2!D60=0,1,0)))</f>
        <v>1</v>
      </c>
      <c r="CE45" s="168">
        <f>IF(CdTrp2!E60=1,3,IF(CdTrp2!E60=0.5,2,IF(CdTrp2!E60=0,1,0)))</f>
        <v>1</v>
      </c>
      <c r="CF45" s="168">
        <f>IF(CdTrp2!F60=1,3,IF(CdTrp2!F60=0.5,2,IF(CdTrp2!F60=0,1,0)))</f>
        <v>1</v>
      </c>
      <c r="CG45" s="168">
        <f>IF(CdTrp2!G60=1,3,IF(CdTrp2!G60=0.5,2,IF(CdTrp2!G60=0,1,0)))</f>
        <v>1</v>
      </c>
      <c r="CH45" s="168">
        <f>IF(CdTrp2!H60=1,3,IF(CdTrp2!H60=0.5,2,IF(CdTrp2!H60=0,1,0)))</f>
        <v>1</v>
      </c>
      <c r="CI45" s="168">
        <f>IF(CdTrp2!I60=1,3,IF(CdTrp2!I60=0.5,2,IF(CdTrp2!I60=0,1,0)))</f>
        <v>1</v>
      </c>
      <c r="CJ45" s="168">
        <f>IF(CdTrp2!J60=1,3,IF(CdTrp2!J60=0.5,2,IF(CdTrp2!J60=0,1,0)))</f>
        <v>1</v>
      </c>
      <c r="CK45" s="168">
        <f>IF(CdTrp2!K60=1,3,IF(CdTrp2!K60=0.5,2,IF(CdTrp2!K60=0,1,0)))</f>
        <v>1</v>
      </c>
      <c r="CL45" s="168">
        <f>IF(CdTrp2!L60=1,3,IF(CdTrp2!L60=0.5,2,IF(CdTrp2!L60=0,1,0)))</f>
        <v>1</v>
      </c>
      <c r="CM45" s="168">
        <f>IF(CdTrp2!M60=1,3,IF(CdTrp2!M60=0.5,2,IF(CdTrp2!M60=0,1,0)))</f>
        <v>1</v>
      </c>
      <c r="CN45" s="168">
        <f>IF(CdTrp2!N60=1,3,IF(CdTrp2!N60=0.5,2,IF(CdTrp2!N60=0,1,0)))</f>
        <v>1</v>
      </c>
      <c r="CO45" s="168">
        <f>IF(CdTrp2!O60=1,3,IF(CdTrp2!O60=0.5,2,IF(CdTrp2!O60=0,1,0)))</f>
        <v>1</v>
      </c>
      <c r="CP45" s="168">
        <f>IF(CdTrp2!P60=1,3,IF(CdTrp2!P60=0.5,2,IF(CdTrp2!P60=0,1,0)))</f>
        <v>1</v>
      </c>
      <c r="CQ45" s="168">
        <f>IF(CdTrp2!Q60=1,3,IF(CdTrp2!Q60=0.5,2,IF(CdTrp2!Q60=0,1,0)))</f>
        <v>1</v>
      </c>
      <c r="CR45" s="168">
        <f>IF(CdTrp2!R60=1,3,IF(CdTrp2!R60=0.5,2,IF(CdTrp2!R60=0,1,0)))</f>
        <v>1</v>
      </c>
      <c r="CS45" s="168">
        <f>IF(CdTrp2!S60=1,3,IF(CdTrp2!S60=0.5,2,IF(CdTrp2!S60=0,1,0)))</f>
        <v>1</v>
      </c>
      <c r="CT45" s="168">
        <f>IF(CdTrp2!T60=1,3,IF(CdTrp2!T60=0.5,2,IF(CdTrp2!T60=0,1,0)))</f>
        <v>1</v>
      </c>
      <c r="CU45" s="168">
        <f>IF(CdTrp2!U60=1,3,IF(CdTrp2!U60=0.5,2,IF(CdTrp2!U60=0,1,0)))</f>
        <v>1</v>
      </c>
      <c r="CV45" s="168">
        <f>IF(CdTrp2!V60=1,3,IF(CdTrp2!V60=0.5,2,IF(CdTrp2!V60=0,1,0)))</f>
        <v>1</v>
      </c>
      <c r="CW45" s="168">
        <f>IF(CdTrp2!W60=1,3,IF(CdTrp2!W60=0.5,2,IF(CdTrp2!W60=0,1,0)))</f>
        <v>1</v>
      </c>
      <c r="CX45" s="168">
        <f>IF(CdTrp2!X60=1,3,IF(CdTrp2!X60=0.5,2,IF(CdTrp2!X60=0,1,0)))</f>
        <v>1</v>
      </c>
      <c r="CY45" s="168">
        <f>IF(CdTrp2!Y60=1,3,IF(CdTrp2!Y60=0.5,2,IF(CdTrp2!Y60=0,1,0)))</f>
        <v>1</v>
      </c>
      <c r="CZ45"/>
      <c r="DA45"/>
      <c r="DB45"/>
      <c r="DC45" s="182" t="str">
        <f t="shared" si="28"/>
        <v>lot9</v>
      </c>
      <c r="DD45" s="32"/>
      <c r="DE45" s="168">
        <f>IF(CdTrp3!B60=1,3,IF(CdTrp3!B60=0.5,2,IF(CdTrp3!B60=0,1,0)))</f>
        <v>1</v>
      </c>
      <c r="DF45" s="168">
        <f>IF(CdTrp3!C60=1,3,IF(CdTrp3!C60=0.5,2,IF(CdTrp3!C60=0,1,0)))</f>
        <v>1</v>
      </c>
      <c r="DG45" s="168">
        <f>IF(CdTrp3!D60=1,3,IF(CdTrp3!D60=0.5,2,IF(CdTrp3!D60=0,1,0)))</f>
        <v>1</v>
      </c>
      <c r="DH45" s="168">
        <f>IF(CdTrp3!E60=1,3,IF(CdTrp3!E60=0.5,2,IF(CdTrp3!E60=0,1,0)))</f>
        <v>1</v>
      </c>
      <c r="DI45" s="168">
        <f>IF(CdTrp3!F60=1,3,IF(CdTrp3!F60=0.5,2,IF(CdTrp3!F60=0,1,0)))</f>
        <v>1</v>
      </c>
      <c r="DJ45" s="168">
        <f>IF(CdTrp3!G60=1,3,IF(CdTrp3!G60=0.5,2,IF(CdTrp3!G60=0,1,0)))</f>
        <v>1</v>
      </c>
      <c r="DK45" s="168">
        <f>IF(CdTrp3!H60=1,3,IF(CdTrp3!H60=0.5,2,IF(CdTrp3!H60=0,1,0)))</f>
        <v>1</v>
      </c>
      <c r="DL45" s="168">
        <f>IF(CdTrp3!I60=1,3,IF(CdTrp3!I60=0.5,2,IF(CdTrp3!I60=0,1,0)))</f>
        <v>1</v>
      </c>
      <c r="DM45" s="168">
        <f>IF(CdTrp3!J60=1,3,IF(CdTrp3!J60=0.5,2,IF(CdTrp3!J60=0,1,0)))</f>
        <v>1</v>
      </c>
      <c r="DN45" s="168">
        <f>IF(CdTrp3!K60=1,3,IF(CdTrp3!K60=0.5,2,IF(CdTrp3!K60=0,1,0)))</f>
        <v>1</v>
      </c>
      <c r="DO45" s="168">
        <f>IF(CdTrp3!L60=1,3,IF(CdTrp3!L60=0.5,2,IF(CdTrp3!L60=0,1,0)))</f>
        <v>1</v>
      </c>
      <c r="DP45" s="168">
        <f>IF(CdTrp3!M60=1,3,IF(CdTrp3!M60=0.5,2,IF(CdTrp3!M60=0,1,0)))</f>
        <v>1</v>
      </c>
      <c r="DQ45" s="168">
        <f>IF(CdTrp3!N60=1,3,IF(CdTrp3!N60=0.5,2,IF(CdTrp3!N60=0,1,0)))</f>
        <v>1</v>
      </c>
      <c r="DR45" s="168">
        <f>IF(CdTrp3!O60=1,3,IF(CdTrp3!O60=0.5,2,IF(CdTrp3!O60=0,1,0)))</f>
        <v>1</v>
      </c>
      <c r="DS45" s="168">
        <f>IF(CdTrp3!P60=1,3,IF(CdTrp3!P60=0.5,2,IF(CdTrp3!P60=0,1,0)))</f>
        <v>1</v>
      </c>
      <c r="DT45" s="168">
        <f>IF(CdTrp3!Q60=1,3,IF(CdTrp3!Q60=0.5,2,IF(CdTrp3!Q60=0,1,0)))</f>
        <v>1</v>
      </c>
      <c r="DU45" s="168">
        <f>IF(CdTrp3!R60=1,3,IF(CdTrp3!R60=0.5,2,IF(CdTrp3!R60=0,1,0)))</f>
        <v>1</v>
      </c>
      <c r="DV45" s="168">
        <f>IF(CdTrp3!S60=1,3,IF(CdTrp3!S60=0.5,2,IF(CdTrp3!S60=0,1,0)))</f>
        <v>1</v>
      </c>
      <c r="DW45" s="168">
        <f>IF(CdTrp3!T60=1,3,IF(CdTrp3!T60=0.5,2,IF(CdTrp3!T60=0,1,0)))</f>
        <v>1</v>
      </c>
      <c r="DX45" s="168">
        <f>IF(CdTrp3!U60=1,3,IF(CdTrp3!U60=0.5,2,IF(CdTrp3!U60=0,1,0)))</f>
        <v>1</v>
      </c>
      <c r="DY45" s="168">
        <f>IF(CdTrp3!V60=1,3,IF(CdTrp3!V60=0.5,2,IF(CdTrp3!V60=0,1,0)))</f>
        <v>1</v>
      </c>
      <c r="DZ45" s="168">
        <f>IF(CdTrp3!W60=1,3,IF(CdTrp3!W60=0.5,2,IF(CdTrp3!W60=0,1,0)))</f>
        <v>1</v>
      </c>
      <c r="EA45" s="168">
        <f>IF(CdTrp3!X60=1,3,IF(CdTrp3!X60=0.5,2,IF(CdTrp3!X60=0,1,0)))</f>
        <v>1</v>
      </c>
      <c r="EB45" s="168">
        <f>IF(CdTrp3!Y60=1,3,IF(CdTrp3!Y60=0.5,2,IF(CdTrp3!Y60=0,1,0)))</f>
        <v>1</v>
      </c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</row>
    <row r="46" spans="1:151" s="5" customFormat="1" x14ac:dyDescent="0.25">
      <c r="A46"/>
      <c r="B46"/>
      <c r="C46"/>
      <c r="F46" s="165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 s="181" t="s">
        <v>730</v>
      </c>
      <c r="AT46" s="252" t="str">
        <f>CdTrp1!$A61</f>
        <v>lot10</v>
      </c>
      <c r="AU46" s="32"/>
      <c r="AV46" s="168">
        <f>IF(CdTrp1!B61=1,3,IF(CdTrp1!B61=0.5,2,IF(CdTrp1!B61=0,1,0)))</f>
        <v>1</v>
      </c>
      <c r="AW46" s="168">
        <f>IF(CdTrp1!C61=1,3,IF(CdTrp1!C61=0.5,2,IF(CdTrp1!C61=0,1,0)))</f>
        <v>1</v>
      </c>
      <c r="AX46" s="168">
        <f>IF(CdTrp1!D61=1,3,IF(CdTrp1!D61=0.5,2,IF(CdTrp1!D61=0,1,0)))</f>
        <v>1</v>
      </c>
      <c r="AY46" s="168">
        <f>IF(CdTrp1!E61=1,3,IF(CdTrp1!E61=0.5,2,IF(CdTrp1!E61=0,1,0)))</f>
        <v>1</v>
      </c>
      <c r="AZ46" s="168">
        <f>IF(CdTrp1!F61=1,3,IF(CdTrp1!F61=0.5,2,IF(CdTrp1!F61=0,1,0)))</f>
        <v>1</v>
      </c>
      <c r="BA46" s="168">
        <f>IF(CdTrp1!G61=1,3,IF(CdTrp1!G61=0.5,2,IF(CdTrp1!G61=0,1,0)))</f>
        <v>1</v>
      </c>
      <c r="BB46" s="168">
        <f>IF(CdTrp1!H61=1,3,IF(CdTrp1!H61=0.5,2,IF(CdTrp1!H61=0,1,0)))</f>
        <v>1</v>
      </c>
      <c r="BC46" s="168">
        <f>IF(CdTrp1!I61=1,3,IF(CdTrp1!I61=0.5,2,IF(CdTrp1!I61=0,1,0)))</f>
        <v>1</v>
      </c>
      <c r="BD46" s="168">
        <f>IF(CdTrp1!J61=1,3,IF(CdTrp1!J61=0.5,2,IF(CdTrp1!J61=0,1,0)))</f>
        <v>1</v>
      </c>
      <c r="BE46" s="168">
        <f>IF(CdTrp1!K61=1,3,IF(CdTrp1!K61=0.5,2,IF(CdTrp1!K61=0,1,0)))</f>
        <v>1</v>
      </c>
      <c r="BF46" s="168">
        <f>IF(CdTrp1!L61=1,3,IF(CdTrp1!L61=0.5,2,IF(CdTrp1!L61=0,1,0)))</f>
        <v>1</v>
      </c>
      <c r="BG46" s="168">
        <f>IF(CdTrp1!M61=1,3,IF(CdTrp1!M61=0.5,2,IF(CdTrp1!M61=0,1,0)))</f>
        <v>1</v>
      </c>
      <c r="BH46" s="168">
        <f>IF(CdTrp1!N61=1,3,IF(CdTrp1!N61=0.5,2,IF(CdTrp1!N61=0,1,0)))</f>
        <v>1</v>
      </c>
      <c r="BI46" s="168">
        <f>IF(CdTrp1!O61=1,3,IF(CdTrp1!O61=0.5,2,IF(CdTrp1!O61=0,1,0)))</f>
        <v>1</v>
      </c>
      <c r="BJ46" s="168">
        <f>IF(CdTrp1!P61=1,3,IF(CdTrp1!P61=0.5,2,IF(CdTrp1!P61=0,1,0)))</f>
        <v>1</v>
      </c>
      <c r="BK46" s="168">
        <f>IF(CdTrp1!Q61=1,3,IF(CdTrp1!Q61=0.5,2,IF(CdTrp1!Q61=0,1,0)))</f>
        <v>1</v>
      </c>
      <c r="BL46" s="168">
        <f>IF(CdTrp1!R61=1,3,IF(CdTrp1!R61=0.5,2,IF(CdTrp1!R61=0,1,0)))</f>
        <v>1</v>
      </c>
      <c r="BM46" s="168">
        <f>IF(CdTrp1!S61=1,3,IF(CdTrp1!S61=0.5,2,IF(CdTrp1!S61=0,1,0)))</f>
        <v>1</v>
      </c>
      <c r="BN46" s="168">
        <f>IF(CdTrp1!T61=1,3,IF(CdTrp1!T61=0.5,2,IF(CdTrp1!T61=0,1,0)))</f>
        <v>1</v>
      </c>
      <c r="BO46" s="168">
        <f>IF(CdTrp1!U61=1,3,IF(CdTrp1!U61=0.5,2,IF(CdTrp1!U61=0,1,0)))</f>
        <v>1</v>
      </c>
      <c r="BP46" s="168">
        <f>IF(CdTrp1!V61=1,3,IF(CdTrp1!V61=0.5,2,IF(CdTrp1!V61=0,1,0)))</f>
        <v>1</v>
      </c>
      <c r="BQ46" s="168">
        <f>IF(CdTrp1!W61=1,3,IF(CdTrp1!W61=0.5,2,IF(CdTrp1!W61=0,1,0)))</f>
        <v>1</v>
      </c>
      <c r="BR46" s="168">
        <f>IF(CdTrp1!X61=1,3,IF(CdTrp1!X61=0.5,2,IF(CdTrp1!X61=0,1,0)))</f>
        <v>1</v>
      </c>
      <c r="BS46" s="168">
        <f>IF(CdTrp1!Y61=1,3,IF(CdTrp1!Y61=0.5,2,IF(CdTrp1!Y61=0,1,0)))</f>
        <v>1</v>
      </c>
      <c r="BT46"/>
      <c r="BU46"/>
      <c r="BV46"/>
      <c r="BW46"/>
      <c r="BX46"/>
      <c r="BY46"/>
      <c r="BZ46" s="182" t="str">
        <f t="shared" si="27"/>
        <v>lot10</v>
      </c>
      <c r="CA46" s="32"/>
      <c r="CB46" s="168">
        <f>IF(CdTrp2!B61=1,3,IF(CdTrp2!B61=0.5,2,IF(CdTrp2!B61=0,1,0)))</f>
        <v>1</v>
      </c>
      <c r="CC46" s="168">
        <f>IF(CdTrp2!C61=1,3,IF(CdTrp2!C61=0.5,2,IF(CdTrp2!C61=0,1,0)))</f>
        <v>1</v>
      </c>
      <c r="CD46" s="168">
        <f>IF(CdTrp2!D61=1,3,IF(CdTrp2!D61=0.5,2,IF(CdTrp2!D61=0,1,0)))</f>
        <v>1</v>
      </c>
      <c r="CE46" s="168">
        <f>IF(CdTrp2!E61=1,3,IF(CdTrp2!E61=0.5,2,IF(CdTrp2!E61=0,1,0)))</f>
        <v>1</v>
      </c>
      <c r="CF46" s="168">
        <f>IF(CdTrp2!F61=1,3,IF(CdTrp2!F61=0.5,2,IF(CdTrp2!F61=0,1,0)))</f>
        <v>1</v>
      </c>
      <c r="CG46" s="168">
        <f>IF(CdTrp2!G61=1,3,IF(CdTrp2!G61=0.5,2,IF(CdTrp2!G61=0,1,0)))</f>
        <v>1</v>
      </c>
      <c r="CH46" s="168">
        <f>IF(CdTrp2!H61=1,3,IF(CdTrp2!H61=0.5,2,IF(CdTrp2!H61=0,1,0)))</f>
        <v>1</v>
      </c>
      <c r="CI46" s="168">
        <f>IF(CdTrp2!I61=1,3,IF(CdTrp2!I61=0.5,2,IF(CdTrp2!I61=0,1,0)))</f>
        <v>1</v>
      </c>
      <c r="CJ46" s="168">
        <f>IF(CdTrp2!J61=1,3,IF(CdTrp2!J61=0.5,2,IF(CdTrp2!J61=0,1,0)))</f>
        <v>1</v>
      </c>
      <c r="CK46" s="168">
        <f>IF(CdTrp2!K61=1,3,IF(CdTrp2!K61=0.5,2,IF(CdTrp2!K61=0,1,0)))</f>
        <v>1</v>
      </c>
      <c r="CL46" s="168">
        <f>IF(CdTrp2!L61=1,3,IF(CdTrp2!L61=0.5,2,IF(CdTrp2!L61=0,1,0)))</f>
        <v>1</v>
      </c>
      <c r="CM46" s="168">
        <f>IF(CdTrp2!M61=1,3,IF(CdTrp2!M61=0.5,2,IF(CdTrp2!M61=0,1,0)))</f>
        <v>1</v>
      </c>
      <c r="CN46" s="168">
        <f>IF(CdTrp2!N61=1,3,IF(CdTrp2!N61=0.5,2,IF(CdTrp2!N61=0,1,0)))</f>
        <v>1</v>
      </c>
      <c r="CO46" s="168">
        <f>IF(CdTrp2!O61=1,3,IF(CdTrp2!O61=0.5,2,IF(CdTrp2!O61=0,1,0)))</f>
        <v>1</v>
      </c>
      <c r="CP46" s="168">
        <f>IF(CdTrp2!P61=1,3,IF(CdTrp2!P61=0.5,2,IF(CdTrp2!P61=0,1,0)))</f>
        <v>1</v>
      </c>
      <c r="CQ46" s="168">
        <f>IF(CdTrp2!Q61=1,3,IF(CdTrp2!Q61=0.5,2,IF(CdTrp2!Q61=0,1,0)))</f>
        <v>1</v>
      </c>
      <c r="CR46" s="168">
        <f>IF(CdTrp2!R61=1,3,IF(CdTrp2!R61=0.5,2,IF(CdTrp2!R61=0,1,0)))</f>
        <v>1</v>
      </c>
      <c r="CS46" s="168">
        <f>IF(CdTrp2!S61=1,3,IF(CdTrp2!S61=0.5,2,IF(CdTrp2!S61=0,1,0)))</f>
        <v>1</v>
      </c>
      <c r="CT46" s="168">
        <f>IF(CdTrp2!T61=1,3,IF(CdTrp2!T61=0.5,2,IF(CdTrp2!T61=0,1,0)))</f>
        <v>1</v>
      </c>
      <c r="CU46" s="168">
        <f>IF(CdTrp2!U61=1,3,IF(CdTrp2!U61=0.5,2,IF(CdTrp2!U61=0,1,0)))</f>
        <v>1</v>
      </c>
      <c r="CV46" s="168">
        <f>IF(CdTrp2!V61=1,3,IF(CdTrp2!V61=0.5,2,IF(CdTrp2!V61=0,1,0)))</f>
        <v>1</v>
      </c>
      <c r="CW46" s="168">
        <f>IF(CdTrp2!W61=1,3,IF(CdTrp2!W61=0.5,2,IF(CdTrp2!W61=0,1,0)))</f>
        <v>1</v>
      </c>
      <c r="CX46" s="168">
        <f>IF(CdTrp2!X61=1,3,IF(CdTrp2!X61=0.5,2,IF(CdTrp2!X61=0,1,0)))</f>
        <v>1</v>
      </c>
      <c r="CY46" s="168">
        <f>IF(CdTrp2!Y61=1,3,IF(CdTrp2!Y61=0.5,2,IF(CdTrp2!Y61=0,1,0)))</f>
        <v>1</v>
      </c>
      <c r="CZ46"/>
      <c r="DA46"/>
      <c r="DB46"/>
      <c r="DC46" s="182" t="str">
        <f t="shared" si="28"/>
        <v>lot10</v>
      </c>
      <c r="DD46" s="32"/>
      <c r="DE46" s="168">
        <f>IF(CdTrp3!B61=1,3,IF(CdTrp3!B61=0.5,2,IF(CdTrp3!B61=0,1,0)))</f>
        <v>1</v>
      </c>
      <c r="DF46" s="168">
        <f>IF(CdTrp3!C61=1,3,IF(CdTrp3!C61=0.5,2,IF(CdTrp3!C61=0,1,0)))</f>
        <v>1</v>
      </c>
      <c r="DG46" s="168">
        <f>IF(CdTrp3!D61=1,3,IF(CdTrp3!D61=0.5,2,IF(CdTrp3!D61=0,1,0)))</f>
        <v>1</v>
      </c>
      <c r="DH46" s="168">
        <f>IF(CdTrp3!E61=1,3,IF(CdTrp3!E61=0.5,2,IF(CdTrp3!E61=0,1,0)))</f>
        <v>1</v>
      </c>
      <c r="DI46" s="168">
        <f>IF(CdTrp3!F61=1,3,IF(CdTrp3!F61=0.5,2,IF(CdTrp3!F61=0,1,0)))</f>
        <v>1</v>
      </c>
      <c r="DJ46" s="168">
        <f>IF(CdTrp3!G61=1,3,IF(CdTrp3!G61=0.5,2,IF(CdTrp3!G61=0,1,0)))</f>
        <v>1</v>
      </c>
      <c r="DK46" s="168">
        <f>IF(CdTrp3!H61=1,3,IF(CdTrp3!H61=0.5,2,IF(CdTrp3!H61=0,1,0)))</f>
        <v>1</v>
      </c>
      <c r="DL46" s="168">
        <f>IF(CdTrp3!I61=1,3,IF(CdTrp3!I61=0.5,2,IF(CdTrp3!I61=0,1,0)))</f>
        <v>1</v>
      </c>
      <c r="DM46" s="168">
        <f>IF(CdTrp3!J61=1,3,IF(CdTrp3!J61=0.5,2,IF(CdTrp3!J61=0,1,0)))</f>
        <v>1</v>
      </c>
      <c r="DN46" s="168">
        <f>IF(CdTrp3!K61=1,3,IF(CdTrp3!K61=0.5,2,IF(CdTrp3!K61=0,1,0)))</f>
        <v>1</v>
      </c>
      <c r="DO46" s="168">
        <f>IF(CdTrp3!L61=1,3,IF(CdTrp3!L61=0.5,2,IF(CdTrp3!L61=0,1,0)))</f>
        <v>1</v>
      </c>
      <c r="DP46" s="168">
        <f>IF(CdTrp3!M61=1,3,IF(CdTrp3!M61=0.5,2,IF(CdTrp3!M61=0,1,0)))</f>
        <v>1</v>
      </c>
      <c r="DQ46" s="168">
        <f>IF(CdTrp3!N61=1,3,IF(CdTrp3!N61=0.5,2,IF(CdTrp3!N61=0,1,0)))</f>
        <v>1</v>
      </c>
      <c r="DR46" s="168">
        <f>IF(CdTrp3!O61=1,3,IF(CdTrp3!O61=0.5,2,IF(CdTrp3!O61=0,1,0)))</f>
        <v>1</v>
      </c>
      <c r="DS46" s="168">
        <f>IF(CdTrp3!P61=1,3,IF(CdTrp3!P61=0.5,2,IF(CdTrp3!P61=0,1,0)))</f>
        <v>1</v>
      </c>
      <c r="DT46" s="168">
        <f>IF(CdTrp3!Q61=1,3,IF(CdTrp3!Q61=0.5,2,IF(CdTrp3!Q61=0,1,0)))</f>
        <v>1</v>
      </c>
      <c r="DU46" s="168">
        <f>IF(CdTrp3!R61=1,3,IF(CdTrp3!R61=0.5,2,IF(CdTrp3!R61=0,1,0)))</f>
        <v>1</v>
      </c>
      <c r="DV46" s="168">
        <f>IF(CdTrp3!S61=1,3,IF(CdTrp3!S61=0.5,2,IF(CdTrp3!S61=0,1,0)))</f>
        <v>1</v>
      </c>
      <c r="DW46" s="168">
        <f>IF(CdTrp3!T61=1,3,IF(CdTrp3!T61=0.5,2,IF(CdTrp3!T61=0,1,0)))</f>
        <v>1</v>
      </c>
      <c r="DX46" s="168">
        <f>IF(CdTrp3!U61=1,3,IF(CdTrp3!U61=0.5,2,IF(CdTrp3!U61=0,1,0)))</f>
        <v>1</v>
      </c>
      <c r="DY46" s="168">
        <f>IF(CdTrp3!V61=1,3,IF(CdTrp3!V61=0.5,2,IF(CdTrp3!V61=0,1,0)))</f>
        <v>1</v>
      </c>
      <c r="DZ46" s="168">
        <f>IF(CdTrp3!W61=1,3,IF(CdTrp3!W61=0.5,2,IF(CdTrp3!W61=0,1,0)))</f>
        <v>1</v>
      </c>
      <c r="EA46" s="168">
        <f>IF(CdTrp3!X61=1,3,IF(CdTrp3!X61=0.5,2,IF(CdTrp3!X61=0,1,0)))</f>
        <v>1</v>
      </c>
      <c r="EB46" s="168">
        <f>IF(CdTrp3!Y61=1,3,IF(CdTrp3!Y61=0.5,2,IF(CdTrp3!Y61=0,1,0)))</f>
        <v>1</v>
      </c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</row>
    <row r="47" spans="1:151" s="5" customFormat="1" x14ac:dyDescent="0.25">
      <c r="A47"/>
      <c r="B47"/>
      <c r="C47"/>
      <c r="F47" s="165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 s="181" t="s">
        <v>730</v>
      </c>
      <c r="AT47" s="2" t="s">
        <v>761</v>
      </c>
      <c r="AU47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BQ47" s="165"/>
      <c r="BR47" s="165"/>
      <c r="BS47" s="165"/>
      <c r="BT47"/>
      <c r="BU47"/>
      <c r="BV47"/>
      <c r="BW47"/>
      <c r="BX47"/>
      <c r="BY47"/>
      <c r="BZ47" s="2" t="s">
        <v>761</v>
      </c>
      <c r="CA47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5"/>
      <c r="CM47" s="165"/>
      <c r="CN47" s="165"/>
      <c r="CO47" s="165"/>
      <c r="CP47" s="165"/>
      <c r="CQ47" s="165"/>
      <c r="CR47" s="165"/>
      <c r="CS47" s="165"/>
      <c r="CT47" s="165"/>
      <c r="CU47" s="165"/>
      <c r="CV47" s="165"/>
      <c r="CW47" s="165"/>
      <c r="CX47" s="165"/>
      <c r="CY47" s="165"/>
      <c r="CZ47"/>
      <c r="DA47"/>
      <c r="DB47"/>
      <c r="DC47" s="2" t="s">
        <v>761</v>
      </c>
      <c r="DD47"/>
      <c r="DE47" s="165"/>
      <c r="DF47" s="165"/>
      <c r="DG47" s="165"/>
      <c r="DH47" s="165"/>
      <c r="DI47" s="165"/>
      <c r="DJ47" s="165"/>
      <c r="DK47" s="165"/>
      <c r="DL47" s="165"/>
      <c r="DM47" s="165"/>
      <c r="DN47" s="165"/>
      <c r="DO47" s="165"/>
      <c r="DP47" s="165"/>
      <c r="DQ47" s="165"/>
      <c r="DR47" s="165"/>
      <c r="DS47" s="165"/>
      <c r="DT47" s="165"/>
      <c r="DU47" s="165"/>
      <c r="DV47" s="165"/>
      <c r="DW47" s="165"/>
      <c r="DX47" s="165"/>
      <c r="DY47" s="165"/>
      <c r="DZ47" s="165"/>
      <c r="EA47" s="165"/>
      <c r="EB47" s="165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</row>
    <row r="48" spans="1:151" ht="13.5" customHeight="1" x14ac:dyDescent="0.25">
      <c r="A48" s="2" t="s">
        <v>762</v>
      </c>
      <c r="AR48" s="181" t="s">
        <v>730</v>
      </c>
      <c r="AT48" s="182" t="str">
        <f>AT37</f>
        <v xml:space="preserve">Vaches </v>
      </c>
      <c r="AU48" s="32"/>
      <c r="AV48" s="168">
        <f>IF(CdTrp1!B76=1,1,IF(CdTrp1!B76=2,2,IF(CdTrp1!B76=3,2,0)))</f>
        <v>0</v>
      </c>
      <c r="AW48" s="168">
        <f>IF(CdTrp1!C76=1,1,IF(CdTrp1!C76=2,2,IF(CdTrp1!C76=3,2,0)))</f>
        <v>0</v>
      </c>
      <c r="AX48" s="168">
        <f>IF(CdTrp1!D76=1,1,IF(CdTrp1!D76=2,2,IF(CdTrp1!D76=3,2,0)))</f>
        <v>0</v>
      </c>
      <c r="AY48" s="168">
        <f>IF(CdTrp1!E76=1,1,IF(CdTrp1!E76=2,2,IF(CdTrp1!E76=3,2,0)))</f>
        <v>0</v>
      </c>
      <c r="AZ48" s="168">
        <f>IF(CdTrp1!F76=1,1,IF(CdTrp1!F76=2,2,IF(CdTrp1!F76=3,2,0)))</f>
        <v>1</v>
      </c>
      <c r="BA48" s="168">
        <f>IF(CdTrp1!G76=1,1,IF(CdTrp1!G76=2,2,IF(CdTrp1!G76=3,2,0)))</f>
        <v>1</v>
      </c>
      <c r="BB48" s="168">
        <f>IF(CdTrp1!H76=1,1,IF(CdTrp1!H76=2,2,IF(CdTrp1!H76=3,2,0)))</f>
        <v>1</v>
      </c>
      <c r="BC48" s="168">
        <f>IF(CdTrp1!I76=1,1,IF(CdTrp1!I76=2,2,IF(CdTrp1!I76=3,2,0)))</f>
        <v>1</v>
      </c>
      <c r="BD48" s="168">
        <f>IF(CdTrp1!J76=1,1,IF(CdTrp1!J76=2,2,IF(CdTrp1!J76=3,2,0)))</f>
        <v>1</v>
      </c>
      <c r="BE48" s="168">
        <f>IF(CdTrp1!K76=1,1,IF(CdTrp1!K76=2,2,IF(CdTrp1!K76=3,2,0)))</f>
        <v>1</v>
      </c>
      <c r="BF48" s="168">
        <f>IF(CdTrp1!L76=1,1,IF(CdTrp1!L76=2,2,IF(CdTrp1!L76=3,2,0)))</f>
        <v>1</v>
      </c>
      <c r="BG48" s="168">
        <f>IF(CdTrp1!M76=1,1,IF(CdTrp1!M76=2,2,IF(CdTrp1!M76=3,2,0)))</f>
        <v>1</v>
      </c>
      <c r="BH48" s="168">
        <f>IF(CdTrp1!N76=1,1,IF(CdTrp1!N76=2,2,IF(CdTrp1!N76=3,2,0)))</f>
        <v>1</v>
      </c>
      <c r="BI48" s="168">
        <f>IF(CdTrp1!O76=1,1,IF(CdTrp1!O76=2,2,IF(CdTrp1!O76=3,2,0)))</f>
        <v>1</v>
      </c>
      <c r="BJ48" s="168">
        <f>IF(CdTrp1!P76=1,1,IF(CdTrp1!P76=2,2,IF(CdTrp1!P76=3,2,0)))</f>
        <v>1</v>
      </c>
      <c r="BK48" s="168">
        <f>IF(CdTrp1!Q76=1,1,IF(CdTrp1!Q76=2,2,IF(CdTrp1!Q76=3,2,0)))</f>
        <v>1</v>
      </c>
      <c r="BL48" s="168">
        <f>IF(CdTrp1!R76=1,1,IF(CdTrp1!R76=2,2,IF(CdTrp1!R76=3,2,0)))</f>
        <v>1</v>
      </c>
      <c r="BM48" s="168">
        <f>IF(CdTrp1!S76=1,1,IF(CdTrp1!S76=2,2,IF(CdTrp1!S76=3,2,0)))</f>
        <v>1</v>
      </c>
      <c r="BN48" s="168">
        <f>IF(CdTrp1!T76=1,1,IF(CdTrp1!T76=2,2,IF(CdTrp1!T76=3,2,0)))</f>
        <v>1</v>
      </c>
      <c r="BO48" s="168">
        <f>IF(CdTrp1!U76=1,1,IF(CdTrp1!U76=2,2,IF(CdTrp1!U76=3,2,0)))</f>
        <v>1</v>
      </c>
      <c r="BP48" s="168">
        <f>IF(CdTrp1!V76=1,1,IF(CdTrp1!V76=2,2,IF(CdTrp1!V76=3,2,0)))</f>
        <v>0</v>
      </c>
      <c r="BQ48" s="168">
        <f>IF(CdTrp1!W76=1,1,IF(CdTrp1!W76=2,2,IF(CdTrp1!W76=3,2,0)))</f>
        <v>0</v>
      </c>
      <c r="BR48" s="168">
        <f>IF(CdTrp1!X76=1,1,IF(CdTrp1!X76=2,2,IF(CdTrp1!X76=3,2,0)))</f>
        <v>0</v>
      </c>
      <c r="BS48" s="168">
        <f>IF(CdTrp1!Y76=1,1,IF(CdTrp1!Y76=2,2,IF(CdTrp1!Y76=3,2,0)))</f>
        <v>0</v>
      </c>
      <c r="BU48">
        <v>1</v>
      </c>
      <c r="BV48" t="s">
        <v>218</v>
      </c>
      <c r="BZ48" s="182" t="str">
        <f t="shared" ref="BZ48:BZ57" si="29">+BZ15</f>
        <v>lot1</v>
      </c>
      <c r="CA48" s="32"/>
      <c r="CB48" s="168">
        <f>IF(CdTrp2!B76=1,1,IF(CdTrp2!B76=2,2,IF(CdTrp2!B76=3,2,0)))</f>
        <v>0</v>
      </c>
      <c r="CC48" s="168">
        <f>IF(CdTrp2!C76=1,1,IF(CdTrp2!C76=2,2,IF(CdTrp2!C76=3,2,0)))</f>
        <v>0</v>
      </c>
      <c r="CD48" s="168">
        <f>IF(CdTrp2!D76=1,1,IF(CdTrp2!D76=2,2,IF(CdTrp2!D76=3,2,0)))</f>
        <v>0</v>
      </c>
      <c r="CE48" s="168">
        <f>IF(CdTrp2!E76=1,1,IF(CdTrp2!E76=2,2,IF(CdTrp2!E76=3,2,0)))</f>
        <v>0</v>
      </c>
      <c r="CF48" s="168">
        <f>IF(CdTrp2!F76=1,1,IF(CdTrp2!F76=2,2,IF(CdTrp2!F76=3,2,0)))</f>
        <v>0</v>
      </c>
      <c r="CG48" s="168">
        <f>IF(CdTrp2!G76=1,1,IF(CdTrp2!G76=2,2,IF(CdTrp2!G76=3,2,0)))</f>
        <v>0</v>
      </c>
      <c r="CH48" s="168">
        <f>IF(CdTrp2!H76=1,1,IF(CdTrp2!H76=2,2,IF(CdTrp2!H76=3,2,0)))</f>
        <v>0</v>
      </c>
      <c r="CI48" s="168">
        <f>IF(CdTrp2!I76=1,1,IF(CdTrp2!I76=2,2,IF(CdTrp2!I76=3,2,0)))</f>
        <v>0</v>
      </c>
      <c r="CJ48" s="168">
        <f>IF(CdTrp2!J76=1,1,IF(CdTrp2!J76=2,2,IF(CdTrp2!J76=3,2,0)))</f>
        <v>0</v>
      </c>
      <c r="CK48" s="168">
        <f>IF(CdTrp2!K76=1,1,IF(CdTrp2!K76=2,2,IF(CdTrp2!K76=3,2,0)))</f>
        <v>0</v>
      </c>
      <c r="CL48" s="168">
        <f>IF(CdTrp2!L76=1,1,IF(CdTrp2!L76=2,2,IF(CdTrp2!L76=3,2,0)))</f>
        <v>0</v>
      </c>
      <c r="CM48" s="168">
        <f>IF(CdTrp2!M76=1,1,IF(CdTrp2!M76=2,2,IF(CdTrp2!M76=3,2,0)))</f>
        <v>0</v>
      </c>
      <c r="CN48" s="168">
        <f>IF(CdTrp2!N76=1,1,IF(CdTrp2!N76=2,2,IF(CdTrp2!N76=3,2,0)))</f>
        <v>0</v>
      </c>
      <c r="CO48" s="168">
        <f>IF(CdTrp2!O76=1,1,IF(CdTrp2!O76=2,2,IF(CdTrp2!O76=3,2,0)))</f>
        <v>0</v>
      </c>
      <c r="CP48" s="168">
        <f>IF(CdTrp2!P76=1,1,IF(CdTrp2!P76=2,2,IF(CdTrp2!P76=3,2,0)))</f>
        <v>0</v>
      </c>
      <c r="CQ48" s="168">
        <f>IF(CdTrp2!Q76=1,1,IF(CdTrp2!Q76=2,2,IF(CdTrp2!Q76=3,2,0)))</f>
        <v>0</v>
      </c>
      <c r="CR48" s="168">
        <f>IF(CdTrp2!R76=1,1,IF(CdTrp2!R76=2,2,IF(CdTrp2!R76=3,2,0)))</f>
        <v>0</v>
      </c>
      <c r="CS48" s="168">
        <f>IF(CdTrp2!S76=1,1,IF(CdTrp2!S76=2,2,IF(CdTrp2!S76=3,2,0)))</f>
        <v>0</v>
      </c>
      <c r="CT48" s="168">
        <f>IF(CdTrp2!T76=1,1,IF(CdTrp2!T76=2,2,IF(CdTrp2!T76=3,2,0)))</f>
        <v>0</v>
      </c>
      <c r="CU48" s="168">
        <f>IF(CdTrp2!U76=1,1,IF(CdTrp2!U76=2,2,IF(CdTrp2!U76=3,2,0)))</f>
        <v>0</v>
      </c>
      <c r="CV48" s="168">
        <f>IF(CdTrp2!V76=1,1,IF(CdTrp2!V76=2,2,IF(CdTrp2!V76=3,2,0)))</f>
        <v>0</v>
      </c>
      <c r="CW48" s="168">
        <f>IF(CdTrp2!W76=1,1,IF(CdTrp2!W76=2,2,IF(CdTrp2!W76=3,2,0)))</f>
        <v>0</v>
      </c>
      <c r="CX48" s="168">
        <f>IF(CdTrp2!X76=1,1,IF(CdTrp2!X76=2,2,IF(CdTrp2!X76=3,2,0)))</f>
        <v>0</v>
      </c>
      <c r="CY48" s="168">
        <f>IF(CdTrp2!Y76=1,1,IF(CdTrp2!Y76=2,2,IF(CdTrp2!Y76=3,2,0)))</f>
        <v>0</v>
      </c>
      <c r="DC48" s="182" t="str">
        <f t="shared" ref="DC48:DC57" si="30">+DC15</f>
        <v>lot1</v>
      </c>
      <c r="DD48" s="32"/>
      <c r="DE48" s="168">
        <f>IF(CdTrp3!B76=1,1,IF(CdTrp3!B76=2,2,IF(CdTrp3!B76=3,2,0)))</f>
        <v>0</v>
      </c>
      <c r="DF48" s="168">
        <f>IF(CdTrp3!C76=1,1,IF(CdTrp3!C76=2,2,IF(CdTrp3!C76=3,2,0)))</f>
        <v>0</v>
      </c>
      <c r="DG48" s="168">
        <f>IF(CdTrp3!D76=1,1,IF(CdTrp3!D76=2,2,IF(CdTrp3!D76=3,2,0)))</f>
        <v>0</v>
      </c>
      <c r="DH48" s="168">
        <f>IF(CdTrp3!E76=1,1,IF(CdTrp3!E76=2,2,IF(CdTrp3!E76=3,2,0)))</f>
        <v>0</v>
      </c>
      <c r="DI48" s="168">
        <f>IF(CdTrp3!F76=1,1,IF(CdTrp3!F76=2,2,IF(CdTrp3!F76=3,2,0)))</f>
        <v>0</v>
      </c>
      <c r="DJ48" s="168">
        <f>IF(CdTrp3!G76=1,1,IF(CdTrp3!G76=2,2,IF(CdTrp3!G76=3,2,0)))</f>
        <v>0</v>
      </c>
      <c r="DK48" s="168">
        <f>IF(CdTrp3!H76=1,1,IF(CdTrp3!H76=2,2,IF(CdTrp3!H76=3,2,0)))</f>
        <v>0</v>
      </c>
      <c r="DL48" s="168">
        <f>IF(CdTrp3!I76=1,1,IF(CdTrp3!I76=2,2,IF(CdTrp3!I76=3,2,0)))</f>
        <v>0</v>
      </c>
      <c r="DM48" s="168">
        <f>IF(CdTrp3!J76=1,1,IF(CdTrp3!J76=2,2,IF(CdTrp3!J76=3,2,0)))</f>
        <v>0</v>
      </c>
      <c r="DN48" s="168">
        <f>IF(CdTrp3!K76=1,1,IF(CdTrp3!K76=2,2,IF(CdTrp3!K76=3,2,0)))</f>
        <v>0</v>
      </c>
      <c r="DO48" s="168">
        <f>IF(CdTrp3!L76=1,1,IF(CdTrp3!L76=2,2,IF(CdTrp3!L76=3,2,0)))</f>
        <v>0</v>
      </c>
      <c r="DP48" s="168">
        <f>IF(CdTrp3!M76=1,1,IF(CdTrp3!M76=2,2,IF(CdTrp3!M76=3,2,0)))</f>
        <v>0</v>
      </c>
      <c r="DQ48" s="168">
        <f>IF(CdTrp3!N76=1,1,IF(CdTrp3!N76=2,2,IF(CdTrp3!N76=3,2,0)))</f>
        <v>0</v>
      </c>
      <c r="DR48" s="168">
        <f>IF(CdTrp3!O76=1,1,IF(CdTrp3!O76=2,2,IF(CdTrp3!O76=3,2,0)))</f>
        <v>0</v>
      </c>
      <c r="DS48" s="168">
        <f>IF(CdTrp3!P76=1,1,IF(CdTrp3!P76=2,2,IF(CdTrp3!P76=3,2,0)))</f>
        <v>0</v>
      </c>
      <c r="DT48" s="168">
        <f>IF(CdTrp3!Q76=1,1,IF(CdTrp3!Q76=2,2,IF(CdTrp3!Q76=3,2,0)))</f>
        <v>0</v>
      </c>
      <c r="DU48" s="168">
        <f>IF(CdTrp3!R76=1,1,IF(CdTrp3!R76=2,2,IF(CdTrp3!R76=3,2,0)))</f>
        <v>0</v>
      </c>
      <c r="DV48" s="168">
        <f>IF(CdTrp3!S76=1,1,IF(CdTrp3!S76=2,2,IF(CdTrp3!S76=3,2,0)))</f>
        <v>0</v>
      </c>
      <c r="DW48" s="168">
        <f>IF(CdTrp3!T76=1,1,IF(CdTrp3!T76=2,2,IF(CdTrp3!T76=3,2,0)))</f>
        <v>0</v>
      </c>
      <c r="DX48" s="168">
        <f>IF(CdTrp3!U76=1,1,IF(CdTrp3!U76=2,2,IF(CdTrp3!U76=3,2,0)))</f>
        <v>0</v>
      </c>
      <c r="DY48" s="168">
        <f>IF(CdTrp3!V76=1,1,IF(CdTrp3!V76=2,2,IF(CdTrp3!V76=3,2,0)))</f>
        <v>0</v>
      </c>
      <c r="DZ48" s="168">
        <f>IF(CdTrp3!W76=1,1,IF(CdTrp3!W76=2,2,IF(CdTrp3!W76=3,2,0)))</f>
        <v>0</v>
      </c>
      <c r="EA48" s="168">
        <f>IF(CdTrp3!X76=1,1,IF(CdTrp3!X76=2,2,IF(CdTrp3!X76=3,2,0)))</f>
        <v>0</v>
      </c>
      <c r="EB48" s="168">
        <f>IF(CdTrp3!Y76=1,1,IF(CdTrp3!Y76=2,2,IF(CdTrp3!Y76=3,2,0)))</f>
        <v>0</v>
      </c>
    </row>
    <row r="49" spans="1:132" x14ac:dyDescent="0.25">
      <c r="A49" s="23" t="s">
        <v>763</v>
      </c>
      <c r="B49" s="165" t="s">
        <v>52</v>
      </c>
      <c r="C49" t="s">
        <v>764</v>
      </c>
      <c r="AR49" s="181" t="s">
        <v>730</v>
      </c>
      <c r="AT49" s="182" t="str">
        <f t="shared" ref="AT49:AT57" si="31">AT38</f>
        <v>Génisses 24 mois</v>
      </c>
      <c r="AU49" s="32"/>
      <c r="AV49" s="168">
        <f>IF(CdTrp1!B77=1,1,IF(CdTrp1!B77=2,2,IF(CdTrp1!B77=3,2,0)))</f>
        <v>0</v>
      </c>
      <c r="AW49" s="168">
        <f>IF(CdTrp1!C77=1,1,IF(CdTrp1!C77=2,2,IF(CdTrp1!C77=3,2,0)))</f>
        <v>0</v>
      </c>
      <c r="AX49" s="168">
        <f>IF(CdTrp1!D77=1,1,IF(CdTrp1!D77=2,2,IF(CdTrp1!D77=3,2,0)))</f>
        <v>0</v>
      </c>
      <c r="AY49" s="168">
        <f>IF(CdTrp1!E77=1,1,IF(CdTrp1!E77=2,2,IF(CdTrp1!E77=3,2,0)))</f>
        <v>0</v>
      </c>
      <c r="AZ49" s="168">
        <f>IF(CdTrp1!F77=1,1,IF(CdTrp1!F77=2,2,IF(CdTrp1!F77=3,2,0)))</f>
        <v>1</v>
      </c>
      <c r="BA49" s="168">
        <f>IF(CdTrp1!G77=1,1,IF(CdTrp1!G77=2,2,IF(CdTrp1!G77=3,2,0)))</f>
        <v>1</v>
      </c>
      <c r="BB49" s="168">
        <f>IF(CdTrp1!H77=1,1,IF(CdTrp1!H77=2,2,IF(CdTrp1!H77=3,2,0)))</f>
        <v>1</v>
      </c>
      <c r="BC49" s="168">
        <f>IF(CdTrp1!I77=1,1,IF(CdTrp1!I77=2,2,IF(CdTrp1!I77=3,2,0)))</f>
        <v>1</v>
      </c>
      <c r="BD49" s="168">
        <f>IF(CdTrp1!J77=1,1,IF(CdTrp1!J77=2,2,IF(CdTrp1!J77=3,2,0)))</f>
        <v>1</v>
      </c>
      <c r="BE49" s="168">
        <f>IF(CdTrp1!K77=1,1,IF(CdTrp1!K77=2,2,IF(CdTrp1!K77=3,2,0)))</f>
        <v>1</v>
      </c>
      <c r="BF49" s="168">
        <f>IF(CdTrp1!L77=1,1,IF(CdTrp1!L77=2,2,IF(CdTrp1!L77=3,2,0)))</f>
        <v>1</v>
      </c>
      <c r="BG49" s="168">
        <f>IF(CdTrp1!M77=1,1,IF(CdTrp1!M77=2,2,IF(CdTrp1!M77=3,2,0)))</f>
        <v>1</v>
      </c>
      <c r="BH49" s="168">
        <f>IF(CdTrp1!N77=1,1,IF(CdTrp1!N77=2,2,IF(CdTrp1!N77=3,2,0)))</f>
        <v>1</v>
      </c>
      <c r="BI49" s="168">
        <f>IF(CdTrp1!O77=1,1,IF(CdTrp1!O77=2,2,IF(CdTrp1!O77=3,2,0)))</f>
        <v>1</v>
      </c>
      <c r="BJ49" s="168">
        <f>IF(CdTrp1!P77=1,1,IF(CdTrp1!P77=2,2,IF(CdTrp1!P77=3,2,0)))</f>
        <v>1</v>
      </c>
      <c r="BK49" s="168">
        <f>IF(CdTrp1!Q77=1,1,IF(CdTrp1!Q77=2,2,IF(CdTrp1!Q77=3,2,0)))</f>
        <v>1</v>
      </c>
      <c r="BL49" s="168">
        <f>IF(CdTrp1!R77=1,1,IF(CdTrp1!R77=2,2,IF(CdTrp1!R77=3,2,0)))</f>
        <v>1</v>
      </c>
      <c r="BM49" s="168">
        <f>IF(CdTrp1!S77=1,1,IF(CdTrp1!S77=2,2,IF(CdTrp1!S77=3,2,0)))</f>
        <v>1</v>
      </c>
      <c r="BN49" s="168">
        <f>IF(CdTrp1!T77=1,1,IF(CdTrp1!T77=2,2,IF(CdTrp1!T77=3,2,0)))</f>
        <v>1</v>
      </c>
      <c r="BO49" s="168">
        <f>IF(CdTrp1!U77=1,1,IF(CdTrp1!U77=2,2,IF(CdTrp1!U77=3,2,0)))</f>
        <v>1</v>
      </c>
      <c r="BP49" s="168">
        <f>IF(CdTrp1!V77=1,1,IF(CdTrp1!V77=2,2,IF(CdTrp1!V77=3,2,0)))</f>
        <v>1</v>
      </c>
      <c r="BQ49" s="168">
        <f>IF(CdTrp1!W77=1,1,IF(CdTrp1!W77=2,2,IF(CdTrp1!W77=3,2,0)))</f>
        <v>0</v>
      </c>
      <c r="BR49" s="168">
        <f>IF(CdTrp1!X77=1,1,IF(CdTrp1!X77=2,2,IF(CdTrp1!X77=3,2,0)))</f>
        <v>0</v>
      </c>
      <c r="BS49" s="168">
        <f>IF(CdTrp1!Y77=1,1,IF(CdTrp1!Y77=2,2,IF(CdTrp1!Y77=3,2,0)))</f>
        <v>0</v>
      </c>
      <c r="BU49">
        <v>2</v>
      </c>
      <c r="BV49" t="s">
        <v>765</v>
      </c>
      <c r="BY49" s="17"/>
      <c r="BZ49" s="182" t="str">
        <f t="shared" si="29"/>
        <v>lot2</v>
      </c>
      <c r="CA49" s="32"/>
      <c r="CB49" s="168">
        <f>IF(CdTrp2!B77=1,1,IF(CdTrp2!B77=2,2,IF(CdTrp2!B77=3,2,0)))</f>
        <v>0</v>
      </c>
      <c r="CC49" s="168">
        <f>IF(CdTrp2!C77=1,1,IF(CdTrp2!C77=2,2,IF(CdTrp2!C77=3,2,0)))</f>
        <v>0</v>
      </c>
      <c r="CD49" s="168">
        <f>IF(CdTrp2!D77=1,1,IF(CdTrp2!D77=2,2,IF(CdTrp2!D77=3,2,0)))</f>
        <v>0</v>
      </c>
      <c r="CE49" s="168">
        <f>IF(CdTrp2!E77=1,1,IF(CdTrp2!E77=2,2,IF(CdTrp2!E77=3,2,0)))</f>
        <v>0</v>
      </c>
      <c r="CF49" s="168">
        <f>IF(CdTrp2!F77=1,1,IF(CdTrp2!F77=2,2,IF(CdTrp2!F77=3,2,0)))</f>
        <v>0</v>
      </c>
      <c r="CG49" s="168">
        <f>IF(CdTrp2!G77=1,1,IF(CdTrp2!G77=2,2,IF(CdTrp2!G77=3,2,0)))</f>
        <v>0</v>
      </c>
      <c r="CH49" s="168">
        <f>IF(CdTrp2!H77=1,1,IF(CdTrp2!H77=2,2,IF(CdTrp2!H77=3,2,0)))</f>
        <v>0</v>
      </c>
      <c r="CI49" s="168">
        <f>IF(CdTrp2!I77=1,1,IF(CdTrp2!I77=2,2,IF(CdTrp2!I77=3,2,0)))</f>
        <v>0</v>
      </c>
      <c r="CJ49" s="168">
        <f>IF(CdTrp2!J77=1,1,IF(CdTrp2!J77=2,2,IF(CdTrp2!J77=3,2,0)))</f>
        <v>0</v>
      </c>
      <c r="CK49" s="168">
        <f>IF(CdTrp2!K77=1,1,IF(CdTrp2!K77=2,2,IF(CdTrp2!K77=3,2,0)))</f>
        <v>0</v>
      </c>
      <c r="CL49" s="168">
        <f>IF(CdTrp2!L77=1,1,IF(CdTrp2!L77=2,2,IF(CdTrp2!L77=3,2,0)))</f>
        <v>0</v>
      </c>
      <c r="CM49" s="168">
        <f>IF(CdTrp2!M77=1,1,IF(CdTrp2!M77=2,2,IF(CdTrp2!M77=3,2,0)))</f>
        <v>0</v>
      </c>
      <c r="CN49" s="168">
        <f>IF(CdTrp2!N77=1,1,IF(CdTrp2!N77=2,2,IF(CdTrp2!N77=3,2,0)))</f>
        <v>0</v>
      </c>
      <c r="CO49" s="168">
        <f>IF(CdTrp2!O77=1,1,IF(CdTrp2!O77=2,2,IF(CdTrp2!O77=3,2,0)))</f>
        <v>0</v>
      </c>
      <c r="CP49" s="168">
        <f>IF(CdTrp2!P77=1,1,IF(CdTrp2!P77=2,2,IF(CdTrp2!P77=3,2,0)))</f>
        <v>0</v>
      </c>
      <c r="CQ49" s="168">
        <f>IF(CdTrp2!Q77=1,1,IF(CdTrp2!Q77=2,2,IF(CdTrp2!Q77=3,2,0)))</f>
        <v>0</v>
      </c>
      <c r="CR49" s="168">
        <f>IF(CdTrp2!R77=1,1,IF(CdTrp2!R77=2,2,IF(CdTrp2!R77=3,2,0)))</f>
        <v>0</v>
      </c>
      <c r="CS49" s="168">
        <f>IF(CdTrp2!S77=1,1,IF(CdTrp2!S77=2,2,IF(CdTrp2!S77=3,2,0)))</f>
        <v>0</v>
      </c>
      <c r="CT49" s="168">
        <f>IF(CdTrp2!T77=1,1,IF(CdTrp2!T77=2,2,IF(CdTrp2!T77=3,2,0)))</f>
        <v>0</v>
      </c>
      <c r="CU49" s="168">
        <f>IF(CdTrp2!U77=1,1,IF(CdTrp2!U77=2,2,IF(CdTrp2!U77=3,2,0)))</f>
        <v>0</v>
      </c>
      <c r="CV49" s="168">
        <f>IF(CdTrp2!V77=1,1,IF(CdTrp2!V77=2,2,IF(CdTrp2!V77=3,2,0)))</f>
        <v>0</v>
      </c>
      <c r="CW49" s="168">
        <f>IF(CdTrp2!W77=1,1,IF(CdTrp2!W77=2,2,IF(CdTrp2!W77=3,2,0)))</f>
        <v>0</v>
      </c>
      <c r="CX49" s="168">
        <f>IF(CdTrp2!X77=1,1,IF(CdTrp2!X77=2,2,IF(CdTrp2!X77=3,2,0)))</f>
        <v>0</v>
      </c>
      <c r="CY49" s="168">
        <f>IF(CdTrp2!Y77=1,1,IF(CdTrp2!Y77=2,2,IF(CdTrp2!Y77=3,2,0)))</f>
        <v>0</v>
      </c>
      <c r="DB49" s="17"/>
      <c r="DC49" s="182" t="str">
        <f t="shared" si="30"/>
        <v>lot2</v>
      </c>
      <c r="DD49" s="32"/>
      <c r="DE49" s="168">
        <f>IF(CdTrp3!B77=1,1,IF(CdTrp3!B77=2,2,IF(CdTrp3!B77=3,2,0)))</f>
        <v>0</v>
      </c>
      <c r="DF49" s="168">
        <f>IF(CdTrp3!C77=1,1,IF(CdTrp3!C77=2,2,IF(CdTrp3!C77=3,2,0)))</f>
        <v>0</v>
      </c>
      <c r="DG49" s="168">
        <f>IF(CdTrp3!D77=1,1,IF(CdTrp3!D77=2,2,IF(CdTrp3!D77=3,2,0)))</f>
        <v>0</v>
      </c>
      <c r="DH49" s="168">
        <f>IF(CdTrp3!E77=1,1,IF(CdTrp3!E77=2,2,IF(CdTrp3!E77=3,2,0)))</f>
        <v>0</v>
      </c>
      <c r="DI49" s="168">
        <f>IF(CdTrp3!F77=1,1,IF(CdTrp3!F77=2,2,IF(CdTrp3!F77=3,2,0)))</f>
        <v>0</v>
      </c>
      <c r="DJ49" s="168">
        <f>IF(CdTrp3!G77=1,1,IF(CdTrp3!G77=2,2,IF(CdTrp3!G77=3,2,0)))</f>
        <v>0</v>
      </c>
      <c r="DK49" s="168">
        <f>IF(CdTrp3!H77=1,1,IF(CdTrp3!H77=2,2,IF(CdTrp3!H77=3,2,0)))</f>
        <v>0</v>
      </c>
      <c r="DL49" s="168">
        <f>IF(CdTrp3!I77=1,1,IF(CdTrp3!I77=2,2,IF(CdTrp3!I77=3,2,0)))</f>
        <v>0</v>
      </c>
      <c r="DM49" s="168">
        <f>IF(CdTrp3!J77=1,1,IF(CdTrp3!J77=2,2,IF(CdTrp3!J77=3,2,0)))</f>
        <v>0</v>
      </c>
      <c r="DN49" s="168">
        <f>IF(CdTrp3!K77=1,1,IF(CdTrp3!K77=2,2,IF(CdTrp3!K77=3,2,0)))</f>
        <v>0</v>
      </c>
      <c r="DO49" s="168">
        <f>IF(CdTrp3!L77=1,1,IF(CdTrp3!L77=2,2,IF(CdTrp3!L77=3,2,0)))</f>
        <v>0</v>
      </c>
      <c r="DP49" s="168">
        <f>IF(CdTrp3!M77=1,1,IF(CdTrp3!M77=2,2,IF(CdTrp3!M77=3,2,0)))</f>
        <v>0</v>
      </c>
      <c r="DQ49" s="168">
        <f>IF(CdTrp3!N77=1,1,IF(CdTrp3!N77=2,2,IF(CdTrp3!N77=3,2,0)))</f>
        <v>0</v>
      </c>
      <c r="DR49" s="168">
        <f>IF(CdTrp3!O77=1,1,IF(CdTrp3!O77=2,2,IF(CdTrp3!O77=3,2,0)))</f>
        <v>0</v>
      </c>
      <c r="DS49" s="168">
        <f>IF(CdTrp3!P77=1,1,IF(CdTrp3!P77=2,2,IF(CdTrp3!P77=3,2,0)))</f>
        <v>0</v>
      </c>
      <c r="DT49" s="168">
        <f>IF(CdTrp3!Q77=1,1,IF(CdTrp3!Q77=2,2,IF(CdTrp3!Q77=3,2,0)))</f>
        <v>0</v>
      </c>
      <c r="DU49" s="168">
        <f>IF(CdTrp3!R77=1,1,IF(CdTrp3!R77=2,2,IF(CdTrp3!R77=3,2,0)))</f>
        <v>0</v>
      </c>
      <c r="DV49" s="168">
        <f>IF(CdTrp3!S77=1,1,IF(CdTrp3!S77=2,2,IF(CdTrp3!S77=3,2,0)))</f>
        <v>0</v>
      </c>
      <c r="DW49" s="168">
        <f>IF(CdTrp3!T77=1,1,IF(CdTrp3!T77=2,2,IF(CdTrp3!T77=3,2,0)))</f>
        <v>0</v>
      </c>
      <c r="DX49" s="168">
        <f>IF(CdTrp3!U77=1,1,IF(CdTrp3!U77=2,2,IF(CdTrp3!U77=3,2,0)))</f>
        <v>0</v>
      </c>
      <c r="DY49" s="168">
        <f>IF(CdTrp3!V77=1,1,IF(CdTrp3!V77=2,2,IF(CdTrp3!V77=3,2,0)))</f>
        <v>0</v>
      </c>
      <c r="DZ49" s="168">
        <f>IF(CdTrp3!W77=1,1,IF(CdTrp3!W77=2,2,IF(CdTrp3!W77=3,2,0)))</f>
        <v>0</v>
      </c>
      <c r="EA49" s="168">
        <f>IF(CdTrp3!X77=1,1,IF(CdTrp3!X77=2,2,IF(CdTrp3!X77=3,2,0)))</f>
        <v>0</v>
      </c>
      <c r="EB49" s="168">
        <f>IF(CdTrp3!Y77=1,1,IF(CdTrp3!Y77=2,2,IF(CdTrp3!Y77=3,2,0)))</f>
        <v>0</v>
      </c>
    </row>
    <row r="50" spans="1:132" x14ac:dyDescent="0.25">
      <c r="A50" t="s">
        <v>766</v>
      </c>
      <c r="B50" s="168">
        <f>Scénario!K35+Scénario!K36</f>
        <v>0</v>
      </c>
      <c r="C50" s="183">
        <f>IF(B50&gt;[1]Trav!$E$116,[1]Trav!C116,[1]Trav!B116)</f>
        <v>11</v>
      </c>
      <c r="E50" s="166"/>
      <c r="F50" s="168">
        <f>ROUND(B50*C50,0)</f>
        <v>0</v>
      </c>
      <c r="AR50" s="181" t="s">
        <v>730</v>
      </c>
      <c r="AT50" s="182" t="str">
        <f t="shared" si="31"/>
        <v>Génisses jeunes</v>
      </c>
      <c r="AU50" s="32"/>
      <c r="AV50" s="168">
        <f>IF(CdTrp1!B78=1,1,IF(CdTrp1!B78=2,2,IF(CdTrp1!B78=3,2,0)))</f>
        <v>0</v>
      </c>
      <c r="AW50" s="168">
        <f>IF(CdTrp1!C78=1,1,IF(CdTrp1!C78=2,2,IF(CdTrp1!C78=3,2,0)))</f>
        <v>0</v>
      </c>
      <c r="AX50" s="168">
        <f>IF(CdTrp1!D78=1,1,IF(CdTrp1!D78=2,2,IF(CdTrp1!D78=3,2,0)))</f>
        <v>0</v>
      </c>
      <c r="AY50" s="168">
        <f>IF(CdTrp1!E78=1,1,IF(CdTrp1!E78=2,2,IF(CdTrp1!E78=3,2,0)))</f>
        <v>0</v>
      </c>
      <c r="AZ50" s="168">
        <f>IF(CdTrp1!F78=1,1,IF(CdTrp1!F78=2,2,IF(CdTrp1!F78=3,2,0)))</f>
        <v>0</v>
      </c>
      <c r="BA50" s="168">
        <f>IF(CdTrp1!G78=1,1,IF(CdTrp1!G78=2,2,IF(CdTrp1!G78=3,2,0)))</f>
        <v>0</v>
      </c>
      <c r="BB50" s="168">
        <f>IF(CdTrp1!H78=1,1,IF(CdTrp1!H78=2,2,IF(CdTrp1!H78=3,2,0)))</f>
        <v>0</v>
      </c>
      <c r="BC50" s="168">
        <f>IF(CdTrp1!I78=1,1,IF(CdTrp1!I78=2,2,IF(CdTrp1!I78=3,2,0)))</f>
        <v>0</v>
      </c>
      <c r="BD50" s="168">
        <f>IF(CdTrp1!J78=1,1,IF(CdTrp1!J78=2,2,IF(CdTrp1!J78=3,2,0)))</f>
        <v>0</v>
      </c>
      <c r="BE50" s="168">
        <f>IF(CdTrp1!K78=1,1,IF(CdTrp1!K78=2,2,IF(CdTrp1!K78=3,2,0)))</f>
        <v>1</v>
      </c>
      <c r="BF50" s="168">
        <f>IF(CdTrp1!L78=1,1,IF(CdTrp1!L78=2,2,IF(CdTrp1!L78=3,2,0)))</f>
        <v>1</v>
      </c>
      <c r="BG50" s="168">
        <f>IF(CdTrp1!M78=1,1,IF(CdTrp1!M78=2,2,IF(CdTrp1!M78=3,2,0)))</f>
        <v>1</v>
      </c>
      <c r="BH50" s="168">
        <f>IF(CdTrp1!N78=1,1,IF(CdTrp1!N78=2,2,IF(CdTrp1!N78=3,2,0)))</f>
        <v>1</v>
      </c>
      <c r="BI50" s="168">
        <f>IF(CdTrp1!O78=1,1,IF(CdTrp1!O78=2,2,IF(CdTrp1!O78=3,2,0)))</f>
        <v>1</v>
      </c>
      <c r="BJ50" s="168">
        <f>IF(CdTrp1!P78=1,1,IF(CdTrp1!P78=2,2,IF(CdTrp1!P78=3,2,0)))</f>
        <v>1</v>
      </c>
      <c r="BK50" s="168">
        <f>IF(CdTrp1!Q78=1,1,IF(CdTrp1!Q78=2,2,IF(CdTrp1!Q78=3,2,0)))</f>
        <v>1</v>
      </c>
      <c r="BL50" s="168">
        <f>IF(CdTrp1!R78=1,1,IF(CdTrp1!R78=2,2,IF(CdTrp1!R78=3,2,0)))</f>
        <v>1</v>
      </c>
      <c r="BM50" s="168">
        <f>IF(CdTrp1!S78=1,1,IF(CdTrp1!S78=2,2,IF(CdTrp1!S78=3,2,0)))</f>
        <v>1</v>
      </c>
      <c r="BN50" s="168">
        <f>IF(CdTrp1!T78=1,1,IF(CdTrp1!T78=2,2,IF(CdTrp1!T78=3,2,0)))</f>
        <v>1</v>
      </c>
      <c r="BO50" s="168">
        <f>IF(CdTrp1!U78=1,1,IF(CdTrp1!U78=2,2,IF(CdTrp1!U78=3,2,0)))</f>
        <v>1</v>
      </c>
      <c r="BP50" s="168">
        <f>IF(CdTrp1!V78=1,1,IF(CdTrp1!V78=2,2,IF(CdTrp1!V78=3,2,0)))</f>
        <v>1</v>
      </c>
      <c r="BQ50" s="168">
        <f>IF(CdTrp1!W78=1,1,IF(CdTrp1!W78=2,2,IF(CdTrp1!W78=3,2,0)))</f>
        <v>0</v>
      </c>
      <c r="BR50" s="168">
        <f>IF(CdTrp1!X78=1,1,IF(CdTrp1!X78=2,2,IF(CdTrp1!X78=3,2,0)))</f>
        <v>0</v>
      </c>
      <c r="BS50" s="168">
        <f>IF(CdTrp1!Y78=1,1,IF(CdTrp1!Y78=2,2,IF(CdTrp1!Y78=3,2,0)))</f>
        <v>0</v>
      </c>
      <c r="BU50" s="189">
        <v>4</v>
      </c>
      <c r="BV50" t="s">
        <v>767</v>
      </c>
      <c r="BZ50" s="182" t="str">
        <f t="shared" si="29"/>
        <v>lot3</v>
      </c>
      <c r="CA50" s="32"/>
      <c r="CB50" s="168">
        <f>IF(CdTrp2!B78=1,1,IF(CdTrp2!B78=2,2,IF(CdTrp2!B78=3,2,0)))</f>
        <v>0</v>
      </c>
      <c r="CC50" s="168">
        <f>IF(CdTrp2!C78=1,1,IF(CdTrp2!C78=2,2,IF(CdTrp2!C78=3,2,0)))</f>
        <v>0</v>
      </c>
      <c r="CD50" s="168">
        <f>IF(CdTrp2!D78=1,1,IF(CdTrp2!D78=2,2,IF(CdTrp2!D78=3,2,0)))</f>
        <v>0</v>
      </c>
      <c r="CE50" s="168">
        <f>IF(CdTrp2!E78=1,1,IF(CdTrp2!E78=2,2,IF(CdTrp2!E78=3,2,0)))</f>
        <v>0</v>
      </c>
      <c r="CF50" s="168">
        <f>IF(CdTrp2!F78=1,1,IF(CdTrp2!F78=2,2,IF(CdTrp2!F78=3,2,0)))</f>
        <v>0</v>
      </c>
      <c r="CG50" s="168">
        <f>IF(CdTrp2!G78=1,1,IF(CdTrp2!G78=2,2,IF(CdTrp2!G78=3,2,0)))</f>
        <v>0</v>
      </c>
      <c r="CH50" s="168">
        <f>IF(CdTrp2!H78=1,1,IF(CdTrp2!H78=2,2,IF(CdTrp2!H78=3,2,0)))</f>
        <v>0</v>
      </c>
      <c r="CI50" s="168">
        <f>IF(CdTrp2!I78=1,1,IF(CdTrp2!I78=2,2,IF(CdTrp2!I78=3,2,0)))</f>
        <v>0</v>
      </c>
      <c r="CJ50" s="168">
        <f>IF(CdTrp2!J78=1,1,IF(CdTrp2!J78=2,2,IF(CdTrp2!J78=3,2,0)))</f>
        <v>0</v>
      </c>
      <c r="CK50" s="168">
        <f>IF(CdTrp2!K78=1,1,IF(CdTrp2!K78=2,2,IF(CdTrp2!K78=3,2,0)))</f>
        <v>0</v>
      </c>
      <c r="CL50" s="168">
        <f>IF(CdTrp2!L78=1,1,IF(CdTrp2!L78=2,2,IF(CdTrp2!L78=3,2,0)))</f>
        <v>0</v>
      </c>
      <c r="CM50" s="168">
        <f>IF(CdTrp2!M78=1,1,IF(CdTrp2!M78=2,2,IF(CdTrp2!M78=3,2,0)))</f>
        <v>0</v>
      </c>
      <c r="CN50" s="168">
        <f>IF(CdTrp2!N78=1,1,IF(CdTrp2!N78=2,2,IF(CdTrp2!N78=3,2,0)))</f>
        <v>0</v>
      </c>
      <c r="CO50" s="168">
        <f>IF(CdTrp2!O78=1,1,IF(CdTrp2!O78=2,2,IF(CdTrp2!O78=3,2,0)))</f>
        <v>0</v>
      </c>
      <c r="CP50" s="168">
        <f>IF(CdTrp2!P78=1,1,IF(CdTrp2!P78=2,2,IF(CdTrp2!P78=3,2,0)))</f>
        <v>0</v>
      </c>
      <c r="CQ50" s="168">
        <f>IF(CdTrp2!Q78=1,1,IF(CdTrp2!Q78=2,2,IF(CdTrp2!Q78=3,2,0)))</f>
        <v>0</v>
      </c>
      <c r="CR50" s="168">
        <f>IF(CdTrp2!R78=1,1,IF(CdTrp2!R78=2,2,IF(CdTrp2!R78=3,2,0)))</f>
        <v>0</v>
      </c>
      <c r="CS50" s="168">
        <f>IF(CdTrp2!S78=1,1,IF(CdTrp2!S78=2,2,IF(CdTrp2!S78=3,2,0)))</f>
        <v>0</v>
      </c>
      <c r="CT50" s="168">
        <f>IF(CdTrp2!T78=1,1,IF(CdTrp2!T78=2,2,IF(CdTrp2!T78=3,2,0)))</f>
        <v>0</v>
      </c>
      <c r="CU50" s="168">
        <f>IF(CdTrp2!U78=1,1,IF(CdTrp2!U78=2,2,IF(CdTrp2!U78=3,2,0)))</f>
        <v>0</v>
      </c>
      <c r="CV50" s="168">
        <f>IF(CdTrp2!V78=1,1,IF(CdTrp2!V78=2,2,IF(CdTrp2!V78=3,2,0)))</f>
        <v>0</v>
      </c>
      <c r="CW50" s="168">
        <f>IF(CdTrp2!W78=1,1,IF(CdTrp2!W78=2,2,IF(CdTrp2!W78=3,2,0)))</f>
        <v>0</v>
      </c>
      <c r="CX50" s="168">
        <f>IF(CdTrp2!X78=1,1,IF(CdTrp2!X78=2,2,IF(CdTrp2!X78=3,2,0)))</f>
        <v>0</v>
      </c>
      <c r="CY50" s="168">
        <f>IF(CdTrp2!Y78=1,1,IF(CdTrp2!Y78=2,2,IF(CdTrp2!Y78=3,2,0)))</f>
        <v>0</v>
      </c>
      <c r="DC50" s="182" t="str">
        <f t="shared" si="30"/>
        <v>lot3</v>
      </c>
      <c r="DD50" s="32"/>
      <c r="DE50" s="168">
        <f>IF(CdTrp3!B78=1,1,IF(CdTrp3!B78=2,2,IF(CdTrp3!B78=3,2,0)))</f>
        <v>0</v>
      </c>
      <c r="DF50" s="168">
        <f>IF(CdTrp3!C78=1,1,IF(CdTrp3!C78=2,2,IF(CdTrp3!C78=3,2,0)))</f>
        <v>0</v>
      </c>
      <c r="DG50" s="168">
        <f>IF(CdTrp3!D78=1,1,IF(CdTrp3!D78=2,2,IF(CdTrp3!D78=3,2,0)))</f>
        <v>0</v>
      </c>
      <c r="DH50" s="168">
        <f>IF(CdTrp3!E78=1,1,IF(CdTrp3!E78=2,2,IF(CdTrp3!E78=3,2,0)))</f>
        <v>0</v>
      </c>
      <c r="DI50" s="168">
        <f>IF(CdTrp3!F78=1,1,IF(CdTrp3!F78=2,2,IF(CdTrp3!F78=3,2,0)))</f>
        <v>0</v>
      </c>
      <c r="DJ50" s="168">
        <f>IF(CdTrp3!G78=1,1,IF(CdTrp3!G78=2,2,IF(CdTrp3!G78=3,2,0)))</f>
        <v>0</v>
      </c>
      <c r="DK50" s="168">
        <f>IF(CdTrp3!H78=1,1,IF(CdTrp3!H78=2,2,IF(CdTrp3!H78=3,2,0)))</f>
        <v>0</v>
      </c>
      <c r="DL50" s="168">
        <f>IF(CdTrp3!I78=1,1,IF(CdTrp3!I78=2,2,IF(CdTrp3!I78=3,2,0)))</f>
        <v>0</v>
      </c>
      <c r="DM50" s="168">
        <f>IF(CdTrp3!J78=1,1,IF(CdTrp3!J78=2,2,IF(CdTrp3!J78=3,2,0)))</f>
        <v>0</v>
      </c>
      <c r="DN50" s="168">
        <f>IF(CdTrp3!K78=1,1,IF(CdTrp3!K78=2,2,IF(CdTrp3!K78=3,2,0)))</f>
        <v>0</v>
      </c>
      <c r="DO50" s="168">
        <f>IF(CdTrp3!L78=1,1,IF(CdTrp3!L78=2,2,IF(CdTrp3!L78=3,2,0)))</f>
        <v>0</v>
      </c>
      <c r="DP50" s="168">
        <f>IF(CdTrp3!M78=1,1,IF(CdTrp3!M78=2,2,IF(CdTrp3!M78=3,2,0)))</f>
        <v>0</v>
      </c>
      <c r="DQ50" s="168">
        <f>IF(CdTrp3!N78=1,1,IF(CdTrp3!N78=2,2,IF(CdTrp3!N78=3,2,0)))</f>
        <v>0</v>
      </c>
      <c r="DR50" s="168">
        <f>IF(CdTrp3!O78=1,1,IF(CdTrp3!O78=2,2,IF(CdTrp3!O78=3,2,0)))</f>
        <v>0</v>
      </c>
      <c r="DS50" s="168">
        <f>IF(CdTrp3!P78=1,1,IF(CdTrp3!P78=2,2,IF(CdTrp3!P78=3,2,0)))</f>
        <v>0</v>
      </c>
      <c r="DT50" s="168">
        <f>IF(CdTrp3!Q78=1,1,IF(CdTrp3!Q78=2,2,IF(CdTrp3!Q78=3,2,0)))</f>
        <v>0</v>
      </c>
      <c r="DU50" s="168">
        <f>IF(CdTrp3!R78=1,1,IF(CdTrp3!R78=2,2,IF(CdTrp3!R78=3,2,0)))</f>
        <v>0</v>
      </c>
      <c r="DV50" s="168">
        <f>IF(CdTrp3!S78=1,1,IF(CdTrp3!S78=2,2,IF(CdTrp3!S78=3,2,0)))</f>
        <v>0</v>
      </c>
      <c r="DW50" s="168">
        <f>IF(CdTrp3!T78=1,1,IF(CdTrp3!T78=2,2,IF(CdTrp3!T78=3,2,0)))</f>
        <v>0</v>
      </c>
      <c r="DX50" s="168">
        <f>IF(CdTrp3!U78=1,1,IF(CdTrp3!U78=2,2,IF(CdTrp3!U78=3,2,0)))</f>
        <v>0</v>
      </c>
      <c r="DY50" s="168">
        <f>IF(CdTrp3!V78=1,1,IF(CdTrp3!V78=2,2,IF(CdTrp3!V78=3,2,0)))</f>
        <v>0</v>
      </c>
      <c r="DZ50" s="168">
        <f>IF(CdTrp3!W78=1,1,IF(CdTrp3!W78=2,2,IF(CdTrp3!W78=3,2,0)))</f>
        <v>0</v>
      </c>
      <c r="EA50" s="168">
        <f>IF(CdTrp3!X78=1,1,IF(CdTrp3!X78=2,2,IF(CdTrp3!X78=3,2,0)))</f>
        <v>0</v>
      </c>
      <c r="EB50" s="168">
        <f>IF(CdTrp3!Y78=1,1,IF(CdTrp3!Y78=2,2,IF(CdTrp3!Y78=3,2,0)))</f>
        <v>0</v>
      </c>
    </row>
    <row r="51" spans="1:132" x14ac:dyDescent="0.25">
      <c r="A51" t="s">
        <v>768</v>
      </c>
      <c r="B51" s="168">
        <f>Scénario!K34</f>
        <v>2.7</v>
      </c>
      <c r="C51" s="183">
        <f>IF(B51&gt;[1]Trav!E117,[1]Trav!C117,[1]Trav!B117)</f>
        <v>15.7</v>
      </c>
      <c r="E51" s="166"/>
      <c r="F51" s="168">
        <f t="shared" ref="F51:F59" si="32">ROUND(B51*C51,0)</f>
        <v>42</v>
      </c>
      <c r="AR51" s="181" t="s">
        <v>730</v>
      </c>
      <c r="AT51" s="182" t="str">
        <f t="shared" si="31"/>
        <v>broutards</v>
      </c>
      <c r="AU51" s="32"/>
      <c r="AV51" s="168">
        <f>IF(CdTrp1!B79=1,1,IF(CdTrp1!B79=2,2,IF(CdTrp1!B79=3,2,0)))</f>
        <v>0</v>
      </c>
      <c r="AW51" s="168">
        <f>IF(CdTrp1!C79=1,1,IF(CdTrp1!C79=2,2,IF(CdTrp1!C79=3,2,0)))</f>
        <v>0</v>
      </c>
      <c r="AX51" s="168">
        <f>IF(CdTrp1!D79=1,1,IF(CdTrp1!D79=2,2,IF(CdTrp1!D79=3,2,0)))</f>
        <v>0</v>
      </c>
      <c r="AY51" s="168">
        <f>IF(CdTrp1!E79=1,1,IF(CdTrp1!E79=2,2,IF(CdTrp1!E79=3,2,0)))</f>
        <v>0</v>
      </c>
      <c r="AZ51" s="168">
        <f>IF(CdTrp1!F79=1,1,IF(CdTrp1!F79=2,2,IF(CdTrp1!F79=3,2,0)))</f>
        <v>0</v>
      </c>
      <c r="BA51" s="168">
        <f>IF(CdTrp1!G79=1,1,IF(CdTrp1!G79=2,2,IF(CdTrp1!G79=3,2,0)))</f>
        <v>0</v>
      </c>
      <c r="BB51" s="168">
        <f>IF(CdTrp1!H79=1,1,IF(CdTrp1!H79=2,2,IF(CdTrp1!H79=3,2,0)))</f>
        <v>0</v>
      </c>
      <c r="BC51" s="168">
        <f>IF(CdTrp1!I79=1,1,IF(CdTrp1!I79=2,2,IF(CdTrp1!I79=3,2,0)))</f>
        <v>0</v>
      </c>
      <c r="BD51" s="168">
        <f>IF(CdTrp1!J79=1,1,IF(CdTrp1!J79=2,2,IF(CdTrp1!J79=3,2,0)))</f>
        <v>0</v>
      </c>
      <c r="BE51" s="168">
        <f>IF(CdTrp1!K79=1,1,IF(CdTrp1!K79=2,2,IF(CdTrp1!K79=3,2,0)))</f>
        <v>0</v>
      </c>
      <c r="BF51" s="168">
        <f>IF(CdTrp1!L79=1,1,IF(CdTrp1!L79=2,2,IF(CdTrp1!L79=3,2,0)))</f>
        <v>0</v>
      </c>
      <c r="BG51" s="168">
        <f>IF(CdTrp1!M79=1,1,IF(CdTrp1!M79=2,2,IF(CdTrp1!M79=3,2,0)))</f>
        <v>0</v>
      </c>
      <c r="BH51" s="168">
        <f>IF(CdTrp1!N79=1,1,IF(CdTrp1!N79=2,2,IF(CdTrp1!N79=3,2,0)))</f>
        <v>0</v>
      </c>
      <c r="BI51" s="168">
        <f>IF(CdTrp1!O79=1,1,IF(CdTrp1!O79=2,2,IF(CdTrp1!O79=3,2,0)))</f>
        <v>0</v>
      </c>
      <c r="BJ51" s="168">
        <f>IF(CdTrp1!P79=1,1,IF(CdTrp1!P79=2,2,IF(CdTrp1!P79=3,2,0)))</f>
        <v>0</v>
      </c>
      <c r="BK51" s="168">
        <f>IF(CdTrp1!Q79=1,1,IF(CdTrp1!Q79=2,2,IF(CdTrp1!Q79=3,2,0)))</f>
        <v>0</v>
      </c>
      <c r="BL51" s="168">
        <f>IF(CdTrp1!R79=1,1,IF(CdTrp1!R79=2,2,IF(CdTrp1!R79=3,2,0)))</f>
        <v>0</v>
      </c>
      <c r="BM51" s="168">
        <f>IF(CdTrp1!S79=1,1,IF(CdTrp1!S79=2,2,IF(CdTrp1!S79=3,2,0)))</f>
        <v>0</v>
      </c>
      <c r="BN51" s="168">
        <f>IF(CdTrp1!T79=1,1,IF(CdTrp1!T79=2,2,IF(CdTrp1!T79=3,2,0)))</f>
        <v>0</v>
      </c>
      <c r="BO51" s="168">
        <f>IF(CdTrp1!U79=1,1,IF(CdTrp1!U79=2,2,IF(CdTrp1!U79=3,2,0)))</f>
        <v>0</v>
      </c>
      <c r="BP51" s="168">
        <f>IF(CdTrp1!V79=1,1,IF(CdTrp1!V79=2,2,IF(CdTrp1!V79=3,2,0)))</f>
        <v>0</v>
      </c>
      <c r="BQ51" s="168">
        <f>IF(CdTrp1!W79=1,1,IF(CdTrp1!W79=2,2,IF(CdTrp1!W79=3,2,0)))</f>
        <v>0</v>
      </c>
      <c r="BR51" s="168">
        <f>IF(CdTrp1!X79=1,1,IF(CdTrp1!X79=2,2,IF(CdTrp1!X79=3,2,0)))</f>
        <v>0</v>
      </c>
      <c r="BS51" s="168">
        <f>IF(CdTrp1!Y79=1,1,IF(CdTrp1!Y79=2,2,IF(CdTrp1!Y79=3,2,0)))</f>
        <v>0</v>
      </c>
      <c r="BU51">
        <v>0</v>
      </c>
      <c r="BV51" t="s">
        <v>769</v>
      </c>
      <c r="BZ51" s="182" t="str">
        <f t="shared" si="29"/>
        <v>lot4</v>
      </c>
      <c r="CA51" s="32"/>
      <c r="CB51" s="168">
        <f>IF(CdTrp2!B79=1,1,IF(CdTrp2!B79=2,2,IF(CdTrp2!B79=3,2,0)))</f>
        <v>0</v>
      </c>
      <c r="CC51" s="168">
        <f>IF(CdTrp2!C79=1,1,IF(CdTrp2!C79=2,2,IF(CdTrp2!C79=3,2,0)))</f>
        <v>0</v>
      </c>
      <c r="CD51" s="168">
        <f>IF(CdTrp2!D79=1,1,IF(CdTrp2!D79=2,2,IF(CdTrp2!D79=3,2,0)))</f>
        <v>0</v>
      </c>
      <c r="CE51" s="168">
        <f>IF(CdTrp2!E79=1,1,IF(CdTrp2!E79=2,2,IF(CdTrp2!E79=3,2,0)))</f>
        <v>0</v>
      </c>
      <c r="CF51" s="168">
        <f>IF(CdTrp2!F79=1,1,IF(CdTrp2!F79=2,2,IF(CdTrp2!F79=3,2,0)))</f>
        <v>0</v>
      </c>
      <c r="CG51" s="168">
        <f>IF(CdTrp2!G79=1,1,IF(CdTrp2!G79=2,2,IF(CdTrp2!G79=3,2,0)))</f>
        <v>0</v>
      </c>
      <c r="CH51" s="168">
        <f>IF(CdTrp2!H79=1,1,IF(CdTrp2!H79=2,2,IF(CdTrp2!H79=3,2,0)))</f>
        <v>0</v>
      </c>
      <c r="CI51" s="168">
        <f>IF(CdTrp2!I79=1,1,IF(CdTrp2!I79=2,2,IF(CdTrp2!I79=3,2,0)))</f>
        <v>0</v>
      </c>
      <c r="CJ51" s="168">
        <f>IF(CdTrp2!J79=1,1,IF(CdTrp2!J79=2,2,IF(CdTrp2!J79=3,2,0)))</f>
        <v>0</v>
      </c>
      <c r="CK51" s="168">
        <f>IF(CdTrp2!K79=1,1,IF(CdTrp2!K79=2,2,IF(CdTrp2!K79=3,2,0)))</f>
        <v>0</v>
      </c>
      <c r="CL51" s="168">
        <f>IF(CdTrp2!L79=1,1,IF(CdTrp2!L79=2,2,IF(CdTrp2!L79=3,2,0)))</f>
        <v>0</v>
      </c>
      <c r="CM51" s="168">
        <f>IF(CdTrp2!M79=1,1,IF(CdTrp2!M79=2,2,IF(CdTrp2!M79=3,2,0)))</f>
        <v>0</v>
      </c>
      <c r="CN51" s="168">
        <f>IF(CdTrp2!N79=1,1,IF(CdTrp2!N79=2,2,IF(CdTrp2!N79=3,2,0)))</f>
        <v>0</v>
      </c>
      <c r="CO51" s="168">
        <f>IF(CdTrp2!O79=1,1,IF(CdTrp2!O79=2,2,IF(CdTrp2!O79=3,2,0)))</f>
        <v>0</v>
      </c>
      <c r="CP51" s="168">
        <f>IF(CdTrp2!P79=1,1,IF(CdTrp2!P79=2,2,IF(CdTrp2!P79=3,2,0)))</f>
        <v>0</v>
      </c>
      <c r="CQ51" s="168">
        <f>IF(CdTrp2!Q79=1,1,IF(CdTrp2!Q79=2,2,IF(CdTrp2!Q79=3,2,0)))</f>
        <v>0</v>
      </c>
      <c r="CR51" s="168">
        <f>IF(CdTrp2!R79=1,1,IF(CdTrp2!R79=2,2,IF(CdTrp2!R79=3,2,0)))</f>
        <v>0</v>
      </c>
      <c r="CS51" s="168">
        <f>IF(CdTrp2!S79=1,1,IF(CdTrp2!S79=2,2,IF(CdTrp2!S79=3,2,0)))</f>
        <v>0</v>
      </c>
      <c r="CT51" s="168">
        <f>IF(CdTrp2!T79=1,1,IF(CdTrp2!T79=2,2,IF(CdTrp2!T79=3,2,0)))</f>
        <v>0</v>
      </c>
      <c r="CU51" s="168">
        <f>IF(CdTrp2!U79=1,1,IF(CdTrp2!U79=2,2,IF(CdTrp2!U79=3,2,0)))</f>
        <v>0</v>
      </c>
      <c r="CV51" s="168">
        <f>IF(CdTrp2!V79=1,1,IF(CdTrp2!V79=2,2,IF(CdTrp2!V79=3,2,0)))</f>
        <v>0</v>
      </c>
      <c r="CW51" s="168">
        <f>IF(CdTrp2!W79=1,1,IF(CdTrp2!W79=2,2,IF(CdTrp2!W79=3,2,0)))</f>
        <v>0</v>
      </c>
      <c r="CX51" s="168">
        <f>IF(CdTrp2!X79=1,1,IF(CdTrp2!X79=2,2,IF(CdTrp2!X79=3,2,0)))</f>
        <v>0</v>
      </c>
      <c r="CY51" s="168">
        <f>IF(CdTrp2!Y79=1,1,IF(CdTrp2!Y79=2,2,IF(CdTrp2!Y79=3,2,0)))</f>
        <v>0</v>
      </c>
      <c r="DC51" s="182" t="str">
        <f t="shared" si="30"/>
        <v>lot4</v>
      </c>
      <c r="DD51" s="32"/>
      <c r="DE51" s="168">
        <f>IF(CdTrp3!B79=1,1,IF(CdTrp3!B79=2,2,IF(CdTrp3!B79=3,2,0)))</f>
        <v>0</v>
      </c>
      <c r="DF51" s="168">
        <f>IF(CdTrp3!C79=1,1,IF(CdTrp3!C79=2,2,IF(CdTrp3!C79=3,2,0)))</f>
        <v>0</v>
      </c>
      <c r="DG51" s="168">
        <f>IF(CdTrp3!D79=1,1,IF(CdTrp3!D79=2,2,IF(CdTrp3!D79=3,2,0)))</f>
        <v>0</v>
      </c>
      <c r="DH51" s="168">
        <f>IF(CdTrp3!E79=1,1,IF(CdTrp3!E79=2,2,IF(CdTrp3!E79=3,2,0)))</f>
        <v>0</v>
      </c>
      <c r="DI51" s="168">
        <f>IF(CdTrp3!F79=1,1,IF(CdTrp3!F79=2,2,IF(CdTrp3!F79=3,2,0)))</f>
        <v>0</v>
      </c>
      <c r="DJ51" s="168">
        <f>IF(CdTrp3!G79=1,1,IF(CdTrp3!G79=2,2,IF(CdTrp3!G79=3,2,0)))</f>
        <v>0</v>
      </c>
      <c r="DK51" s="168">
        <f>IF(CdTrp3!H79=1,1,IF(CdTrp3!H79=2,2,IF(CdTrp3!H79=3,2,0)))</f>
        <v>0</v>
      </c>
      <c r="DL51" s="168">
        <f>IF(CdTrp3!I79=1,1,IF(CdTrp3!I79=2,2,IF(CdTrp3!I79=3,2,0)))</f>
        <v>0</v>
      </c>
      <c r="DM51" s="168">
        <f>IF(CdTrp3!J79=1,1,IF(CdTrp3!J79=2,2,IF(CdTrp3!J79=3,2,0)))</f>
        <v>0</v>
      </c>
      <c r="DN51" s="168">
        <f>IF(CdTrp3!K79=1,1,IF(CdTrp3!K79=2,2,IF(CdTrp3!K79=3,2,0)))</f>
        <v>0</v>
      </c>
      <c r="DO51" s="168">
        <f>IF(CdTrp3!L79=1,1,IF(CdTrp3!L79=2,2,IF(CdTrp3!L79=3,2,0)))</f>
        <v>0</v>
      </c>
      <c r="DP51" s="168">
        <f>IF(CdTrp3!M79=1,1,IF(CdTrp3!M79=2,2,IF(CdTrp3!M79=3,2,0)))</f>
        <v>0</v>
      </c>
      <c r="DQ51" s="168">
        <f>IF(CdTrp3!N79=1,1,IF(CdTrp3!N79=2,2,IF(CdTrp3!N79=3,2,0)))</f>
        <v>0</v>
      </c>
      <c r="DR51" s="168">
        <f>IF(CdTrp3!O79=1,1,IF(CdTrp3!O79=2,2,IF(CdTrp3!O79=3,2,0)))</f>
        <v>0</v>
      </c>
      <c r="DS51" s="168">
        <f>IF(CdTrp3!P79=1,1,IF(CdTrp3!P79=2,2,IF(CdTrp3!P79=3,2,0)))</f>
        <v>0</v>
      </c>
      <c r="DT51" s="168">
        <f>IF(CdTrp3!Q79=1,1,IF(CdTrp3!Q79=2,2,IF(CdTrp3!Q79=3,2,0)))</f>
        <v>0</v>
      </c>
      <c r="DU51" s="168">
        <f>IF(CdTrp3!R79=1,1,IF(CdTrp3!R79=2,2,IF(CdTrp3!R79=3,2,0)))</f>
        <v>0</v>
      </c>
      <c r="DV51" s="168">
        <f>IF(CdTrp3!S79=1,1,IF(CdTrp3!S79=2,2,IF(CdTrp3!S79=3,2,0)))</f>
        <v>0</v>
      </c>
      <c r="DW51" s="168">
        <f>IF(CdTrp3!T79=1,1,IF(CdTrp3!T79=2,2,IF(CdTrp3!T79=3,2,0)))</f>
        <v>0</v>
      </c>
      <c r="DX51" s="168">
        <f>IF(CdTrp3!U79=1,1,IF(CdTrp3!U79=2,2,IF(CdTrp3!U79=3,2,0)))</f>
        <v>0</v>
      </c>
      <c r="DY51" s="168">
        <f>IF(CdTrp3!V79=1,1,IF(CdTrp3!V79=2,2,IF(CdTrp3!V79=3,2,0)))</f>
        <v>0</v>
      </c>
      <c r="DZ51" s="168">
        <f>IF(CdTrp3!W79=1,1,IF(CdTrp3!W79=2,2,IF(CdTrp3!W79=3,2,0)))</f>
        <v>0</v>
      </c>
      <c r="EA51" s="168">
        <f>IF(CdTrp3!X79=1,1,IF(CdTrp3!X79=2,2,IF(CdTrp3!X79=3,2,0)))</f>
        <v>0</v>
      </c>
      <c r="EB51" s="168">
        <f>IF(CdTrp3!Y79=1,1,IF(CdTrp3!Y79=2,2,IF(CdTrp3!Y79=3,2,0)))</f>
        <v>0</v>
      </c>
    </row>
    <row r="52" spans="1:132" x14ac:dyDescent="0.25">
      <c r="A52" s="5" t="s">
        <v>770</v>
      </c>
      <c r="B52" s="168">
        <f>Scénario!K40/[1]Trav!$B$124</f>
        <v>1.25</v>
      </c>
      <c r="C52" s="183">
        <f>IF(B52&gt;[1]Trav!E118,[1]Trav!C118,[1]Trav!B118)/[1]Trav!$B$124</f>
        <v>0.92500000000000004</v>
      </c>
      <c r="D52"/>
      <c r="E52" s="166"/>
      <c r="F52" s="168">
        <f t="shared" si="32"/>
        <v>1</v>
      </c>
      <c r="AR52" s="181" t="s">
        <v>730</v>
      </c>
      <c r="AT52" s="182" t="str">
        <f t="shared" si="31"/>
        <v>génisses &lt; 1 an</v>
      </c>
      <c r="AU52" s="32"/>
      <c r="AV52" s="168">
        <f>IF(CdTrp1!B80=1,1,IF(CdTrp1!B80=2,2,IF(CdTrp1!B80=3,2,0)))</f>
        <v>0</v>
      </c>
      <c r="AW52" s="168">
        <f>IF(CdTrp1!C80=1,1,IF(CdTrp1!C80=2,2,IF(CdTrp1!C80=3,2,0)))</f>
        <v>0</v>
      </c>
      <c r="AX52" s="168">
        <f>IF(CdTrp1!D80=1,1,IF(CdTrp1!D80=2,2,IF(CdTrp1!D80=3,2,0)))</f>
        <v>0</v>
      </c>
      <c r="AY52" s="168">
        <f>IF(CdTrp1!E80=1,1,IF(CdTrp1!E80=2,2,IF(CdTrp1!E80=3,2,0)))</f>
        <v>0</v>
      </c>
      <c r="AZ52" s="168">
        <f>IF(CdTrp1!F80=1,1,IF(CdTrp1!F80=2,2,IF(CdTrp1!F80=3,2,0)))</f>
        <v>0</v>
      </c>
      <c r="BA52" s="168">
        <f>IF(CdTrp1!G80=1,1,IF(CdTrp1!G80=2,2,IF(CdTrp1!G80=3,2,0)))</f>
        <v>0</v>
      </c>
      <c r="BB52" s="168">
        <f>IF(CdTrp1!H80=1,1,IF(CdTrp1!H80=2,2,IF(CdTrp1!H80=3,2,0)))</f>
        <v>0</v>
      </c>
      <c r="BC52" s="168">
        <f>IF(CdTrp1!I80=1,1,IF(CdTrp1!I80=2,2,IF(CdTrp1!I80=3,2,0)))</f>
        <v>0</v>
      </c>
      <c r="BD52" s="168">
        <f>IF(CdTrp1!J80=1,1,IF(CdTrp1!J80=2,2,IF(CdTrp1!J80=3,2,0)))</f>
        <v>0</v>
      </c>
      <c r="BE52" s="168">
        <f>IF(CdTrp1!K80=1,1,IF(CdTrp1!K80=2,2,IF(CdTrp1!K80=3,2,0)))</f>
        <v>0</v>
      </c>
      <c r="BF52" s="168">
        <f>IF(CdTrp1!L80=1,1,IF(CdTrp1!L80=2,2,IF(CdTrp1!L80=3,2,0)))</f>
        <v>0</v>
      </c>
      <c r="BG52" s="168">
        <f>IF(CdTrp1!M80=1,1,IF(CdTrp1!M80=2,2,IF(CdTrp1!M80=3,2,0)))</f>
        <v>0</v>
      </c>
      <c r="BH52" s="168">
        <f>IF(CdTrp1!N80=1,1,IF(CdTrp1!N80=2,2,IF(CdTrp1!N80=3,2,0)))</f>
        <v>0</v>
      </c>
      <c r="BI52" s="168">
        <f>IF(CdTrp1!O80=1,1,IF(CdTrp1!O80=2,2,IF(CdTrp1!O80=3,2,0)))</f>
        <v>0</v>
      </c>
      <c r="BJ52" s="168">
        <f>IF(CdTrp1!P80=1,1,IF(CdTrp1!P80=2,2,IF(CdTrp1!P80=3,2,0)))</f>
        <v>0</v>
      </c>
      <c r="BK52" s="168">
        <f>IF(CdTrp1!Q80=1,1,IF(CdTrp1!Q80=2,2,IF(CdTrp1!Q80=3,2,0)))</f>
        <v>0</v>
      </c>
      <c r="BL52" s="168">
        <f>IF(CdTrp1!R80=1,1,IF(CdTrp1!R80=2,2,IF(CdTrp1!R80=3,2,0)))</f>
        <v>0</v>
      </c>
      <c r="BM52" s="168">
        <f>IF(CdTrp1!S80=1,1,IF(CdTrp1!S80=2,2,IF(CdTrp1!S80=3,2,0)))</f>
        <v>0</v>
      </c>
      <c r="BN52" s="168">
        <f>IF(CdTrp1!T80=1,1,IF(CdTrp1!T80=2,2,IF(CdTrp1!T80=3,2,0)))</f>
        <v>0</v>
      </c>
      <c r="BO52" s="168">
        <f>IF(CdTrp1!U80=1,1,IF(CdTrp1!U80=2,2,IF(CdTrp1!U80=3,2,0)))</f>
        <v>0</v>
      </c>
      <c r="BP52" s="168">
        <f>IF(CdTrp1!V80=1,1,IF(CdTrp1!V80=2,2,IF(CdTrp1!V80=3,2,0)))</f>
        <v>0</v>
      </c>
      <c r="BQ52" s="168">
        <f>IF(CdTrp1!W80=1,1,IF(CdTrp1!W80=2,2,IF(CdTrp1!W80=3,2,0)))</f>
        <v>0</v>
      </c>
      <c r="BR52" s="168">
        <f>IF(CdTrp1!X80=1,1,IF(CdTrp1!X80=2,2,IF(CdTrp1!X80=3,2,0)))</f>
        <v>0</v>
      </c>
      <c r="BS52" s="168">
        <f>IF(CdTrp1!Y80=1,1,IF(CdTrp1!Y80=2,2,IF(CdTrp1!Y80=3,2,0)))</f>
        <v>0</v>
      </c>
      <c r="BZ52" s="182" t="str">
        <f t="shared" si="29"/>
        <v>lot5</v>
      </c>
      <c r="CA52" s="32"/>
      <c r="CB52" s="168">
        <f>IF(CdTrp2!B80=1,1,IF(CdTrp2!B80=2,2,IF(CdTrp2!B80=3,2,0)))</f>
        <v>0</v>
      </c>
      <c r="CC52" s="168">
        <f>IF(CdTrp2!C80=1,1,IF(CdTrp2!C80=2,2,IF(CdTrp2!C80=3,2,0)))</f>
        <v>0</v>
      </c>
      <c r="CD52" s="168">
        <f>IF(CdTrp2!D80=1,1,IF(CdTrp2!D80=2,2,IF(CdTrp2!D80=3,2,0)))</f>
        <v>0</v>
      </c>
      <c r="CE52" s="168">
        <f>IF(CdTrp2!E80=1,1,IF(CdTrp2!E80=2,2,IF(CdTrp2!E80=3,2,0)))</f>
        <v>0</v>
      </c>
      <c r="CF52" s="168">
        <f>IF(CdTrp2!F80=1,1,IF(CdTrp2!F80=2,2,IF(CdTrp2!F80=3,2,0)))</f>
        <v>0</v>
      </c>
      <c r="CG52" s="168">
        <f>IF(CdTrp2!G80=1,1,IF(CdTrp2!G80=2,2,IF(CdTrp2!G80=3,2,0)))</f>
        <v>0</v>
      </c>
      <c r="CH52" s="168">
        <f>IF(CdTrp2!H80=1,1,IF(CdTrp2!H80=2,2,IF(CdTrp2!H80=3,2,0)))</f>
        <v>0</v>
      </c>
      <c r="CI52" s="168">
        <f>IF(CdTrp2!I80=1,1,IF(CdTrp2!I80=2,2,IF(CdTrp2!I80=3,2,0)))</f>
        <v>0</v>
      </c>
      <c r="CJ52" s="168">
        <f>IF(CdTrp2!J80=1,1,IF(CdTrp2!J80=2,2,IF(CdTrp2!J80=3,2,0)))</f>
        <v>0</v>
      </c>
      <c r="CK52" s="168">
        <f>IF(CdTrp2!K80=1,1,IF(CdTrp2!K80=2,2,IF(CdTrp2!K80=3,2,0)))</f>
        <v>0</v>
      </c>
      <c r="CL52" s="168">
        <f>IF(CdTrp2!L80=1,1,IF(CdTrp2!L80=2,2,IF(CdTrp2!L80=3,2,0)))</f>
        <v>0</v>
      </c>
      <c r="CM52" s="168">
        <f>IF(CdTrp2!M80=1,1,IF(CdTrp2!M80=2,2,IF(CdTrp2!M80=3,2,0)))</f>
        <v>0</v>
      </c>
      <c r="CN52" s="168">
        <f>IF(CdTrp2!N80=1,1,IF(CdTrp2!N80=2,2,IF(CdTrp2!N80=3,2,0)))</f>
        <v>0</v>
      </c>
      <c r="CO52" s="168">
        <f>IF(CdTrp2!O80=1,1,IF(CdTrp2!O80=2,2,IF(CdTrp2!O80=3,2,0)))</f>
        <v>0</v>
      </c>
      <c r="CP52" s="168">
        <f>IF(CdTrp2!P80=1,1,IF(CdTrp2!P80=2,2,IF(CdTrp2!P80=3,2,0)))</f>
        <v>0</v>
      </c>
      <c r="CQ52" s="168">
        <f>IF(CdTrp2!Q80=1,1,IF(CdTrp2!Q80=2,2,IF(CdTrp2!Q80=3,2,0)))</f>
        <v>0</v>
      </c>
      <c r="CR52" s="168">
        <f>IF(CdTrp2!R80=1,1,IF(CdTrp2!R80=2,2,IF(CdTrp2!R80=3,2,0)))</f>
        <v>0</v>
      </c>
      <c r="CS52" s="168">
        <f>IF(CdTrp2!S80=1,1,IF(CdTrp2!S80=2,2,IF(CdTrp2!S80=3,2,0)))</f>
        <v>0</v>
      </c>
      <c r="CT52" s="168">
        <f>IF(CdTrp2!T80=1,1,IF(CdTrp2!T80=2,2,IF(CdTrp2!T80=3,2,0)))</f>
        <v>0</v>
      </c>
      <c r="CU52" s="168">
        <f>IF(CdTrp2!U80=1,1,IF(CdTrp2!U80=2,2,IF(CdTrp2!U80=3,2,0)))</f>
        <v>0</v>
      </c>
      <c r="CV52" s="168">
        <f>IF(CdTrp2!V80=1,1,IF(CdTrp2!V80=2,2,IF(CdTrp2!V80=3,2,0)))</f>
        <v>0</v>
      </c>
      <c r="CW52" s="168">
        <f>IF(CdTrp2!W80=1,1,IF(CdTrp2!W80=2,2,IF(CdTrp2!W80=3,2,0)))</f>
        <v>0</v>
      </c>
      <c r="CX52" s="168">
        <f>IF(CdTrp2!X80=1,1,IF(CdTrp2!X80=2,2,IF(CdTrp2!X80=3,2,0)))</f>
        <v>0</v>
      </c>
      <c r="CY52" s="168">
        <f>IF(CdTrp2!Y80=1,1,IF(CdTrp2!Y80=2,2,IF(CdTrp2!Y80=3,2,0)))</f>
        <v>0</v>
      </c>
      <c r="DC52" s="182" t="str">
        <f t="shared" si="30"/>
        <v>lot5</v>
      </c>
      <c r="DD52" s="32"/>
      <c r="DE52" s="168">
        <f>IF(CdTrp3!B80=1,1,IF(CdTrp3!B80=2,2,IF(CdTrp3!B80=3,2,0)))</f>
        <v>0</v>
      </c>
      <c r="DF52" s="168">
        <f>IF(CdTrp3!C80=1,1,IF(CdTrp3!C80=2,2,IF(CdTrp3!C80=3,2,0)))</f>
        <v>0</v>
      </c>
      <c r="DG52" s="168">
        <f>IF(CdTrp3!D80=1,1,IF(CdTrp3!D80=2,2,IF(CdTrp3!D80=3,2,0)))</f>
        <v>0</v>
      </c>
      <c r="DH52" s="168">
        <f>IF(CdTrp3!E80=1,1,IF(CdTrp3!E80=2,2,IF(CdTrp3!E80=3,2,0)))</f>
        <v>0</v>
      </c>
      <c r="DI52" s="168">
        <f>IF(CdTrp3!F80=1,1,IF(CdTrp3!F80=2,2,IF(CdTrp3!F80=3,2,0)))</f>
        <v>0</v>
      </c>
      <c r="DJ52" s="168">
        <f>IF(CdTrp3!G80=1,1,IF(CdTrp3!G80=2,2,IF(CdTrp3!G80=3,2,0)))</f>
        <v>0</v>
      </c>
      <c r="DK52" s="168">
        <f>IF(CdTrp3!H80=1,1,IF(CdTrp3!H80=2,2,IF(CdTrp3!H80=3,2,0)))</f>
        <v>0</v>
      </c>
      <c r="DL52" s="168">
        <f>IF(CdTrp3!I80=1,1,IF(CdTrp3!I80=2,2,IF(CdTrp3!I80=3,2,0)))</f>
        <v>0</v>
      </c>
      <c r="DM52" s="168">
        <f>IF(CdTrp3!J80=1,1,IF(CdTrp3!J80=2,2,IF(CdTrp3!J80=3,2,0)))</f>
        <v>0</v>
      </c>
      <c r="DN52" s="168">
        <f>IF(CdTrp3!K80=1,1,IF(CdTrp3!K80=2,2,IF(CdTrp3!K80=3,2,0)))</f>
        <v>0</v>
      </c>
      <c r="DO52" s="168">
        <f>IF(CdTrp3!L80=1,1,IF(CdTrp3!L80=2,2,IF(CdTrp3!L80=3,2,0)))</f>
        <v>0</v>
      </c>
      <c r="DP52" s="168">
        <f>IF(CdTrp3!M80=1,1,IF(CdTrp3!M80=2,2,IF(CdTrp3!M80=3,2,0)))</f>
        <v>0</v>
      </c>
      <c r="DQ52" s="168">
        <f>IF(CdTrp3!N80=1,1,IF(CdTrp3!N80=2,2,IF(CdTrp3!N80=3,2,0)))</f>
        <v>0</v>
      </c>
      <c r="DR52" s="168">
        <f>IF(CdTrp3!O80=1,1,IF(CdTrp3!O80=2,2,IF(CdTrp3!O80=3,2,0)))</f>
        <v>0</v>
      </c>
      <c r="DS52" s="168">
        <f>IF(CdTrp3!P80=1,1,IF(CdTrp3!P80=2,2,IF(CdTrp3!P80=3,2,0)))</f>
        <v>0</v>
      </c>
      <c r="DT52" s="168">
        <f>IF(CdTrp3!Q80=1,1,IF(CdTrp3!Q80=2,2,IF(CdTrp3!Q80=3,2,0)))</f>
        <v>0</v>
      </c>
      <c r="DU52" s="168">
        <f>IF(CdTrp3!R80=1,1,IF(CdTrp3!R80=2,2,IF(CdTrp3!R80=3,2,0)))</f>
        <v>0</v>
      </c>
      <c r="DV52" s="168">
        <f>IF(CdTrp3!S80=1,1,IF(CdTrp3!S80=2,2,IF(CdTrp3!S80=3,2,0)))</f>
        <v>0</v>
      </c>
      <c r="DW52" s="168">
        <f>IF(CdTrp3!T80=1,1,IF(CdTrp3!T80=2,2,IF(CdTrp3!T80=3,2,0)))</f>
        <v>0</v>
      </c>
      <c r="DX52" s="168">
        <f>IF(CdTrp3!U80=1,1,IF(CdTrp3!U80=2,2,IF(CdTrp3!U80=3,2,0)))</f>
        <v>0</v>
      </c>
      <c r="DY52" s="168">
        <f>IF(CdTrp3!V80=1,1,IF(CdTrp3!V80=2,2,IF(CdTrp3!V80=3,2,0)))</f>
        <v>0</v>
      </c>
      <c r="DZ52" s="168">
        <f>IF(CdTrp3!W80=1,1,IF(CdTrp3!W80=2,2,IF(CdTrp3!W80=3,2,0)))</f>
        <v>0</v>
      </c>
      <c r="EA52" s="168">
        <f>IF(CdTrp3!X80=1,1,IF(CdTrp3!X80=2,2,IF(CdTrp3!X80=3,2,0)))</f>
        <v>0</v>
      </c>
      <c r="EB52" s="168">
        <f>IF(CdTrp3!Y80=1,1,IF(CdTrp3!Y80=2,2,IF(CdTrp3!Y80=3,2,0)))</f>
        <v>0</v>
      </c>
    </row>
    <row r="53" spans="1:132" x14ac:dyDescent="0.25">
      <c r="A53" s="5" t="s">
        <v>771</v>
      </c>
      <c r="B53" s="168">
        <f>Scénario!K42</f>
        <v>0</v>
      </c>
      <c r="C53" s="183">
        <f>IF(B53&gt;[1]Trav!E118,[1]Trav!C118,[1]Trav!B118)</f>
        <v>3.7</v>
      </c>
      <c r="D53"/>
      <c r="E53" s="166"/>
      <c r="F53" s="168">
        <f t="shared" si="32"/>
        <v>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181" t="s">
        <v>730</v>
      </c>
      <c r="AT53" s="182" t="str">
        <f t="shared" si="31"/>
        <v>lot6</v>
      </c>
      <c r="AU53" s="32"/>
      <c r="AV53" s="168">
        <f>IF(CdTrp1!B81=1,1,IF(CdTrp1!B81=2,2,IF(CdTrp1!B81=3,2,0)))</f>
        <v>0</v>
      </c>
      <c r="AW53" s="168">
        <f>IF(CdTrp1!C81=1,1,IF(CdTrp1!C81=2,2,IF(CdTrp1!C81=3,2,0)))</f>
        <v>0</v>
      </c>
      <c r="AX53" s="168">
        <f>IF(CdTrp1!D81=1,1,IF(CdTrp1!D81=2,2,IF(CdTrp1!D81=3,2,0)))</f>
        <v>0</v>
      </c>
      <c r="AY53" s="168">
        <f>IF(CdTrp1!E81=1,1,IF(CdTrp1!E81=2,2,IF(CdTrp1!E81=3,2,0)))</f>
        <v>0</v>
      </c>
      <c r="AZ53" s="168">
        <f>IF(CdTrp1!F81=1,1,IF(CdTrp1!F81=2,2,IF(CdTrp1!F81=3,2,0)))</f>
        <v>0</v>
      </c>
      <c r="BA53" s="168">
        <f>IF(CdTrp1!G81=1,1,IF(CdTrp1!G81=2,2,IF(CdTrp1!G81=3,2,0)))</f>
        <v>0</v>
      </c>
      <c r="BB53" s="168">
        <f>IF(CdTrp1!H81=1,1,IF(CdTrp1!H81=2,2,IF(CdTrp1!H81=3,2,0)))</f>
        <v>0</v>
      </c>
      <c r="BC53" s="168">
        <f>IF(CdTrp1!I81=1,1,IF(CdTrp1!I81=2,2,IF(CdTrp1!I81=3,2,0)))</f>
        <v>0</v>
      </c>
      <c r="BD53" s="168">
        <f>IF(CdTrp1!J81=1,1,IF(CdTrp1!J81=2,2,IF(CdTrp1!J81=3,2,0)))</f>
        <v>0</v>
      </c>
      <c r="BE53" s="168">
        <f>IF(CdTrp1!K81=1,1,IF(CdTrp1!K81=2,2,IF(CdTrp1!K81=3,2,0)))</f>
        <v>0</v>
      </c>
      <c r="BF53" s="168">
        <f>IF(CdTrp1!L81=1,1,IF(CdTrp1!L81=2,2,IF(CdTrp1!L81=3,2,0)))</f>
        <v>0</v>
      </c>
      <c r="BG53" s="168">
        <f>IF(CdTrp1!M81=1,1,IF(CdTrp1!M81=2,2,IF(CdTrp1!M81=3,2,0)))</f>
        <v>0</v>
      </c>
      <c r="BH53" s="168">
        <f>IF(CdTrp1!N81=1,1,IF(CdTrp1!N81=2,2,IF(CdTrp1!N81=3,2,0)))</f>
        <v>0</v>
      </c>
      <c r="BI53" s="168">
        <f>IF(CdTrp1!O81=1,1,IF(CdTrp1!O81=2,2,IF(CdTrp1!O81=3,2,0)))</f>
        <v>0</v>
      </c>
      <c r="BJ53" s="168">
        <f>IF(CdTrp1!P81=1,1,IF(CdTrp1!P81=2,2,IF(CdTrp1!P81=3,2,0)))</f>
        <v>0</v>
      </c>
      <c r="BK53" s="168">
        <f>IF(CdTrp1!Q81=1,1,IF(CdTrp1!Q81=2,2,IF(CdTrp1!Q81=3,2,0)))</f>
        <v>0</v>
      </c>
      <c r="BL53" s="168">
        <f>IF(CdTrp1!R81=1,1,IF(CdTrp1!R81=2,2,IF(CdTrp1!R81=3,2,0)))</f>
        <v>0</v>
      </c>
      <c r="BM53" s="168">
        <f>IF(CdTrp1!S81=1,1,IF(CdTrp1!S81=2,2,IF(CdTrp1!S81=3,2,0)))</f>
        <v>0</v>
      </c>
      <c r="BN53" s="168">
        <f>IF(CdTrp1!T81=1,1,IF(CdTrp1!T81=2,2,IF(CdTrp1!T81=3,2,0)))</f>
        <v>0</v>
      </c>
      <c r="BO53" s="168">
        <f>IF(CdTrp1!U81=1,1,IF(CdTrp1!U81=2,2,IF(CdTrp1!U81=3,2,0)))</f>
        <v>0</v>
      </c>
      <c r="BP53" s="168">
        <f>IF(CdTrp1!V81=1,1,IF(CdTrp1!V81=2,2,IF(CdTrp1!V81=3,2,0)))</f>
        <v>0</v>
      </c>
      <c r="BQ53" s="168">
        <f>IF(CdTrp1!W81=1,1,IF(CdTrp1!W81=2,2,IF(CdTrp1!W81=3,2,0)))</f>
        <v>0</v>
      </c>
      <c r="BR53" s="168">
        <f>IF(CdTrp1!X81=1,1,IF(CdTrp1!X81=2,2,IF(CdTrp1!X81=3,2,0)))</f>
        <v>0</v>
      </c>
      <c r="BS53" s="168">
        <f>IF(CdTrp1!Y81=1,1,IF(CdTrp1!Y81=2,2,IF(CdTrp1!Y81=3,2,0)))</f>
        <v>0</v>
      </c>
      <c r="BZ53" s="182" t="str">
        <f t="shared" si="29"/>
        <v>lot6</v>
      </c>
      <c r="CA53" s="32"/>
      <c r="CB53" s="168">
        <f>IF(CdTrp2!B81=1,1,IF(CdTrp2!B81=2,2,IF(CdTrp2!B81=3,2,0)))</f>
        <v>0</v>
      </c>
      <c r="CC53" s="168">
        <f>IF(CdTrp2!C81=1,1,IF(CdTrp2!C81=2,2,IF(CdTrp2!C81=3,2,0)))</f>
        <v>0</v>
      </c>
      <c r="CD53" s="168">
        <f>IF(CdTrp2!D81=1,1,IF(CdTrp2!D81=2,2,IF(CdTrp2!D81=3,2,0)))</f>
        <v>0</v>
      </c>
      <c r="CE53" s="168">
        <f>IF(CdTrp2!E81=1,1,IF(CdTrp2!E81=2,2,IF(CdTrp2!E81=3,2,0)))</f>
        <v>0</v>
      </c>
      <c r="CF53" s="168">
        <f>IF(CdTrp2!F81=1,1,IF(CdTrp2!F81=2,2,IF(CdTrp2!F81=3,2,0)))</f>
        <v>0</v>
      </c>
      <c r="CG53" s="168">
        <f>IF(CdTrp2!G81=1,1,IF(CdTrp2!G81=2,2,IF(CdTrp2!G81=3,2,0)))</f>
        <v>0</v>
      </c>
      <c r="CH53" s="168">
        <f>IF(CdTrp2!H81=1,1,IF(CdTrp2!H81=2,2,IF(CdTrp2!H81=3,2,0)))</f>
        <v>0</v>
      </c>
      <c r="CI53" s="168">
        <f>IF(CdTrp2!I81=1,1,IF(CdTrp2!I81=2,2,IF(CdTrp2!I81=3,2,0)))</f>
        <v>0</v>
      </c>
      <c r="CJ53" s="168">
        <f>IF(CdTrp2!J81=1,1,IF(CdTrp2!J81=2,2,IF(CdTrp2!J81=3,2,0)))</f>
        <v>0</v>
      </c>
      <c r="CK53" s="168">
        <f>IF(CdTrp2!K81=1,1,IF(CdTrp2!K81=2,2,IF(CdTrp2!K81=3,2,0)))</f>
        <v>0</v>
      </c>
      <c r="CL53" s="168">
        <f>IF(CdTrp2!L81=1,1,IF(CdTrp2!L81=2,2,IF(CdTrp2!L81=3,2,0)))</f>
        <v>0</v>
      </c>
      <c r="CM53" s="168">
        <f>IF(CdTrp2!M81=1,1,IF(CdTrp2!M81=2,2,IF(CdTrp2!M81=3,2,0)))</f>
        <v>0</v>
      </c>
      <c r="CN53" s="168">
        <f>IF(CdTrp2!N81=1,1,IF(CdTrp2!N81=2,2,IF(CdTrp2!N81=3,2,0)))</f>
        <v>0</v>
      </c>
      <c r="CO53" s="168">
        <f>IF(CdTrp2!O81=1,1,IF(CdTrp2!O81=2,2,IF(CdTrp2!O81=3,2,0)))</f>
        <v>0</v>
      </c>
      <c r="CP53" s="168">
        <f>IF(CdTrp2!P81=1,1,IF(CdTrp2!P81=2,2,IF(CdTrp2!P81=3,2,0)))</f>
        <v>0</v>
      </c>
      <c r="CQ53" s="168">
        <f>IF(CdTrp2!Q81=1,1,IF(CdTrp2!Q81=2,2,IF(CdTrp2!Q81=3,2,0)))</f>
        <v>0</v>
      </c>
      <c r="CR53" s="168">
        <f>IF(CdTrp2!R81=1,1,IF(CdTrp2!R81=2,2,IF(CdTrp2!R81=3,2,0)))</f>
        <v>0</v>
      </c>
      <c r="CS53" s="168">
        <f>IF(CdTrp2!S81=1,1,IF(CdTrp2!S81=2,2,IF(CdTrp2!S81=3,2,0)))</f>
        <v>0</v>
      </c>
      <c r="CT53" s="168">
        <f>IF(CdTrp2!T81=1,1,IF(CdTrp2!T81=2,2,IF(CdTrp2!T81=3,2,0)))</f>
        <v>0</v>
      </c>
      <c r="CU53" s="168">
        <f>IF(CdTrp2!U81=1,1,IF(CdTrp2!U81=2,2,IF(CdTrp2!U81=3,2,0)))</f>
        <v>0</v>
      </c>
      <c r="CV53" s="168">
        <f>IF(CdTrp2!V81=1,1,IF(CdTrp2!V81=2,2,IF(CdTrp2!V81=3,2,0)))</f>
        <v>0</v>
      </c>
      <c r="CW53" s="168">
        <f>IF(CdTrp2!W81=1,1,IF(CdTrp2!W81=2,2,IF(CdTrp2!W81=3,2,0)))</f>
        <v>0</v>
      </c>
      <c r="CX53" s="168">
        <f>IF(CdTrp2!X81=1,1,IF(CdTrp2!X81=2,2,IF(CdTrp2!X81=3,2,0)))</f>
        <v>0</v>
      </c>
      <c r="CY53" s="168">
        <f>IF(CdTrp2!Y81=1,1,IF(CdTrp2!Y81=2,2,IF(CdTrp2!Y81=3,2,0)))</f>
        <v>0</v>
      </c>
      <c r="DC53" s="182" t="str">
        <f t="shared" si="30"/>
        <v>lot6</v>
      </c>
      <c r="DD53" s="32"/>
      <c r="DE53" s="168">
        <f>IF(CdTrp3!B81=1,1,IF(CdTrp3!B81=2,2,IF(CdTrp3!B81=3,2,0)))</f>
        <v>0</v>
      </c>
      <c r="DF53" s="168">
        <f>IF(CdTrp3!C81=1,1,IF(CdTrp3!C81=2,2,IF(CdTrp3!C81=3,2,0)))</f>
        <v>0</v>
      </c>
      <c r="DG53" s="168">
        <f>IF(CdTrp3!D81=1,1,IF(CdTrp3!D81=2,2,IF(CdTrp3!D81=3,2,0)))</f>
        <v>0</v>
      </c>
      <c r="DH53" s="168">
        <f>IF(CdTrp3!E81=1,1,IF(CdTrp3!E81=2,2,IF(CdTrp3!E81=3,2,0)))</f>
        <v>0</v>
      </c>
      <c r="DI53" s="168">
        <f>IF(CdTrp3!F81=1,1,IF(CdTrp3!F81=2,2,IF(CdTrp3!F81=3,2,0)))</f>
        <v>0</v>
      </c>
      <c r="DJ53" s="168">
        <f>IF(CdTrp3!G81=1,1,IF(CdTrp3!G81=2,2,IF(CdTrp3!G81=3,2,0)))</f>
        <v>0</v>
      </c>
      <c r="DK53" s="168">
        <f>IF(CdTrp3!H81=1,1,IF(CdTrp3!H81=2,2,IF(CdTrp3!H81=3,2,0)))</f>
        <v>0</v>
      </c>
      <c r="DL53" s="168">
        <f>IF(CdTrp3!I81=1,1,IF(CdTrp3!I81=2,2,IF(CdTrp3!I81=3,2,0)))</f>
        <v>0</v>
      </c>
      <c r="DM53" s="168">
        <f>IF(CdTrp3!J81=1,1,IF(CdTrp3!J81=2,2,IF(CdTrp3!J81=3,2,0)))</f>
        <v>0</v>
      </c>
      <c r="DN53" s="168">
        <f>IF(CdTrp3!K81=1,1,IF(CdTrp3!K81=2,2,IF(CdTrp3!K81=3,2,0)))</f>
        <v>0</v>
      </c>
      <c r="DO53" s="168">
        <f>IF(CdTrp3!L81=1,1,IF(CdTrp3!L81=2,2,IF(CdTrp3!L81=3,2,0)))</f>
        <v>0</v>
      </c>
      <c r="DP53" s="168">
        <f>IF(CdTrp3!M81=1,1,IF(CdTrp3!M81=2,2,IF(CdTrp3!M81=3,2,0)))</f>
        <v>0</v>
      </c>
      <c r="DQ53" s="168">
        <f>IF(CdTrp3!N81=1,1,IF(CdTrp3!N81=2,2,IF(CdTrp3!N81=3,2,0)))</f>
        <v>0</v>
      </c>
      <c r="DR53" s="168">
        <f>IF(CdTrp3!O81=1,1,IF(CdTrp3!O81=2,2,IF(CdTrp3!O81=3,2,0)))</f>
        <v>0</v>
      </c>
      <c r="DS53" s="168">
        <f>IF(CdTrp3!P81=1,1,IF(CdTrp3!P81=2,2,IF(CdTrp3!P81=3,2,0)))</f>
        <v>0</v>
      </c>
      <c r="DT53" s="168">
        <f>IF(CdTrp3!Q81=1,1,IF(CdTrp3!Q81=2,2,IF(CdTrp3!Q81=3,2,0)))</f>
        <v>0</v>
      </c>
      <c r="DU53" s="168">
        <f>IF(CdTrp3!R81=1,1,IF(CdTrp3!R81=2,2,IF(CdTrp3!R81=3,2,0)))</f>
        <v>0</v>
      </c>
      <c r="DV53" s="168">
        <f>IF(CdTrp3!S81=1,1,IF(CdTrp3!S81=2,2,IF(CdTrp3!S81=3,2,0)))</f>
        <v>0</v>
      </c>
      <c r="DW53" s="168">
        <f>IF(CdTrp3!T81=1,1,IF(CdTrp3!T81=2,2,IF(CdTrp3!T81=3,2,0)))</f>
        <v>0</v>
      </c>
      <c r="DX53" s="168">
        <f>IF(CdTrp3!U81=1,1,IF(CdTrp3!U81=2,2,IF(CdTrp3!U81=3,2,0)))</f>
        <v>0</v>
      </c>
      <c r="DY53" s="168">
        <f>IF(CdTrp3!V81=1,1,IF(CdTrp3!V81=2,2,IF(CdTrp3!V81=3,2,0)))</f>
        <v>0</v>
      </c>
      <c r="DZ53" s="168">
        <f>IF(CdTrp3!W81=1,1,IF(CdTrp3!W81=2,2,IF(CdTrp3!W81=3,2,0)))</f>
        <v>0</v>
      </c>
      <c r="EA53" s="168">
        <f>IF(CdTrp3!X81=1,1,IF(CdTrp3!X81=2,2,IF(CdTrp3!X81=3,2,0)))</f>
        <v>0</v>
      </c>
      <c r="EB53" s="168">
        <f>IF(CdTrp3!Y81=1,1,IF(CdTrp3!Y81=2,2,IF(CdTrp3!Y81=3,2,0)))</f>
        <v>0</v>
      </c>
    </row>
    <row r="54" spans="1:132" x14ac:dyDescent="0.25">
      <c r="A54" s="5" t="s">
        <v>772</v>
      </c>
      <c r="B54" s="168">
        <f>SUM(Scénario!K40:K42)</f>
        <v>32.629999999999995</v>
      </c>
      <c r="C54" s="183">
        <f>IF(B54&gt;[1]Trav!E119,[1]Trav!C119,[1]Trav!B119)</f>
        <v>1.4</v>
      </c>
      <c r="D54"/>
      <c r="E54" s="166"/>
      <c r="F54" s="168">
        <f t="shared" si="32"/>
        <v>46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181" t="s">
        <v>730</v>
      </c>
      <c r="AT54" s="182" t="str">
        <f t="shared" si="31"/>
        <v>lot7</v>
      </c>
      <c r="AU54" s="32"/>
      <c r="AV54" s="168">
        <f>IF(CdTrp1!B82=1,1,IF(CdTrp1!B82=2,2,IF(CdTrp1!B82=3,2,0)))</f>
        <v>0</v>
      </c>
      <c r="AW54" s="168">
        <f>IF(CdTrp1!C82=1,1,IF(CdTrp1!C82=2,2,IF(CdTrp1!C82=3,2,0)))</f>
        <v>0</v>
      </c>
      <c r="AX54" s="168">
        <f>IF(CdTrp1!D82=1,1,IF(CdTrp1!D82=2,2,IF(CdTrp1!D82=3,2,0)))</f>
        <v>0</v>
      </c>
      <c r="AY54" s="168">
        <f>IF(CdTrp1!E82=1,1,IF(CdTrp1!E82=2,2,IF(CdTrp1!E82=3,2,0)))</f>
        <v>0</v>
      </c>
      <c r="AZ54" s="168">
        <f>IF(CdTrp1!F82=1,1,IF(CdTrp1!F82=2,2,IF(CdTrp1!F82=3,2,0)))</f>
        <v>0</v>
      </c>
      <c r="BA54" s="168">
        <f>IF(CdTrp1!G82=1,1,IF(CdTrp1!G82=2,2,IF(CdTrp1!G82=3,2,0)))</f>
        <v>0</v>
      </c>
      <c r="BB54" s="168">
        <f>IF(CdTrp1!H82=1,1,IF(CdTrp1!H82=2,2,IF(CdTrp1!H82=3,2,0)))</f>
        <v>0</v>
      </c>
      <c r="BC54" s="168">
        <f>IF(CdTrp1!I82=1,1,IF(CdTrp1!I82=2,2,IF(CdTrp1!I82=3,2,0)))</f>
        <v>0</v>
      </c>
      <c r="BD54" s="168">
        <f>IF(CdTrp1!J82=1,1,IF(CdTrp1!J82=2,2,IF(CdTrp1!J82=3,2,0)))</f>
        <v>0</v>
      </c>
      <c r="BE54" s="168">
        <f>IF(CdTrp1!K82=1,1,IF(CdTrp1!K82=2,2,IF(CdTrp1!K82=3,2,0)))</f>
        <v>0</v>
      </c>
      <c r="BF54" s="168">
        <f>IF(CdTrp1!L82=1,1,IF(CdTrp1!L82=2,2,IF(CdTrp1!L82=3,2,0)))</f>
        <v>0</v>
      </c>
      <c r="BG54" s="168">
        <f>IF(CdTrp1!M82=1,1,IF(CdTrp1!M82=2,2,IF(CdTrp1!M82=3,2,0)))</f>
        <v>0</v>
      </c>
      <c r="BH54" s="168">
        <f>IF(CdTrp1!N82=1,1,IF(CdTrp1!N82=2,2,IF(CdTrp1!N82=3,2,0)))</f>
        <v>0</v>
      </c>
      <c r="BI54" s="168">
        <f>IF(CdTrp1!O82=1,1,IF(CdTrp1!O82=2,2,IF(CdTrp1!O82=3,2,0)))</f>
        <v>0</v>
      </c>
      <c r="BJ54" s="168">
        <f>IF(CdTrp1!P82=1,1,IF(CdTrp1!P82=2,2,IF(CdTrp1!P82=3,2,0)))</f>
        <v>0</v>
      </c>
      <c r="BK54" s="168">
        <f>IF(CdTrp1!Q82=1,1,IF(CdTrp1!Q82=2,2,IF(CdTrp1!Q82=3,2,0)))</f>
        <v>0</v>
      </c>
      <c r="BL54" s="168">
        <f>IF(CdTrp1!R82=1,1,IF(CdTrp1!R82=2,2,IF(CdTrp1!R82=3,2,0)))</f>
        <v>0</v>
      </c>
      <c r="BM54" s="168">
        <f>IF(CdTrp1!S82=1,1,IF(CdTrp1!S82=2,2,IF(CdTrp1!S82=3,2,0)))</f>
        <v>0</v>
      </c>
      <c r="BN54" s="168">
        <f>IF(CdTrp1!T82=1,1,IF(CdTrp1!T82=2,2,IF(CdTrp1!T82=3,2,0)))</f>
        <v>0</v>
      </c>
      <c r="BO54" s="168">
        <f>IF(CdTrp1!U82=1,1,IF(CdTrp1!U82=2,2,IF(CdTrp1!U82=3,2,0)))</f>
        <v>0</v>
      </c>
      <c r="BP54" s="168">
        <f>IF(CdTrp1!V82=1,1,IF(CdTrp1!V82=2,2,IF(CdTrp1!V82=3,2,0)))</f>
        <v>0</v>
      </c>
      <c r="BQ54" s="168">
        <f>IF(CdTrp1!W82=1,1,IF(CdTrp1!W82=2,2,IF(CdTrp1!W82=3,2,0)))</f>
        <v>0</v>
      </c>
      <c r="BR54" s="168">
        <f>IF(CdTrp1!X82=1,1,IF(CdTrp1!X82=2,2,IF(CdTrp1!X82=3,2,0)))</f>
        <v>0</v>
      </c>
      <c r="BS54" s="168">
        <f>IF(CdTrp1!Y82=1,1,IF(CdTrp1!Y82=2,2,IF(CdTrp1!Y82=3,2,0)))</f>
        <v>0</v>
      </c>
      <c r="BZ54" s="182" t="str">
        <f t="shared" si="29"/>
        <v>lot7</v>
      </c>
      <c r="CA54" s="32"/>
      <c r="CB54" s="168">
        <f>IF(CdTrp2!B82=1,1,IF(CdTrp2!B82=2,2,IF(CdTrp2!B82=3,2,0)))</f>
        <v>0</v>
      </c>
      <c r="CC54" s="168">
        <f>IF(CdTrp2!C82=1,1,IF(CdTrp2!C82=2,2,IF(CdTrp2!C82=3,2,0)))</f>
        <v>0</v>
      </c>
      <c r="CD54" s="168">
        <f>IF(CdTrp2!D82=1,1,IF(CdTrp2!D82=2,2,IF(CdTrp2!D82=3,2,0)))</f>
        <v>0</v>
      </c>
      <c r="CE54" s="168">
        <f>IF(CdTrp2!E82=1,1,IF(CdTrp2!E82=2,2,IF(CdTrp2!E82=3,2,0)))</f>
        <v>0</v>
      </c>
      <c r="CF54" s="168">
        <f>IF(CdTrp2!F82=1,1,IF(CdTrp2!F82=2,2,IF(CdTrp2!F82=3,2,0)))</f>
        <v>0</v>
      </c>
      <c r="CG54" s="168">
        <f>IF(CdTrp2!G82=1,1,IF(CdTrp2!G82=2,2,IF(CdTrp2!G82=3,2,0)))</f>
        <v>0</v>
      </c>
      <c r="CH54" s="168">
        <f>IF(CdTrp2!H82=1,1,IF(CdTrp2!H82=2,2,IF(CdTrp2!H82=3,2,0)))</f>
        <v>0</v>
      </c>
      <c r="CI54" s="168">
        <f>IF(CdTrp2!I82=1,1,IF(CdTrp2!I82=2,2,IF(CdTrp2!I82=3,2,0)))</f>
        <v>0</v>
      </c>
      <c r="CJ54" s="168">
        <f>IF(CdTrp2!J82=1,1,IF(CdTrp2!J82=2,2,IF(CdTrp2!J82=3,2,0)))</f>
        <v>0</v>
      </c>
      <c r="CK54" s="168">
        <f>IF(CdTrp2!K82=1,1,IF(CdTrp2!K82=2,2,IF(CdTrp2!K82=3,2,0)))</f>
        <v>0</v>
      </c>
      <c r="CL54" s="168">
        <f>IF(CdTrp2!L82=1,1,IF(CdTrp2!L82=2,2,IF(CdTrp2!L82=3,2,0)))</f>
        <v>0</v>
      </c>
      <c r="CM54" s="168">
        <f>IF(CdTrp2!M82=1,1,IF(CdTrp2!M82=2,2,IF(CdTrp2!M82=3,2,0)))</f>
        <v>0</v>
      </c>
      <c r="CN54" s="168">
        <f>IF(CdTrp2!N82=1,1,IF(CdTrp2!N82=2,2,IF(CdTrp2!N82=3,2,0)))</f>
        <v>0</v>
      </c>
      <c r="CO54" s="168">
        <f>IF(CdTrp2!O82=1,1,IF(CdTrp2!O82=2,2,IF(CdTrp2!O82=3,2,0)))</f>
        <v>0</v>
      </c>
      <c r="CP54" s="168">
        <f>IF(CdTrp2!P82=1,1,IF(CdTrp2!P82=2,2,IF(CdTrp2!P82=3,2,0)))</f>
        <v>0</v>
      </c>
      <c r="CQ54" s="168">
        <f>IF(CdTrp2!Q82=1,1,IF(CdTrp2!Q82=2,2,IF(CdTrp2!Q82=3,2,0)))</f>
        <v>0</v>
      </c>
      <c r="CR54" s="168">
        <f>IF(CdTrp2!R82=1,1,IF(CdTrp2!R82=2,2,IF(CdTrp2!R82=3,2,0)))</f>
        <v>0</v>
      </c>
      <c r="CS54" s="168">
        <f>IF(CdTrp2!S82=1,1,IF(CdTrp2!S82=2,2,IF(CdTrp2!S82=3,2,0)))</f>
        <v>0</v>
      </c>
      <c r="CT54" s="168">
        <f>IF(CdTrp2!T82=1,1,IF(CdTrp2!T82=2,2,IF(CdTrp2!T82=3,2,0)))</f>
        <v>0</v>
      </c>
      <c r="CU54" s="168">
        <f>IF(CdTrp2!U82=1,1,IF(CdTrp2!U82=2,2,IF(CdTrp2!U82=3,2,0)))</f>
        <v>0</v>
      </c>
      <c r="CV54" s="168">
        <f>IF(CdTrp2!V82=1,1,IF(CdTrp2!V82=2,2,IF(CdTrp2!V82=3,2,0)))</f>
        <v>0</v>
      </c>
      <c r="CW54" s="168">
        <f>IF(CdTrp2!W82=1,1,IF(CdTrp2!W82=2,2,IF(CdTrp2!W82=3,2,0)))</f>
        <v>0</v>
      </c>
      <c r="CX54" s="168">
        <f>IF(CdTrp2!X82=1,1,IF(CdTrp2!X82=2,2,IF(CdTrp2!X82=3,2,0)))</f>
        <v>0</v>
      </c>
      <c r="CY54" s="168">
        <f>IF(CdTrp2!Y82=1,1,IF(CdTrp2!Y82=2,2,IF(CdTrp2!Y82=3,2,0)))</f>
        <v>0</v>
      </c>
      <c r="DC54" s="182" t="str">
        <f t="shared" si="30"/>
        <v>lot7</v>
      </c>
      <c r="DD54" s="32"/>
      <c r="DE54" s="168">
        <f>IF(CdTrp3!B82=1,1,IF(CdTrp3!B82=2,2,IF(CdTrp3!B82=3,2,0)))</f>
        <v>0</v>
      </c>
      <c r="DF54" s="168">
        <f>IF(CdTrp3!C82=1,1,IF(CdTrp3!C82=2,2,IF(CdTrp3!C82=3,2,0)))</f>
        <v>0</v>
      </c>
      <c r="DG54" s="168">
        <f>IF(CdTrp3!D82=1,1,IF(CdTrp3!D82=2,2,IF(CdTrp3!D82=3,2,0)))</f>
        <v>0</v>
      </c>
      <c r="DH54" s="168">
        <f>IF(CdTrp3!E82=1,1,IF(CdTrp3!E82=2,2,IF(CdTrp3!E82=3,2,0)))</f>
        <v>0</v>
      </c>
      <c r="DI54" s="168">
        <f>IF(CdTrp3!F82=1,1,IF(CdTrp3!F82=2,2,IF(CdTrp3!F82=3,2,0)))</f>
        <v>0</v>
      </c>
      <c r="DJ54" s="168">
        <f>IF(CdTrp3!G82=1,1,IF(CdTrp3!G82=2,2,IF(CdTrp3!G82=3,2,0)))</f>
        <v>0</v>
      </c>
      <c r="DK54" s="168">
        <f>IF(CdTrp3!H82=1,1,IF(CdTrp3!H82=2,2,IF(CdTrp3!H82=3,2,0)))</f>
        <v>0</v>
      </c>
      <c r="DL54" s="168">
        <f>IF(CdTrp3!I82=1,1,IF(CdTrp3!I82=2,2,IF(CdTrp3!I82=3,2,0)))</f>
        <v>0</v>
      </c>
      <c r="DM54" s="168">
        <f>IF(CdTrp3!J82=1,1,IF(CdTrp3!J82=2,2,IF(CdTrp3!J82=3,2,0)))</f>
        <v>0</v>
      </c>
      <c r="DN54" s="168">
        <f>IF(CdTrp3!K82=1,1,IF(CdTrp3!K82=2,2,IF(CdTrp3!K82=3,2,0)))</f>
        <v>0</v>
      </c>
      <c r="DO54" s="168">
        <f>IF(CdTrp3!L82=1,1,IF(CdTrp3!L82=2,2,IF(CdTrp3!L82=3,2,0)))</f>
        <v>0</v>
      </c>
      <c r="DP54" s="168">
        <f>IF(CdTrp3!M82=1,1,IF(CdTrp3!M82=2,2,IF(CdTrp3!M82=3,2,0)))</f>
        <v>0</v>
      </c>
      <c r="DQ54" s="168">
        <f>IF(CdTrp3!N82=1,1,IF(CdTrp3!N82=2,2,IF(CdTrp3!N82=3,2,0)))</f>
        <v>0</v>
      </c>
      <c r="DR54" s="168">
        <f>IF(CdTrp3!O82=1,1,IF(CdTrp3!O82=2,2,IF(CdTrp3!O82=3,2,0)))</f>
        <v>0</v>
      </c>
      <c r="DS54" s="168">
        <f>IF(CdTrp3!P82=1,1,IF(CdTrp3!P82=2,2,IF(CdTrp3!P82=3,2,0)))</f>
        <v>0</v>
      </c>
      <c r="DT54" s="168">
        <f>IF(CdTrp3!Q82=1,1,IF(CdTrp3!Q82=2,2,IF(CdTrp3!Q82=3,2,0)))</f>
        <v>0</v>
      </c>
      <c r="DU54" s="168">
        <f>IF(CdTrp3!R82=1,1,IF(CdTrp3!R82=2,2,IF(CdTrp3!R82=3,2,0)))</f>
        <v>0</v>
      </c>
      <c r="DV54" s="168">
        <f>IF(CdTrp3!S82=1,1,IF(CdTrp3!S82=2,2,IF(CdTrp3!S82=3,2,0)))</f>
        <v>0</v>
      </c>
      <c r="DW54" s="168">
        <f>IF(CdTrp3!T82=1,1,IF(CdTrp3!T82=2,2,IF(CdTrp3!T82=3,2,0)))</f>
        <v>0</v>
      </c>
      <c r="DX54" s="168">
        <f>IF(CdTrp3!U82=1,1,IF(CdTrp3!U82=2,2,IF(CdTrp3!U82=3,2,0)))</f>
        <v>0</v>
      </c>
      <c r="DY54" s="168">
        <f>IF(CdTrp3!V82=1,1,IF(CdTrp3!V82=2,2,IF(CdTrp3!V82=3,2,0)))</f>
        <v>0</v>
      </c>
      <c r="DZ54" s="168">
        <f>IF(CdTrp3!W82=1,1,IF(CdTrp3!W82=2,2,IF(CdTrp3!W82=3,2,0)))</f>
        <v>0</v>
      </c>
      <c r="EA54" s="168">
        <f>IF(CdTrp3!X82=1,1,IF(CdTrp3!X82=2,2,IF(CdTrp3!X82=3,2,0)))</f>
        <v>0</v>
      </c>
      <c r="EB54" s="168">
        <f>IF(CdTrp3!Y82=1,1,IF(CdTrp3!Y82=2,2,IF(CdTrp3!Y82=3,2,0)))</f>
        <v>0</v>
      </c>
    </row>
    <row r="55" spans="1:132" x14ac:dyDescent="0.25">
      <c r="A55" s="5" t="s">
        <v>773</v>
      </c>
      <c r="B55" s="168">
        <f>Scénario!M28*(1-Scénario!K31/100)</f>
        <v>19.422000000000001</v>
      </c>
      <c r="C55" s="183">
        <f>IF(B55&gt;[1]Trav!E121,[1]Trav!C121,[1]Trav!B121)</f>
        <v>7.2</v>
      </c>
      <c r="D55"/>
      <c r="E55" s="166"/>
      <c r="F55" s="168">
        <f t="shared" si="32"/>
        <v>140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181" t="s">
        <v>730</v>
      </c>
      <c r="AT55" s="182" t="str">
        <f t="shared" si="31"/>
        <v>lot8</v>
      </c>
      <c r="AU55" s="32"/>
      <c r="AV55" s="168">
        <f>IF(CdTrp1!B83=1,1,IF(CdTrp1!B83=2,2,IF(CdTrp1!B83=3,2,0)))</f>
        <v>0</v>
      </c>
      <c r="AW55" s="168">
        <f>IF(CdTrp1!C83=1,1,IF(CdTrp1!C83=2,2,IF(CdTrp1!C83=3,2,0)))</f>
        <v>0</v>
      </c>
      <c r="AX55" s="168">
        <f>IF(CdTrp1!D83=1,1,IF(CdTrp1!D83=2,2,IF(CdTrp1!D83=3,2,0)))</f>
        <v>0</v>
      </c>
      <c r="AY55" s="168">
        <f>IF(CdTrp1!E83=1,1,IF(CdTrp1!E83=2,2,IF(CdTrp1!E83=3,2,0)))</f>
        <v>0</v>
      </c>
      <c r="AZ55" s="168">
        <f>IF(CdTrp1!F83=1,1,IF(CdTrp1!F83=2,2,IF(CdTrp1!F83=3,2,0)))</f>
        <v>0</v>
      </c>
      <c r="BA55" s="168">
        <f>IF(CdTrp1!G83=1,1,IF(CdTrp1!G83=2,2,IF(CdTrp1!G83=3,2,0)))</f>
        <v>0</v>
      </c>
      <c r="BB55" s="168">
        <f>IF(CdTrp1!H83=1,1,IF(CdTrp1!H83=2,2,IF(CdTrp1!H83=3,2,0)))</f>
        <v>0</v>
      </c>
      <c r="BC55" s="168">
        <f>IF(CdTrp1!I83=1,1,IF(CdTrp1!I83=2,2,IF(CdTrp1!I83=3,2,0)))</f>
        <v>0</v>
      </c>
      <c r="BD55" s="168">
        <f>IF(CdTrp1!J83=1,1,IF(CdTrp1!J83=2,2,IF(CdTrp1!J83=3,2,0)))</f>
        <v>0</v>
      </c>
      <c r="BE55" s="168">
        <f>IF(CdTrp1!K83=1,1,IF(CdTrp1!K83=2,2,IF(CdTrp1!K83=3,2,0)))</f>
        <v>0</v>
      </c>
      <c r="BF55" s="168">
        <f>IF(CdTrp1!L83=1,1,IF(CdTrp1!L83=2,2,IF(CdTrp1!L83=3,2,0)))</f>
        <v>0</v>
      </c>
      <c r="BG55" s="168">
        <f>IF(CdTrp1!M83=1,1,IF(CdTrp1!M83=2,2,IF(CdTrp1!M83=3,2,0)))</f>
        <v>0</v>
      </c>
      <c r="BH55" s="168">
        <f>IF(CdTrp1!N83=1,1,IF(CdTrp1!N83=2,2,IF(CdTrp1!N83=3,2,0)))</f>
        <v>0</v>
      </c>
      <c r="BI55" s="168">
        <f>IF(CdTrp1!O83=1,1,IF(CdTrp1!O83=2,2,IF(CdTrp1!O83=3,2,0)))</f>
        <v>0</v>
      </c>
      <c r="BJ55" s="168">
        <f>IF(CdTrp1!P83=1,1,IF(CdTrp1!P83=2,2,IF(CdTrp1!P83=3,2,0)))</f>
        <v>0</v>
      </c>
      <c r="BK55" s="168">
        <f>IF(CdTrp1!Q83=1,1,IF(CdTrp1!Q83=2,2,IF(CdTrp1!Q83=3,2,0)))</f>
        <v>0</v>
      </c>
      <c r="BL55" s="168">
        <f>IF(CdTrp1!R83=1,1,IF(CdTrp1!R83=2,2,IF(CdTrp1!R83=3,2,0)))</f>
        <v>0</v>
      </c>
      <c r="BM55" s="168">
        <f>IF(CdTrp1!S83=1,1,IF(CdTrp1!S83=2,2,IF(CdTrp1!S83=3,2,0)))</f>
        <v>0</v>
      </c>
      <c r="BN55" s="168">
        <f>IF(CdTrp1!T83=1,1,IF(CdTrp1!T83=2,2,IF(CdTrp1!T83=3,2,0)))</f>
        <v>0</v>
      </c>
      <c r="BO55" s="168">
        <f>IF(CdTrp1!U83=1,1,IF(CdTrp1!U83=2,2,IF(CdTrp1!U83=3,2,0)))</f>
        <v>0</v>
      </c>
      <c r="BP55" s="168">
        <f>IF(CdTrp1!V83=1,1,IF(CdTrp1!V83=2,2,IF(CdTrp1!V83=3,2,0)))</f>
        <v>0</v>
      </c>
      <c r="BQ55" s="168">
        <f>IF(CdTrp1!W83=1,1,IF(CdTrp1!W83=2,2,IF(CdTrp1!W83=3,2,0)))</f>
        <v>0</v>
      </c>
      <c r="BR55" s="168">
        <f>IF(CdTrp1!X83=1,1,IF(CdTrp1!X83=2,2,IF(CdTrp1!X83=3,2,0)))</f>
        <v>0</v>
      </c>
      <c r="BS55" s="168">
        <f>IF(CdTrp1!Y83=1,1,IF(CdTrp1!Y83=2,2,IF(CdTrp1!Y83=3,2,0)))</f>
        <v>0</v>
      </c>
      <c r="BZ55" s="182" t="str">
        <f t="shared" si="29"/>
        <v>lot8</v>
      </c>
      <c r="CA55" s="32"/>
      <c r="CB55" s="168">
        <f>IF(CdTrp2!B83=1,1,IF(CdTrp2!B83=2,2,IF(CdTrp2!B83=3,2,0)))</f>
        <v>0</v>
      </c>
      <c r="CC55" s="168">
        <f>IF(CdTrp2!C83=1,1,IF(CdTrp2!C83=2,2,IF(CdTrp2!C83=3,2,0)))</f>
        <v>0</v>
      </c>
      <c r="CD55" s="168">
        <f>IF(CdTrp2!D83=1,1,IF(CdTrp2!D83=2,2,IF(CdTrp2!D83=3,2,0)))</f>
        <v>0</v>
      </c>
      <c r="CE55" s="168">
        <f>IF(CdTrp2!E83=1,1,IF(CdTrp2!E83=2,2,IF(CdTrp2!E83=3,2,0)))</f>
        <v>0</v>
      </c>
      <c r="CF55" s="168">
        <f>IF(CdTrp2!F83=1,1,IF(CdTrp2!F83=2,2,IF(CdTrp2!F83=3,2,0)))</f>
        <v>0</v>
      </c>
      <c r="CG55" s="168">
        <f>IF(CdTrp2!G83=1,1,IF(CdTrp2!G83=2,2,IF(CdTrp2!G83=3,2,0)))</f>
        <v>0</v>
      </c>
      <c r="CH55" s="168">
        <f>IF(CdTrp2!H83=1,1,IF(CdTrp2!H83=2,2,IF(CdTrp2!H83=3,2,0)))</f>
        <v>0</v>
      </c>
      <c r="CI55" s="168">
        <f>IF(CdTrp2!I83=1,1,IF(CdTrp2!I83=2,2,IF(CdTrp2!I83=3,2,0)))</f>
        <v>0</v>
      </c>
      <c r="CJ55" s="168">
        <f>IF(CdTrp2!J83=1,1,IF(CdTrp2!J83=2,2,IF(CdTrp2!J83=3,2,0)))</f>
        <v>0</v>
      </c>
      <c r="CK55" s="168">
        <f>IF(CdTrp2!K83=1,1,IF(CdTrp2!K83=2,2,IF(CdTrp2!K83=3,2,0)))</f>
        <v>0</v>
      </c>
      <c r="CL55" s="168">
        <f>IF(CdTrp2!L83=1,1,IF(CdTrp2!L83=2,2,IF(CdTrp2!L83=3,2,0)))</f>
        <v>0</v>
      </c>
      <c r="CM55" s="168">
        <f>IF(CdTrp2!M83=1,1,IF(CdTrp2!M83=2,2,IF(CdTrp2!M83=3,2,0)))</f>
        <v>0</v>
      </c>
      <c r="CN55" s="168">
        <f>IF(CdTrp2!N83=1,1,IF(CdTrp2!N83=2,2,IF(CdTrp2!N83=3,2,0)))</f>
        <v>0</v>
      </c>
      <c r="CO55" s="168">
        <f>IF(CdTrp2!O83=1,1,IF(CdTrp2!O83=2,2,IF(CdTrp2!O83=3,2,0)))</f>
        <v>0</v>
      </c>
      <c r="CP55" s="168">
        <f>IF(CdTrp2!P83=1,1,IF(CdTrp2!P83=2,2,IF(CdTrp2!P83=3,2,0)))</f>
        <v>0</v>
      </c>
      <c r="CQ55" s="168">
        <f>IF(CdTrp2!Q83=1,1,IF(CdTrp2!Q83=2,2,IF(CdTrp2!Q83=3,2,0)))</f>
        <v>0</v>
      </c>
      <c r="CR55" s="168">
        <f>IF(CdTrp2!R83=1,1,IF(CdTrp2!R83=2,2,IF(CdTrp2!R83=3,2,0)))</f>
        <v>0</v>
      </c>
      <c r="CS55" s="168">
        <f>IF(CdTrp2!S83=1,1,IF(CdTrp2!S83=2,2,IF(CdTrp2!S83=3,2,0)))</f>
        <v>0</v>
      </c>
      <c r="CT55" s="168">
        <f>IF(CdTrp2!T83=1,1,IF(CdTrp2!T83=2,2,IF(CdTrp2!T83=3,2,0)))</f>
        <v>0</v>
      </c>
      <c r="CU55" s="168">
        <f>IF(CdTrp2!U83=1,1,IF(CdTrp2!U83=2,2,IF(CdTrp2!U83=3,2,0)))</f>
        <v>0</v>
      </c>
      <c r="CV55" s="168">
        <f>IF(CdTrp2!V83=1,1,IF(CdTrp2!V83=2,2,IF(CdTrp2!V83=3,2,0)))</f>
        <v>0</v>
      </c>
      <c r="CW55" s="168">
        <f>IF(CdTrp2!W83=1,1,IF(CdTrp2!W83=2,2,IF(CdTrp2!W83=3,2,0)))</f>
        <v>0</v>
      </c>
      <c r="CX55" s="168">
        <f>IF(CdTrp2!X83=1,1,IF(CdTrp2!X83=2,2,IF(CdTrp2!X83=3,2,0)))</f>
        <v>0</v>
      </c>
      <c r="CY55" s="168">
        <f>IF(CdTrp2!Y83=1,1,IF(CdTrp2!Y83=2,2,IF(CdTrp2!Y83=3,2,0)))</f>
        <v>0</v>
      </c>
      <c r="DC55" s="182" t="str">
        <f t="shared" si="30"/>
        <v>lot8</v>
      </c>
      <c r="DD55" s="32"/>
      <c r="DE55" s="168">
        <f>IF(CdTrp3!B83=1,1,IF(CdTrp3!B83=2,2,IF(CdTrp3!B83=3,2,0)))</f>
        <v>0</v>
      </c>
      <c r="DF55" s="168">
        <f>IF(CdTrp3!C83=1,1,IF(CdTrp3!C83=2,2,IF(CdTrp3!C83=3,2,0)))</f>
        <v>0</v>
      </c>
      <c r="DG55" s="168">
        <f>IF(CdTrp3!D83=1,1,IF(CdTrp3!D83=2,2,IF(CdTrp3!D83=3,2,0)))</f>
        <v>0</v>
      </c>
      <c r="DH55" s="168">
        <f>IF(CdTrp3!E83=1,1,IF(CdTrp3!E83=2,2,IF(CdTrp3!E83=3,2,0)))</f>
        <v>0</v>
      </c>
      <c r="DI55" s="168">
        <f>IF(CdTrp3!F83=1,1,IF(CdTrp3!F83=2,2,IF(CdTrp3!F83=3,2,0)))</f>
        <v>0</v>
      </c>
      <c r="DJ55" s="168">
        <f>IF(CdTrp3!G83=1,1,IF(CdTrp3!G83=2,2,IF(CdTrp3!G83=3,2,0)))</f>
        <v>0</v>
      </c>
      <c r="DK55" s="168">
        <f>IF(CdTrp3!H83=1,1,IF(CdTrp3!H83=2,2,IF(CdTrp3!H83=3,2,0)))</f>
        <v>0</v>
      </c>
      <c r="DL55" s="168">
        <f>IF(CdTrp3!I83=1,1,IF(CdTrp3!I83=2,2,IF(CdTrp3!I83=3,2,0)))</f>
        <v>0</v>
      </c>
      <c r="DM55" s="168">
        <f>IF(CdTrp3!J83=1,1,IF(CdTrp3!J83=2,2,IF(CdTrp3!J83=3,2,0)))</f>
        <v>0</v>
      </c>
      <c r="DN55" s="168">
        <f>IF(CdTrp3!K83=1,1,IF(CdTrp3!K83=2,2,IF(CdTrp3!K83=3,2,0)))</f>
        <v>0</v>
      </c>
      <c r="DO55" s="168">
        <f>IF(CdTrp3!L83=1,1,IF(CdTrp3!L83=2,2,IF(CdTrp3!L83=3,2,0)))</f>
        <v>0</v>
      </c>
      <c r="DP55" s="168">
        <f>IF(CdTrp3!M83=1,1,IF(CdTrp3!M83=2,2,IF(CdTrp3!M83=3,2,0)))</f>
        <v>0</v>
      </c>
      <c r="DQ55" s="168">
        <f>IF(CdTrp3!N83=1,1,IF(CdTrp3!N83=2,2,IF(CdTrp3!N83=3,2,0)))</f>
        <v>0</v>
      </c>
      <c r="DR55" s="168">
        <f>IF(CdTrp3!O83=1,1,IF(CdTrp3!O83=2,2,IF(CdTrp3!O83=3,2,0)))</f>
        <v>0</v>
      </c>
      <c r="DS55" s="168">
        <f>IF(CdTrp3!P83=1,1,IF(CdTrp3!P83=2,2,IF(CdTrp3!P83=3,2,0)))</f>
        <v>0</v>
      </c>
      <c r="DT55" s="168">
        <f>IF(CdTrp3!Q83=1,1,IF(CdTrp3!Q83=2,2,IF(CdTrp3!Q83=3,2,0)))</f>
        <v>0</v>
      </c>
      <c r="DU55" s="168">
        <f>IF(CdTrp3!R83=1,1,IF(CdTrp3!R83=2,2,IF(CdTrp3!R83=3,2,0)))</f>
        <v>0</v>
      </c>
      <c r="DV55" s="168">
        <f>IF(CdTrp3!S83=1,1,IF(CdTrp3!S83=2,2,IF(CdTrp3!S83=3,2,0)))</f>
        <v>0</v>
      </c>
      <c r="DW55" s="168">
        <f>IF(CdTrp3!T83=1,1,IF(CdTrp3!T83=2,2,IF(CdTrp3!T83=3,2,0)))</f>
        <v>0</v>
      </c>
      <c r="DX55" s="168">
        <f>IF(CdTrp3!U83=1,1,IF(CdTrp3!U83=2,2,IF(CdTrp3!U83=3,2,0)))</f>
        <v>0</v>
      </c>
      <c r="DY55" s="168">
        <f>IF(CdTrp3!V83=1,1,IF(CdTrp3!V83=2,2,IF(CdTrp3!V83=3,2,0)))</f>
        <v>0</v>
      </c>
      <c r="DZ55" s="168">
        <f>IF(CdTrp3!W83=1,1,IF(CdTrp3!W83=2,2,IF(CdTrp3!W83=3,2,0)))</f>
        <v>0</v>
      </c>
      <c r="EA55" s="168">
        <f>IF(CdTrp3!X83=1,1,IF(CdTrp3!X83=2,2,IF(CdTrp3!X83=3,2,0)))</f>
        <v>0</v>
      </c>
      <c r="EB55" s="168">
        <f>IF(CdTrp3!Y83=1,1,IF(CdTrp3!Y83=2,2,IF(CdTrp3!Y83=3,2,0)))</f>
        <v>0</v>
      </c>
    </row>
    <row r="56" spans="1:132" x14ac:dyDescent="0.25">
      <c r="A56" s="5" t="s">
        <v>774</v>
      </c>
      <c r="B56" s="168">
        <f>Scénario!M29</f>
        <v>4.42</v>
      </c>
      <c r="C56" s="183">
        <f>IF(B56&gt;[1]Trav!E121,[1]Trav!C121,[1]Trav!B121)</f>
        <v>7.2</v>
      </c>
      <c r="D56"/>
      <c r="E56" s="166"/>
      <c r="F56" s="168">
        <f t="shared" si="32"/>
        <v>32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181" t="s">
        <v>730</v>
      </c>
      <c r="AT56" s="182" t="str">
        <f t="shared" si="31"/>
        <v>lot9</v>
      </c>
      <c r="AU56" s="32"/>
      <c r="AV56" s="168">
        <f>IF(CdTrp1!B84=1,1,IF(CdTrp1!B84=2,2,IF(CdTrp1!B84=3,2,0)))</f>
        <v>0</v>
      </c>
      <c r="AW56" s="168">
        <f>IF(CdTrp1!C84=1,1,IF(CdTrp1!C84=2,2,IF(CdTrp1!C84=3,2,0)))</f>
        <v>0</v>
      </c>
      <c r="AX56" s="168">
        <f>IF(CdTrp1!D84=1,1,IF(CdTrp1!D84=2,2,IF(CdTrp1!D84=3,2,0)))</f>
        <v>0</v>
      </c>
      <c r="AY56" s="168">
        <f>IF(CdTrp1!E84=1,1,IF(CdTrp1!E84=2,2,IF(CdTrp1!E84=3,2,0)))</f>
        <v>0</v>
      </c>
      <c r="AZ56" s="168">
        <f>IF(CdTrp1!F84=1,1,IF(CdTrp1!F84=2,2,IF(CdTrp1!F84=3,2,0)))</f>
        <v>0</v>
      </c>
      <c r="BA56" s="168">
        <f>IF(CdTrp1!G84=1,1,IF(CdTrp1!G84=2,2,IF(CdTrp1!G84=3,2,0)))</f>
        <v>0</v>
      </c>
      <c r="BB56" s="168">
        <f>IF(CdTrp1!H84=1,1,IF(CdTrp1!H84=2,2,IF(CdTrp1!H84=3,2,0)))</f>
        <v>0</v>
      </c>
      <c r="BC56" s="168">
        <f>IF(CdTrp1!I84=1,1,IF(CdTrp1!I84=2,2,IF(CdTrp1!I84=3,2,0)))</f>
        <v>0</v>
      </c>
      <c r="BD56" s="168">
        <f>IF(CdTrp1!J84=1,1,IF(CdTrp1!J84=2,2,IF(CdTrp1!J84=3,2,0)))</f>
        <v>0</v>
      </c>
      <c r="BE56" s="168">
        <f>IF(CdTrp1!K84=1,1,IF(CdTrp1!K84=2,2,IF(CdTrp1!K84=3,2,0)))</f>
        <v>0</v>
      </c>
      <c r="BF56" s="168">
        <f>IF(CdTrp1!L84=1,1,IF(CdTrp1!L84=2,2,IF(CdTrp1!L84=3,2,0)))</f>
        <v>0</v>
      </c>
      <c r="BG56" s="168">
        <f>IF(CdTrp1!M84=1,1,IF(CdTrp1!M84=2,2,IF(CdTrp1!M84=3,2,0)))</f>
        <v>0</v>
      </c>
      <c r="BH56" s="168">
        <f>IF(CdTrp1!N84=1,1,IF(CdTrp1!N84=2,2,IF(CdTrp1!N84=3,2,0)))</f>
        <v>0</v>
      </c>
      <c r="BI56" s="168">
        <f>IF(CdTrp1!O84=1,1,IF(CdTrp1!O84=2,2,IF(CdTrp1!O84=3,2,0)))</f>
        <v>0</v>
      </c>
      <c r="BJ56" s="168">
        <f>IF(CdTrp1!P84=1,1,IF(CdTrp1!P84=2,2,IF(CdTrp1!P84=3,2,0)))</f>
        <v>0</v>
      </c>
      <c r="BK56" s="168">
        <f>IF(CdTrp1!Q84=1,1,IF(CdTrp1!Q84=2,2,IF(CdTrp1!Q84=3,2,0)))</f>
        <v>0</v>
      </c>
      <c r="BL56" s="168">
        <f>IF(CdTrp1!R84=1,1,IF(CdTrp1!R84=2,2,IF(CdTrp1!R84=3,2,0)))</f>
        <v>0</v>
      </c>
      <c r="BM56" s="168">
        <f>IF(CdTrp1!S84=1,1,IF(CdTrp1!S84=2,2,IF(CdTrp1!S84=3,2,0)))</f>
        <v>0</v>
      </c>
      <c r="BN56" s="168">
        <f>IF(CdTrp1!T84=1,1,IF(CdTrp1!T84=2,2,IF(CdTrp1!T84=3,2,0)))</f>
        <v>0</v>
      </c>
      <c r="BO56" s="168">
        <f>IF(CdTrp1!U84=1,1,IF(CdTrp1!U84=2,2,IF(CdTrp1!U84=3,2,0)))</f>
        <v>0</v>
      </c>
      <c r="BP56" s="168">
        <f>IF(CdTrp1!V84=1,1,IF(CdTrp1!V84=2,2,IF(CdTrp1!V84=3,2,0)))</f>
        <v>0</v>
      </c>
      <c r="BQ56" s="168">
        <f>IF(CdTrp1!W84=1,1,IF(CdTrp1!W84=2,2,IF(CdTrp1!W84=3,2,0)))</f>
        <v>0</v>
      </c>
      <c r="BR56" s="168">
        <f>IF(CdTrp1!X84=1,1,IF(CdTrp1!X84=2,2,IF(CdTrp1!X84=3,2,0)))</f>
        <v>0</v>
      </c>
      <c r="BS56" s="168">
        <f>IF(CdTrp1!Y84=1,1,IF(CdTrp1!Y84=2,2,IF(CdTrp1!Y84=3,2,0)))</f>
        <v>0</v>
      </c>
      <c r="BZ56" s="182" t="str">
        <f t="shared" si="29"/>
        <v>lot9</v>
      </c>
      <c r="CA56" s="32"/>
      <c r="CB56" s="168">
        <f>IF(CdTrp2!B84=1,1,IF(CdTrp2!B84=2,2,IF(CdTrp2!B84=3,2,0)))</f>
        <v>0</v>
      </c>
      <c r="CC56" s="168">
        <f>IF(CdTrp2!C84=1,1,IF(CdTrp2!C84=2,2,IF(CdTrp2!C84=3,2,0)))</f>
        <v>0</v>
      </c>
      <c r="CD56" s="168">
        <f>IF(CdTrp2!D84=1,1,IF(CdTrp2!D84=2,2,IF(CdTrp2!D84=3,2,0)))</f>
        <v>0</v>
      </c>
      <c r="CE56" s="168">
        <f>IF(CdTrp2!E84=1,1,IF(CdTrp2!E84=2,2,IF(CdTrp2!E84=3,2,0)))</f>
        <v>0</v>
      </c>
      <c r="CF56" s="168">
        <f>IF(CdTrp2!F84=1,1,IF(CdTrp2!F84=2,2,IF(CdTrp2!F84=3,2,0)))</f>
        <v>0</v>
      </c>
      <c r="CG56" s="168">
        <f>IF(CdTrp2!G84=1,1,IF(CdTrp2!G84=2,2,IF(CdTrp2!G84=3,2,0)))</f>
        <v>0</v>
      </c>
      <c r="CH56" s="168">
        <f>IF(CdTrp2!H84=1,1,IF(CdTrp2!H84=2,2,IF(CdTrp2!H84=3,2,0)))</f>
        <v>0</v>
      </c>
      <c r="CI56" s="168">
        <f>IF(CdTrp2!I84=1,1,IF(CdTrp2!I84=2,2,IF(CdTrp2!I84=3,2,0)))</f>
        <v>0</v>
      </c>
      <c r="CJ56" s="168">
        <f>IF(CdTrp2!J84=1,1,IF(CdTrp2!J84=2,2,IF(CdTrp2!J84=3,2,0)))</f>
        <v>0</v>
      </c>
      <c r="CK56" s="168">
        <f>IF(CdTrp2!K84=1,1,IF(CdTrp2!K84=2,2,IF(CdTrp2!K84=3,2,0)))</f>
        <v>0</v>
      </c>
      <c r="CL56" s="168">
        <f>IF(CdTrp2!L84=1,1,IF(CdTrp2!L84=2,2,IF(CdTrp2!L84=3,2,0)))</f>
        <v>0</v>
      </c>
      <c r="CM56" s="168">
        <f>IF(CdTrp2!M84=1,1,IF(CdTrp2!M84=2,2,IF(CdTrp2!M84=3,2,0)))</f>
        <v>0</v>
      </c>
      <c r="CN56" s="168">
        <f>IF(CdTrp2!N84=1,1,IF(CdTrp2!N84=2,2,IF(CdTrp2!N84=3,2,0)))</f>
        <v>0</v>
      </c>
      <c r="CO56" s="168">
        <f>IF(CdTrp2!O84=1,1,IF(CdTrp2!O84=2,2,IF(CdTrp2!O84=3,2,0)))</f>
        <v>0</v>
      </c>
      <c r="CP56" s="168">
        <f>IF(CdTrp2!P84=1,1,IF(CdTrp2!P84=2,2,IF(CdTrp2!P84=3,2,0)))</f>
        <v>0</v>
      </c>
      <c r="CQ56" s="168">
        <f>IF(CdTrp2!Q84=1,1,IF(CdTrp2!Q84=2,2,IF(CdTrp2!Q84=3,2,0)))</f>
        <v>0</v>
      </c>
      <c r="CR56" s="168">
        <f>IF(CdTrp2!R84=1,1,IF(CdTrp2!R84=2,2,IF(CdTrp2!R84=3,2,0)))</f>
        <v>0</v>
      </c>
      <c r="CS56" s="168">
        <f>IF(CdTrp2!S84=1,1,IF(CdTrp2!S84=2,2,IF(CdTrp2!S84=3,2,0)))</f>
        <v>0</v>
      </c>
      <c r="CT56" s="168">
        <f>IF(CdTrp2!T84=1,1,IF(CdTrp2!T84=2,2,IF(CdTrp2!T84=3,2,0)))</f>
        <v>0</v>
      </c>
      <c r="CU56" s="168">
        <f>IF(CdTrp2!U84=1,1,IF(CdTrp2!U84=2,2,IF(CdTrp2!U84=3,2,0)))</f>
        <v>0</v>
      </c>
      <c r="CV56" s="168">
        <f>IF(CdTrp2!V84=1,1,IF(CdTrp2!V84=2,2,IF(CdTrp2!V84=3,2,0)))</f>
        <v>0</v>
      </c>
      <c r="CW56" s="168">
        <f>IF(CdTrp2!W84=1,1,IF(CdTrp2!W84=2,2,IF(CdTrp2!W84=3,2,0)))</f>
        <v>0</v>
      </c>
      <c r="CX56" s="168">
        <f>IF(CdTrp2!X84=1,1,IF(CdTrp2!X84=2,2,IF(CdTrp2!X84=3,2,0)))</f>
        <v>0</v>
      </c>
      <c r="CY56" s="168">
        <f>IF(CdTrp2!Y84=1,1,IF(CdTrp2!Y84=2,2,IF(CdTrp2!Y84=3,2,0)))</f>
        <v>0</v>
      </c>
      <c r="DC56" s="182" t="str">
        <f t="shared" si="30"/>
        <v>lot9</v>
      </c>
      <c r="DD56" s="32"/>
      <c r="DE56" s="168">
        <f>IF(CdTrp3!B84=1,1,IF(CdTrp3!B84=2,2,IF(CdTrp3!B84=3,2,0)))</f>
        <v>0</v>
      </c>
      <c r="DF56" s="168">
        <f>IF(CdTrp3!C84=1,1,IF(CdTrp3!C84=2,2,IF(CdTrp3!C84=3,2,0)))</f>
        <v>0</v>
      </c>
      <c r="DG56" s="168">
        <f>IF(CdTrp3!D84=1,1,IF(CdTrp3!D84=2,2,IF(CdTrp3!D84=3,2,0)))</f>
        <v>0</v>
      </c>
      <c r="DH56" s="168">
        <f>IF(CdTrp3!E84=1,1,IF(CdTrp3!E84=2,2,IF(CdTrp3!E84=3,2,0)))</f>
        <v>0</v>
      </c>
      <c r="DI56" s="168">
        <f>IF(CdTrp3!F84=1,1,IF(CdTrp3!F84=2,2,IF(CdTrp3!F84=3,2,0)))</f>
        <v>0</v>
      </c>
      <c r="DJ56" s="168">
        <f>IF(CdTrp3!G84=1,1,IF(CdTrp3!G84=2,2,IF(CdTrp3!G84=3,2,0)))</f>
        <v>0</v>
      </c>
      <c r="DK56" s="168">
        <f>IF(CdTrp3!H84=1,1,IF(CdTrp3!H84=2,2,IF(CdTrp3!H84=3,2,0)))</f>
        <v>0</v>
      </c>
      <c r="DL56" s="168">
        <f>IF(CdTrp3!I84=1,1,IF(CdTrp3!I84=2,2,IF(CdTrp3!I84=3,2,0)))</f>
        <v>0</v>
      </c>
      <c r="DM56" s="168">
        <f>IF(CdTrp3!J84=1,1,IF(CdTrp3!J84=2,2,IF(CdTrp3!J84=3,2,0)))</f>
        <v>0</v>
      </c>
      <c r="DN56" s="168">
        <f>IF(CdTrp3!K84=1,1,IF(CdTrp3!K84=2,2,IF(CdTrp3!K84=3,2,0)))</f>
        <v>0</v>
      </c>
      <c r="DO56" s="168">
        <f>IF(CdTrp3!L84=1,1,IF(CdTrp3!L84=2,2,IF(CdTrp3!L84=3,2,0)))</f>
        <v>0</v>
      </c>
      <c r="DP56" s="168">
        <f>IF(CdTrp3!M84=1,1,IF(CdTrp3!M84=2,2,IF(CdTrp3!M84=3,2,0)))</f>
        <v>0</v>
      </c>
      <c r="DQ56" s="168">
        <f>IF(CdTrp3!N84=1,1,IF(CdTrp3!N84=2,2,IF(CdTrp3!N84=3,2,0)))</f>
        <v>0</v>
      </c>
      <c r="DR56" s="168">
        <f>IF(CdTrp3!O84=1,1,IF(CdTrp3!O84=2,2,IF(CdTrp3!O84=3,2,0)))</f>
        <v>0</v>
      </c>
      <c r="DS56" s="168">
        <f>IF(CdTrp3!P84=1,1,IF(CdTrp3!P84=2,2,IF(CdTrp3!P84=3,2,0)))</f>
        <v>0</v>
      </c>
      <c r="DT56" s="168">
        <f>IF(CdTrp3!Q84=1,1,IF(CdTrp3!Q84=2,2,IF(CdTrp3!Q84=3,2,0)))</f>
        <v>0</v>
      </c>
      <c r="DU56" s="168">
        <f>IF(CdTrp3!R84=1,1,IF(CdTrp3!R84=2,2,IF(CdTrp3!R84=3,2,0)))</f>
        <v>0</v>
      </c>
      <c r="DV56" s="168">
        <f>IF(CdTrp3!S84=1,1,IF(CdTrp3!S84=2,2,IF(CdTrp3!S84=3,2,0)))</f>
        <v>0</v>
      </c>
      <c r="DW56" s="168">
        <f>IF(CdTrp3!T84=1,1,IF(CdTrp3!T84=2,2,IF(CdTrp3!T84=3,2,0)))</f>
        <v>0</v>
      </c>
      <c r="DX56" s="168">
        <f>IF(CdTrp3!U84=1,1,IF(CdTrp3!U84=2,2,IF(CdTrp3!U84=3,2,0)))</f>
        <v>0</v>
      </c>
      <c r="DY56" s="168">
        <f>IF(CdTrp3!V84=1,1,IF(CdTrp3!V84=2,2,IF(CdTrp3!V84=3,2,0)))</f>
        <v>0</v>
      </c>
      <c r="DZ56" s="168">
        <f>IF(CdTrp3!W84=1,1,IF(CdTrp3!W84=2,2,IF(CdTrp3!W84=3,2,0)))</f>
        <v>0</v>
      </c>
      <c r="EA56" s="168">
        <f>IF(CdTrp3!X84=1,1,IF(CdTrp3!X84=2,2,IF(CdTrp3!X84=3,2,0)))</f>
        <v>0</v>
      </c>
      <c r="EB56" s="168">
        <f>IF(CdTrp3!Y84=1,1,IF(CdTrp3!Y84=2,2,IF(CdTrp3!Y84=3,2,0)))</f>
        <v>0</v>
      </c>
    </row>
    <row r="57" spans="1:132" x14ac:dyDescent="0.25">
      <c r="A57" s="5" t="s">
        <v>775</v>
      </c>
      <c r="B57" s="168">
        <f>Scénario!M30</f>
        <v>0</v>
      </c>
      <c r="C57" s="183">
        <f>IF(B57&gt;[1]Trav!E121,[1]Trav!C121,[1]Trav!B121)</f>
        <v>7.2</v>
      </c>
      <c r="D57"/>
      <c r="E57" s="166"/>
      <c r="F57" s="168">
        <f t="shared" si="32"/>
        <v>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23"/>
      <c r="AF57" s="5"/>
      <c r="AG57" s="190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181" t="s">
        <v>730</v>
      </c>
      <c r="AT57" s="182" t="str">
        <f t="shared" si="31"/>
        <v>lot10</v>
      </c>
      <c r="AU57" s="32"/>
      <c r="AV57" s="168">
        <f>IF(CdTrp1!B85=1,1,IF(CdTrp1!B85=2,2,IF(CdTrp1!B85=3,2,0)))</f>
        <v>0</v>
      </c>
      <c r="AW57" s="168">
        <f>IF(CdTrp1!C85=1,1,IF(CdTrp1!C85=2,2,IF(CdTrp1!C85=3,2,0)))</f>
        <v>0</v>
      </c>
      <c r="AX57" s="168">
        <f>IF(CdTrp1!D85=1,1,IF(CdTrp1!D85=2,2,IF(CdTrp1!D85=3,2,0)))</f>
        <v>0</v>
      </c>
      <c r="AY57" s="168">
        <f>IF(CdTrp1!E85=1,1,IF(CdTrp1!E85=2,2,IF(CdTrp1!E85=3,2,0)))</f>
        <v>0</v>
      </c>
      <c r="AZ57" s="168">
        <f>IF(CdTrp1!F85=1,1,IF(CdTrp1!F85=2,2,IF(CdTrp1!F85=3,2,0)))</f>
        <v>0</v>
      </c>
      <c r="BA57" s="168">
        <f>IF(CdTrp1!G85=1,1,IF(CdTrp1!G85=2,2,IF(CdTrp1!G85=3,2,0)))</f>
        <v>0</v>
      </c>
      <c r="BB57" s="168">
        <f>IF(CdTrp1!H85=1,1,IF(CdTrp1!H85=2,2,IF(CdTrp1!H85=3,2,0)))</f>
        <v>0</v>
      </c>
      <c r="BC57" s="168">
        <f>IF(CdTrp1!I85=1,1,IF(CdTrp1!I85=2,2,IF(CdTrp1!I85=3,2,0)))</f>
        <v>0</v>
      </c>
      <c r="BD57" s="168">
        <f>IF(CdTrp1!J85=1,1,IF(CdTrp1!J85=2,2,IF(CdTrp1!J85=3,2,0)))</f>
        <v>0</v>
      </c>
      <c r="BE57" s="168">
        <f>IF(CdTrp1!K85=1,1,IF(CdTrp1!K85=2,2,IF(CdTrp1!K85=3,2,0)))</f>
        <v>0</v>
      </c>
      <c r="BF57" s="168">
        <f>IF(CdTrp1!L85=1,1,IF(CdTrp1!L85=2,2,IF(CdTrp1!L85=3,2,0)))</f>
        <v>0</v>
      </c>
      <c r="BG57" s="168">
        <f>IF(CdTrp1!M85=1,1,IF(CdTrp1!M85=2,2,IF(CdTrp1!M85=3,2,0)))</f>
        <v>0</v>
      </c>
      <c r="BH57" s="168">
        <f>IF(CdTrp1!N85=1,1,IF(CdTrp1!N85=2,2,IF(CdTrp1!N85=3,2,0)))</f>
        <v>0</v>
      </c>
      <c r="BI57" s="168">
        <f>IF(CdTrp1!O85=1,1,IF(CdTrp1!O85=2,2,IF(CdTrp1!O85=3,2,0)))</f>
        <v>0</v>
      </c>
      <c r="BJ57" s="168">
        <f>IF(CdTrp1!P85=1,1,IF(CdTrp1!P85=2,2,IF(CdTrp1!P85=3,2,0)))</f>
        <v>0</v>
      </c>
      <c r="BK57" s="168">
        <f>IF(CdTrp1!Q85=1,1,IF(CdTrp1!Q85=2,2,IF(CdTrp1!Q85=3,2,0)))</f>
        <v>0</v>
      </c>
      <c r="BL57" s="168">
        <f>IF(CdTrp1!R85=1,1,IF(CdTrp1!R85=2,2,IF(CdTrp1!R85=3,2,0)))</f>
        <v>0</v>
      </c>
      <c r="BM57" s="168">
        <f>IF(CdTrp1!S85=1,1,IF(CdTrp1!S85=2,2,IF(CdTrp1!S85=3,2,0)))</f>
        <v>0</v>
      </c>
      <c r="BN57" s="168">
        <f>IF(CdTrp1!T85=1,1,IF(CdTrp1!T85=2,2,IF(CdTrp1!T85=3,2,0)))</f>
        <v>0</v>
      </c>
      <c r="BO57" s="168">
        <f>IF(CdTrp1!U85=1,1,IF(CdTrp1!U85=2,2,IF(CdTrp1!U85=3,2,0)))</f>
        <v>0</v>
      </c>
      <c r="BP57" s="168">
        <f>IF(CdTrp1!V85=1,1,IF(CdTrp1!V85=2,2,IF(CdTrp1!V85=3,2,0)))</f>
        <v>0</v>
      </c>
      <c r="BQ57" s="168">
        <f>IF(CdTrp1!W85=1,1,IF(CdTrp1!W85=2,2,IF(CdTrp1!W85=3,2,0)))</f>
        <v>0</v>
      </c>
      <c r="BR57" s="168">
        <f>IF(CdTrp1!X85=1,1,IF(CdTrp1!X85=2,2,IF(CdTrp1!X85=3,2,0)))</f>
        <v>0</v>
      </c>
      <c r="BS57" s="168">
        <f>IF(CdTrp1!Y85=1,1,IF(CdTrp1!Y85=2,2,IF(CdTrp1!Y85=3,2,0)))</f>
        <v>0</v>
      </c>
      <c r="BZ57" s="182" t="str">
        <f t="shared" si="29"/>
        <v>lot10</v>
      </c>
      <c r="CA57" s="32"/>
      <c r="CB57" s="168">
        <f>IF(CdTrp2!B85=1,1,IF(CdTrp2!B85=2,2,IF(CdTrp2!B85=3,2,0)))</f>
        <v>0</v>
      </c>
      <c r="CC57" s="168">
        <f>IF(CdTrp2!C85=1,1,IF(CdTrp2!C85=2,2,IF(CdTrp2!C85=3,2,0)))</f>
        <v>0</v>
      </c>
      <c r="CD57" s="168">
        <f>IF(CdTrp2!D85=1,1,IF(CdTrp2!D85=2,2,IF(CdTrp2!D85=3,2,0)))</f>
        <v>0</v>
      </c>
      <c r="CE57" s="168">
        <f>IF(CdTrp2!E85=1,1,IF(CdTrp2!E85=2,2,IF(CdTrp2!E85=3,2,0)))</f>
        <v>0</v>
      </c>
      <c r="CF57" s="168">
        <f>IF(CdTrp2!F85=1,1,IF(CdTrp2!F85=2,2,IF(CdTrp2!F85=3,2,0)))</f>
        <v>0</v>
      </c>
      <c r="CG57" s="168">
        <f>IF(CdTrp2!G85=1,1,IF(CdTrp2!G85=2,2,IF(CdTrp2!G85=3,2,0)))</f>
        <v>0</v>
      </c>
      <c r="CH57" s="168">
        <f>IF(CdTrp2!H85=1,1,IF(CdTrp2!H85=2,2,IF(CdTrp2!H85=3,2,0)))</f>
        <v>0</v>
      </c>
      <c r="CI57" s="168">
        <f>IF(CdTrp2!I85=1,1,IF(CdTrp2!I85=2,2,IF(CdTrp2!I85=3,2,0)))</f>
        <v>0</v>
      </c>
      <c r="CJ57" s="168">
        <f>IF(CdTrp2!J85=1,1,IF(CdTrp2!J85=2,2,IF(CdTrp2!J85=3,2,0)))</f>
        <v>0</v>
      </c>
      <c r="CK57" s="168">
        <f>IF(CdTrp2!K85=1,1,IF(CdTrp2!K85=2,2,IF(CdTrp2!K85=3,2,0)))</f>
        <v>0</v>
      </c>
      <c r="CL57" s="168">
        <f>IF(CdTrp2!L85=1,1,IF(CdTrp2!L85=2,2,IF(CdTrp2!L85=3,2,0)))</f>
        <v>0</v>
      </c>
      <c r="CM57" s="168">
        <f>IF(CdTrp2!M85=1,1,IF(CdTrp2!M85=2,2,IF(CdTrp2!M85=3,2,0)))</f>
        <v>0</v>
      </c>
      <c r="CN57" s="168">
        <f>IF(CdTrp2!N85=1,1,IF(CdTrp2!N85=2,2,IF(CdTrp2!N85=3,2,0)))</f>
        <v>0</v>
      </c>
      <c r="CO57" s="168">
        <f>IF(CdTrp2!O85=1,1,IF(CdTrp2!O85=2,2,IF(CdTrp2!O85=3,2,0)))</f>
        <v>0</v>
      </c>
      <c r="CP57" s="168">
        <f>IF(CdTrp2!P85=1,1,IF(CdTrp2!P85=2,2,IF(CdTrp2!P85=3,2,0)))</f>
        <v>0</v>
      </c>
      <c r="CQ57" s="168">
        <f>IF(CdTrp2!Q85=1,1,IF(CdTrp2!Q85=2,2,IF(CdTrp2!Q85=3,2,0)))</f>
        <v>0</v>
      </c>
      <c r="CR57" s="168">
        <f>IF(CdTrp2!R85=1,1,IF(CdTrp2!R85=2,2,IF(CdTrp2!R85=3,2,0)))</f>
        <v>0</v>
      </c>
      <c r="CS57" s="168">
        <f>IF(CdTrp2!S85=1,1,IF(CdTrp2!S85=2,2,IF(CdTrp2!S85=3,2,0)))</f>
        <v>0</v>
      </c>
      <c r="CT57" s="168">
        <f>IF(CdTrp2!T85=1,1,IF(CdTrp2!T85=2,2,IF(CdTrp2!T85=3,2,0)))</f>
        <v>0</v>
      </c>
      <c r="CU57" s="168">
        <f>IF(CdTrp2!U85=1,1,IF(CdTrp2!U85=2,2,IF(CdTrp2!U85=3,2,0)))</f>
        <v>0</v>
      </c>
      <c r="CV57" s="168">
        <f>IF(CdTrp2!V85=1,1,IF(CdTrp2!V85=2,2,IF(CdTrp2!V85=3,2,0)))</f>
        <v>0</v>
      </c>
      <c r="CW57" s="168">
        <f>IF(CdTrp2!W85=1,1,IF(CdTrp2!W85=2,2,IF(CdTrp2!W85=3,2,0)))</f>
        <v>0</v>
      </c>
      <c r="CX57" s="168">
        <f>IF(CdTrp2!X85=1,1,IF(CdTrp2!X85=2,2,IF(CdTrp2!X85=3,2,0)))</f>
        <v>0</v>
      </c>
      <c r="CY57" s="168">
        <f>IF(CdTrp2!Y85=1,1,IF(CdTrp2!Y85=2,2,IF(CdTrp2!Y85=3,2,0)))</f>
        <v>0</v>
      </c>
      <c r="DC57" s="182" t="str">
        <f t="shared" si="30"/>
        <v>lot10</v>
      </c>
      <c r="DD57" s="32"/>
      <c r="DE57" s="168">
        <f>IF(CdTrp3!B85=1,1,IF(CdTrp3!B85=2,2,IF(CdTrp3!B85=3,2,0)))</f>
        <v>0</v>
      </c>
      <c r="DF57" s="168">
        <f>IF(CdTrp3!C85=1,1,IF(CdTrp3!C85=2,2,IF(CdTrp3!C85=3,2,0)))</f>
        <v>0</v>
      </c>
      <c r="DG57" s="168">
        <f>IF(CdTrp3!D85=1,1,IF(CdTrp3!D85=2,2,IF(CdTrp3!D85=3,2,0)))</f>
        <v>0</v>
      </c>
      <c r="DH57" s="168">
        <f>IF(CdTrp3!E85=1,1,IF(CdTrp3!E85=2,2,IF(CdTrp3!E85=3,2,0)))</f>
        <v>0</v>
      </c>
      <c r="DI57" s="168">
        <f>IF(CdTrp3!F85=1,1,IF(CdTrp3!F85=2,2,IF(CdTrp3!F85=3,2,0)))</f>
        <v>0</v>
      </c>
      <c r="DJ57" s="168">
        <f>IF(CdTrp3!G85=1,1,IF(CdTrp3!G85=2,2,IF(CdTrp3!G85=3,2,0)))</f>
        <v>0</v>
      </c>
      <c r="DK57" s="168">
        <f>IF(CdTrp3!H85=1,1,IF(CdTrp3!H85=2,2,IF(CdTrp3!H85=3,2,0)))</f>
        <v>0</v>
      </c>
      <c r="DL57" s="168">
        <f>IF(CdTrp3!I85=1,1,IF(CdTrp3!I85=2,2,IF(CdTrp3!I85=3,2,0)))</f>
        <v>0</v>
      </c>
      <c r="DM57" s="168">
        <f>IF(CdTrp3!J85=1,1,IF(CdTrp3!J85=2,2,IF(CdTrp3!J85=3,2,0)))</f>
        <v>0</v>
      </c>
      <c r="DN57" s="168">
        <f>IF(CdTrp3!K85=1,1,IF(CdTrp3!K85=2,2,IF(CdTrp3!K85=3,2,0)))</f>
        <v>0</v>
      </c>
      <c r="DO57" s="168">
        <f>IF(CdTrp3!L85=1,1,IF(CdTrp3!L85=2,2,IF(CdTrp3!L85=3,2,0)))</f>
        <v>0</v>
      </c>
      <c r="DP57" s="168">
        <f>IF(CdTrp3!M85=1,1,IF(CdTrp3!M85=2,2,IF(CdTrp3!M85=3,2,0)))</f>
        <v>0</v>
      </c>
      <c r="DQ57" s="168">
        <f>IF(CdTrp3!N85=1,1,IF(CdTrp3!N85=2,2,IF(CdTrp3!N85=3,2,0)))</f>
        <v>0</v>
      </c>
      <c r="DR57" s="168">
        <f>IF(CdTrp3!O85=1,1,IF(CdTrp3!O85=2,2,IF(CdTrp3!O85=3,2,0)))</f>
        <v>0</v>
      </c>
      <c r="DS57" s="168">
        <f>IF(CdTrp3!P85=1,1,IF(CdTrp3!P85=2,2,IF(CdTrp3!P85=3,2,0)))</f>
        <v>0</v>
      </c>
      <c r="DT57" s="168">
        <f>IF(CdTrp3!Q85=1,1,IF(CdTrp3!Q85=2,2,IF(CdTrp3!Q85=3,2,0)))</f>
        <v>0</v>
      </c>
      <c r="DU57" s="168">
        <f>IF(CdTrp3!R85=1,1,IF(CdTrp3!R85=2,2,IF(CdTrp3!R85=3,2,0)))</f>
        <v>0</v>
      </c>
      <c r="DV57" s="168">
        <f>IF(CdTrp3!S85=1,1,IF(CdTrp3!S85=2,2,IF(CdTrp3!S85=3,2,0)))</f>
        <v>0</v>
      </c>
      <c r="DW57" s="168">
        <f>IF(CdTrp3!T85=1,1,IF(CdTrp3!T85=2,2,IF(CdTrp3!T85=3,2,0)))</f>
        <v>0</v>
      </c>
      <c r="DX57" s="168">
        <f>IF(CdTrp3!U85=1,1,IF(CdTrp3!U85=2,2,IF(CdTrp3!U85=3,2,0)))</f>
        <v>0</v>
      </c>
      <c r="DY57" s="168">
        <f>IF(CdTrp3!V85=1,1,IF(CdTrp3!V85=2,2,IF(CdTrp3!V85=3,2,0)))</f>
        <v>0</v>
      </c>
      <c r="DZ57" s="168">
        <f>IF(CdTrp3!W85=1,1,IF(CdTrp3!W85=2,2,IF(CdTrp3!W85=3,2,0)))</f>
        <v>0</v>
      </c>
      <c r="EA57" s="168">
        <f>IF(CdTrp3!X85=1,1,IF(CdTrp3!X85=2,2,IF(CdTrp3!X85=3,2,0)))</f>
        <v>0</v>
      </c>
      <c r="EB57" s="168">
        <f>IF(CdTrp3!Y85=1,1,IF(CdTrp3!Y85=2,2,IF(CdTrp3!Y85=3,2,0)))</f>
        <v>0</v>
      </c>
    </row>
    <row r="58" spans="1:132" x14ac:dyDescent="0.25">
      <c r="A58" s="5" t="s">
        <v>776</v>
      </c>
      <c r="B58" s="172">
        <f>Scénario!M28-Travail!B55</f>
        <v>2.1579999999999977</v>
      </c>
      <c r="C58" s="183">
        <f>IF(B58&gt;[1]Trav!E122,[1]Trav!C122,[1]Trav!B122)</f>
        <v>4.4000000000000004</v>
      </c>
      <c r="E58" s="166"/>
      <c r="F58" s="168">
        <f t="shared" si="32"/>
        <v>9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181" t="s">
        <v>730</v>
      </c>
      <c r="AT58" s="40" t="s">
        <v>777</v>
      </c>
      <c r="AU58" s="14"/>
      <c r="BZ58" s="40" t="s">
        <v>777</v>
      </c>
      <c r="CA58" s="14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DC58" s="40" t="s">
        <v>777</v>
      </c>
      <c r="DD58" s="14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</row>
    <row r="59" spans="1:132" x14ac:dyDescent="0.25">
      <c r="A59" s="5" t="s">
        <v>778</v>
      </c>
      <c r="B59" s="172">
        <f>Scénario!K32</f>
        <v>0</v>
      </c>
      <c r="C59" s="183">
        <f>[1]Trav!$B$123</f>
        <v>7.2</v>
      </c>
      <c r="E59" s="166"/>
      <c r="F59" s="168">
        <f t="shared" si="32"/>
        <v>0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181" t="s">
        <v>730</v>
      </c>
      <c r="AT59" s="14" t="s">
        <v>779</v>
      </c>
      <c r="AU59" s="30">
        <f>VALUE(CONCATENATE(Scénario!K8,Travail!AU2))</f>
        <v>12</v>
      </c>
      <c r="BZ59" s="14" t="s">
        <v>779</v>
      </c>
      <c r="CA59" s="30">
        <f>VALUE(CONCATENATE(Scénario!K8,Travail!CA2))</f>
        <v>10</v>
      </c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DC59" s="14" t="s">
        <v>779</v>
      </c>
      <c r="DD59" s="30">
        <f>VALUE(CONCATENATE(Scénario!K8,Travail!DD2))</f>
        <v>10</v>
      </c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</row>
    <row r="60" spans="1:132" x14ac:dyDescent="0.25">
      <c r="A60" s="23" t="s">
        <v>780</v>
      </c>
      <c r="B60" s="5"/>
      <c r="C60" s="5"/>
      <c r="F60" s="166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181" t="s">
        <v>730</v>
      </c>
      <c r="AT60" s="182" t="str">
        <f>+AT48</f>
        <v xml:space="preserve">Vaches </v>
      </c>
      <c r="AV60" s="168">
        <f>IF(AV15=0,0,IF(AV37=3,0,VALUE(CONCATENATE(Travail!AV26,Travail!AV37,Travail!AV48))))</f>
        <v>0</v>
      </c>
      <c r="AW60" s="168">
        <f>IF(AW15=0,0,IF(AW37=3,0,VALUE(CONCATENATE(Travail!AW26,Travail!AW37,Travail!AW48))))</f>
        <v>0</v>
      </c>
      <c r="AX60" s="168">
        <f>IF(AX15=0,0,IF(AX37=3,0,VALUE(CONCATENATE(Travail!AX26,Travail!AX37,Travail!AX48))))</f>
        <v>0</v>
      </c>
      <c r="AY60" s="168">
        <f>IF(AY15=0,0,IF(AY37=3,0,VALUE(CONCATENATE(Travail!AY26,Travail!AY37,Travail!AY48))))</f>
        <v>0</v>
      </c>
      <c r="AZ60" s="168">
        <f>IF(AZ15=0,0,IF(AZ37=3,0,VALUE(CONCATENATE(Travail!AZ26,Travail!AZ37,Travail!AZ48))))</f>
        <v>211</v>
      </c>
      <c r="BA60" s="168">
        <f>IF(BA15=0,0,IF(BA37=3,0,VALUE(CONCATENATE(Travail!BA26,Travail!BA37,Travail!BA48))))</f>
        <v>211</v>
      </c>
      <c r="BB60" s="168">
        <f>IF(BB15=0,0,IF(BB37=3,0,VALUE(CONCATENATE(Travail!BB26,Travail!BB37,Travail!BB48))))</f>
        <v>211</v>
      </c>
      <c r="BC60" s="168">
        <f>IF(BC15=0,0,IF(BC37=3,0,VALUE(CONCATENATE(Travail!BC26,Travail!BC37,Travail!BC48))))</f>
        <v>211</v>
      </c>
      <c r="BD60" s="168">
        <f>IF(BD15=0,0,IF(BD37=3,0,VALUE(CONCATENATE(Travail!BD26,Travail!BD37,Travail!BD48))))</f>
        <v>211</v>
      </c>
      <c r="BE60" s="168">
        <f>IF(BE15=0,0,IF(BE37=3,0,VALUE(CONCATENATE(Travail!BE26,Travail!BE37,Travail!BE48))))</f>
        <v>211</v>
      </c>
      <c r="BF60" s="168">
        <f>IF(BF15=0,0,IF(BF37=3,0,VALUE(CONCATENATE(Travail!BF26,Travail!BF37,Travail!BF48))))</f>
        <v>211</v>
      </c>
      <c r="BG60" s="168">
        <f>IF(BG15=0,0,IF(BG37=3,0,VALUE(CONCATENATE(Travail!BG26,Travail!BG37,Travail!BG48))))</f>
        <v>211</v>
      </c>
      <c r="BH60" s="168">
        <f>IF(BH15=0,0,IF(BH37=3,0,VALUE(CONCATENATE(Travail!BH26,Travail!BH37,Travail!BH48))))</f>
        <v>211</v>
      </c>
      <c r="BI60" s="168">
        <f>IF(BI15=0,0,IF(BI37=3,0,VALUE(CONCATENATE(Travail!BI26,Travail!BI37,Travail!BI48))))</f>
        <v>211</v>
      </c>
      <c r="BJ60" s="168">
        <f>IF(BJ15=0,0,IF(BJ37=3,0,VALUE(CONCATENATE(Travail!BJ26,Travail!BJ37,Travail!BJ48))))</f>
        <v>211</v>
      </c>
      <c r="BK60" s="168">
        <f>IF(BK15=0,0,IF(BK37=3,0,VALUE(CONCATENATE(Travail!BK26,Travail!BK37,Travail!BK48))))</f>
        <v>211</v>
      </c>
      <c r="BL60" s="168">
        <f>IF(BL15=0,0,IF(BL37=3,0,VALUE(CONCATENATE(Travail!BL26,Travail!BL37,Travail!BL48))))</f>
        <v>211</v>
      </c>
      <c r="BM60" s="168">
        <f>IF(BM15=0,0,IF(BM37=3,0,VALUE(CONCATENATE(Travail!BM26,Travail!BM37,Travail!BM48))))</f>
        <v>211</v>
      </c>
      <c r="BN60" s="168">
        <f>IF(BN15=0,0,IF(BN37=3,0,VALUE(CONCATENATE(Travail!BN26,Travail!BN37,Travail!BN48))))</f>
        <v>211</v>
      </c>
      <c r="BO60" s="168">
        <f>IF(BO15=0,0,IF(BO37=3,0,VALUE(CONCATENATE(Travail!BO26,Travail!BO37,Travail!BO48))))</f>
        <v>211</v>
      </c>
      <c r="BP60" s="168">
        <f>IF(BP15=0,0,IF(BP37=3,0,VALUE(CONCATENATE(Travail!BP26,Travail!BP37,Travail!BP48))))</f>
        <v>0</v>
      </c>
      <c r="BQ60" s="168">
        <f>IF(BQ15=0,0,IF(BQ37=3,0,VALUE(CONCATENATE(Travail!BQ26,Travail!BQ37,Travail!BQ48))))</f>
        <v>0</v>
      </c>
      <c r="BR60" s="168">
        <f>IF(BR15=0,0,IF(BR37=3,0,VALUE(CONCATENATE(Travail!BR26,Travail!BR37,Travail!BR48))))</f>
        <v>0</v>
      </c>
      <c r="BS60" s="168">
        <f>IF(BS15=0,0,IF(BS37=3,0,VALUE(CONCATENATE(Travail!BS26,Travail!BS37,Travail!BS48))))</f>
        <v>0</v>
      </c>
      <c r="BU60">
        <v>1</v>
      </c>
      <c r="BV60" t="s">
        <v>781</v>
      </c>
      <c r="BZ60" s="182" t="str">
        <f t="shared" ref="BZ60:BZ69" si="33">BZ4</f>
        <v>lot1</v>
      </c>
      <c r="CB60" s="168">
        <f>IF(CB15=0,0,IF(CB37=3,0,VALUE(CONCATENATE(Travail!CB26,Travail!CB37,Travail!CB48))))</f>
        <v>0</v>
      </c>
      <c r="CC60" s="168">
        <f>IF(CC15=0,0,IF(CC37=3,0,VALUE(CONCATENATE(Travail!CC26,Travail!CC37,Travail!CC48))))</f>
        <v>0</v>
      </c>
      <c r="CD60" s="168">
        <f>IF(CD15=0,0,IF(CD37=3,0,VALUE(CONCATENATE(Travail!CD26,Travail!CD37,Travail!CD48))))</f>
        <v>0</v>
      </c>
      <c r="CE60" s="168">
        <f>IF(CE15=0,0,IF(CE37=3,0,VALUE(CONCATENATE(Travail!CE26,Travail!CE37,Travail!CE48))))</f>
        <v>0</v>
      </c>
      <c r="CF60" s="168">
        <f>IF(CF15=0,0,IF(CF37=3,0,VALUE(CONCATENATE(Travail!CF26,Travail!CF37,Travail!CF48))))</f>
        <v>0</v>
      </c>
      <c r="CG60" s="168">
        <f>IF(CG15=0,0,IF(CG37=3,0,VALUE(CONCATENATE(Travail!CG26,Travail!CG37,Travail!CG48))))</f>
        <v>0</v>
      </c>
      <c r="CH60" s="168">
        <f>IF(CH15=0,0,IF(CH37=3,0,VALUE(CONCATENATE(Travail!CH26,Travail!CH37,Travail!CH48))))</f>
        <v>0</v>
      </c>
      <c r="CI60" s="168">
        <f>IF(CI15=0,0,IF(CI37=3,0,VALUE(CONCATENATE(Travail!CI26,Travail!CI37,Travail!CI48))))</f>
        <v>0</v>
      </c>
      <c r="CJ60" s="168">
        <f>IF(CJ15=0,0,IF(CJ37=3,0,VALUE(CONCATENATE(Travail!CJ26,Travail!CJ37,Travail!CJ48))))</f>
        <v>0</v>
      </c>
      <c r="CK60" s="168">
        <f>IF(CK15=0,0,IF(CK37=3,0,VALUE(CONCATENATE(Travail!CK26,Travail!CK37,Travail!CK48))))</f>
        <v>0</v>
      </c>
      <c r="CL60" s="168">
        <f>IF(CL15=0,0,IF(CL37=3,0,VALUE(CONCATENATE(Travail!CL26,Travail!CL37,Travail!CL48))))</f>
        <v>0</v>
      </c>
      <c r="CM60" s="168">
        <f>IF(CM15=0,0,IF(CM37=3,0,VALUE(CONCATENATE(Travail!CM26,Travail!CM37,Travail!CM48))))</f>
        <v>0</v>
      </c>
      <c r="CN60" s="168">
        <f>IF(CN15=0,0,IF(CN37=3,0,VALUE(CONCATENATE(Travail!CN26,Travail!CN37,Travail!CN48))))</f>
        <v>0</v>
      </c>
      <c r="CO60" s="168">
        <f>IF(CO15=0,0,IF(CO37=3,0,VALUE(CONCATENATE(Travail!CO26,Travail!CO37,Travail!CO48))))</f>
        <v>0</v>
      </c>
      <c r="CP60" s="168">
        <f>IF(CP15=0,0,IF(CP37=3,0,VALUE(CONCATENATE(Travail!CP26,Travail!CP37,Travail!CP48))))</f>
        <v>0</v>
      </c>
      <c r="CQ60" s="168">
        <f>IF(CQ15=0,0,IF(CQ37=3,0,VALUE(CONCATENATE(Travail!CQ26,Travail!CQ37,Travail!CQ48))))</f>
        <v>0</v>
      </c>
      <c r="CR60" s="168">
        <f>IF(CR15=0,0,IF(CR37=3,0,VALUE(CONCATENATE(Travail!CR26,Travail!CR37,Travail!CR48))))</f>
        <v>0</v>
      </c>
      <c r="CS60" s="168">
        <f>IF(CS15=0,0,IF(CS37=3,0,VALUE(CONCATENATE(Travail!CS26,Travail!CS37,Travail!CS48))))</f>
        <v>0</v>
      </c>
      <c r="CT60" s="168">
        <f>IF(CT15=0,0,IF(CT37=3,0,VALUE(CONCATENATE(Travail!CT26,Travail!CT37,Travail!CT48))))</f>
        <v>0</v>
      </c>
      <c r="CU60" s="168">
        <f>IF(CU15=0,0,IF(CU37=3,0,VALUE(CONCATENATE(Travail!CU26,Travail!CU37,Travail!CU48))))</f>
        <v>0</v>
      </c>
      <c r="CV60" s="168">
        <f>IF(CV15=0,0,IF(CV37=3,0,VALUE(CONCATENATE(Travail!CV26,Travail!CV37,Travail!CV48))))</f>
        <v>0</v>
      </c>
      <c r="CW60" s="168">
        <f>IF(CW15=0,0,IF(CW37=3,0,VALUE(CONCATENATE(Travail!CW26,Travail!CW37,Travail!CW48))))</f>
        <v>0</v>
      </c>
      <c r="CX60" s="168">
        <f>IF(CX15=0,0,IF(CX37=3,0,VALUE(CONCATENATE(Travail!CX26,Travail!CX37,Travail!CX48))))</f>
        <v>0</v>
      </c>
      <c r="CY60" s="168">
        <f>IF(CY15=0,0,IF(CY37=3,0,VALUE(CONCATENATE(Travail!CY26,Travail!CY37,Travail!CY48))))</f>
        <v>0</v>
      </c>
      <c r="DC60" s="182" t="str">
        <f t="shared" ref="DC60:DC69" si="34">DC4</f>
        <v>lot1</v>
      </c>
      <c r="DE60" s="168">
        <f>IF(DE15=0,0,IF(DE37=3,0,VALUE(CONCATENATE(Travail!DE26,Travail!DE37,Travail!DE48))))</f>
        <v>0</v>
      </c>
      <c r="DF60" s="168">
        <f>IF(DF15=0,0,IF(DF37=3,0,VALUE(CONCATENATE(Travail!DF26,Travail!DF37,Travail!DF48))))</f>
        <v>0</v>
      </c>
      <c r="DG60" s="168">
        <f>IF(DG15=0,0,IF(DG37=3,0,VALUE(CONCATENATE(Travail!DG26,Travail!DG37,Travail!DG48))))</f>
        <v>0</v>
      </c>
      <c r="DH60" s="168">
        <f>IF(DH15=0,0,IF(DH37=3,0,VALUE(CONCATENATE(Travail!DH26,Travail!DH37,Travail!DH48))))</f>
        <v>0</v>
      </c>
      <c r="DI60" s="168">
        <f>IF(DI15=0,0,IF(DI37=3,0,VALUE(CONCATENATE(Travail!DI26,Travail!DI37,Travail!DI48))))</f>
        <v>0</v>
      </c>
      <c r="DJ60" s="168">
        <f>IF(DJ15=0,0,IF(DJ37=3,0,VALUE(CONCATENATE(Travail!DJ26,Travail!DJ37,Travail!DJ48))))</f>
        <v>0</v>
      </c>
      <c r="DK60" s="168">
        <f>IF(DK15=0,0,IF(DK37=3,0,VALUE(CONCATENATE(Travail!DK26,Travail!DK37,Travail!DK48))))</f>
        <v>0</v>
      </c>
      <c r="DL60" s="168">
        <f>IF(DL15=0,0,IF(DL37=3,0,VALUE(CONCATENATE(Travail!DL26,Travail!DL37,Travail!DL48))))</f>
        <v>0</v>
      </c>
      <c r="DM60" s="168">
        <f>IF(DM15=0,0,IF(DM37=3,0,VALUE(CONCATENATE(Travail!DM26,Travail!DM37,Travail!DM48))))</f>
        <v>0</v>
      </c>
      <c r="DN60" s="168">
        <f>IF(DN15=0,0,IF(DN37=3,0,VALUE(CONCATENATE(Travail!DN26,Travail!DN37,Travail!DN48))))</f>
        <v>0</v>
      </c>
      <c r="DO60" s="168">
        <f>IF(DO15=0,0,IF(DO37=3,0,VALUE(CONCATENATE(Travail!DO26,Travail!DO37,Travail!DO48))))</f>
        <v>0</v>
      </c>
      <c r="DP60" s="168">
        <f>IF(DP15=0,0,IF(DP37=3,0,VALUE(CONCATENATE(Travail!DP26,Travail!DP37,Travail!DP48))))</f>
        <v>0</v>
      </c>
      <c r="DQ60" s="168">
        <f>IF(DQ15=0,0,IF(DQ37=3,0,VALUE(CONCATENATE(Travail!DQ26,Travail!DQ37,Travail!DQ48))))</f>
        <v>0</v>
      </c>
      <c r="DR60" s="168">
        <f>IF(DR15=0,0,IF(DR37=3,0,VALUE(CONCATENATE(Travail!DR26,Travail!DR37,Travail!DR48))))</f>
        <v>0</v>
      </c>
      <c r="DS60" s="168">
        <f>IF(DS15=0,0,IF(DS37=3,0,VALUE(CONCATENATE(Travail!DS26,Travail!DS37,Travail!DS48))))</f>
        <v>0</v>
      </c>
      <c r="DT60" s="168">
        <f>IF(DT15=0,0,IF(DT37=3,0,VALUE(CONCATENATE(Travail!DT26,Travail!DT37,Travail!DT48))))</f>
        <v>0</v>
      </c>
      <c r="DU60" s="168">
        <f>IF(DU15=0,0,IF(DU37=3,0,VALUE(CONCATENATE(Travail!DU26,Travail!DU37,Travail!DU48))))</f>
        <v>0</v>
      </c>
      <c r="DV60" s="168">
        <f>IF(DV15=0,0,IF(DV37=3,0,VALUE(CONCATENATE(Travail!DV26,Travail!DV37,Travail!DV48))))</f>
        <v>0</v>
      </c>
      <c r="DW60" s="168">
        <f>IF(DW15=0,0,IF(DW37=3,0,VALUE(CONCATENATE(Travail!DW26,Travail!DW37,Travail!DW48))))</f>
        <v>0</v>
      </c>
      <c r="DX60" s="168">
        <f>IF(DX15=0,0,IF(DX37=3,0,VALUE(CONCATENATE(Travail!DX26,Travail!DX37,Travail!DX48))))</f>
        <v>0</v>
      </c>
      <c r="DY60" s="168">
        <f>IF(DY15=0,0,IF(DY37=3,0,VALUE(CONCATENATE(Travail!DY26,Travail!DY37,Travail!DY48))))</f>
        <v>0</v>
      </c>
      <c r="DZ60" s="168">
        <f>IF(DZ15=0,0,IF(DZ37=3,0,VALUE(CONCATENATE(Travail!DZ26,Travail!DZ37,Travail!DZ48))))</f>
        <v>0</v>
      </c>
      <c r="EA60" s="168">
        <f>IF(EA15=0,0,IF(EA37=3,0,VALUE(CONCATENATE(Travail!EA26,Travail!EA37,Travail!EA48))))</f>
        <v>0</v>
      </c>
      <c r="EB60" s="168">
        <f>IF(EB15=0,0,IF(EB37=3,0,VALUE(CONCATENATE(Travail!EB26,Travail!EB37,Travail!EB48))))</f>
        <v>0</v>
      </c>
    </row>
    <row r="61" spans="1:132" x14ac:dyDescent="0.25">
      <c r="A61" s="5" t="s">
        <v>782</v>
      </c>
      <c r="B61" s="5"/>
      <c r="C61" s="5"/>
      <c r="F61" s="168">
        <f>[1]Trav!$B$126*8</f>
        <v>120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181" t="s">
        <v>730</v>
      </c>
      <c r="AT61" s="182" t="str">
        <f>+AT49</f>
        <v>Génisses 24 mois</v>
      </c>
      <c r="AV61" s="168">
        <f>IF(AV16=0,0,IF(AV38=3,0,VALUE(CONCATENATE(Travail!AV27,Travail!AV38,Travail!AV49))))</f>
        <v>0</v>
      </c>
      <c r="AW61" s="168">
        <f>IF(AW16=0,0,IF(AW38=3,0,VALUE(CONCATENATE(Travail!AW27,Travail!AW38,Travail!AW49))))</f>
        <v>0</v>
      </c>
      <c r="AX61" s="168">
        <f>IF(AX16=0,0,IF(AX38=3,0,VALUE(CONCATENATE(Travail!AX27,Travail!AX38,Travail!AX49))))</f>
        <v>0</v>
      </c>
      <c r="AY61" s="168">
        <f>IF(AY16=0,0,IF(AY38=3,0,VALUE(CONCATENATE(Travail!AY27,Travail!AY38,Travail!AY49))))</f>
        <v>0</v>
      </c>
      <c r="AZ61" s="168">
        <f>IF(AZ16=0,0,IF(AZ38=3,0,VALUE(CONCATENATE(Travail!AZ27,Travail!AZ38,Travail!AZ49))))</f>
        <v>121</v>
      </c>
      <c r="BA61" s="168">
        <f>IF(BA16=0,0,IF(BA38=3,0,VALUE(CONCATENATE(Travail!BA27,Travail!BA38,Travail!BA49))))</f>
        <v>121</v>
      </c>
      <c r="BB61" s="168">
        <f>IF(BB16=0,0,IF(BB38=3,0,VALUE(CONCATENATE(Travail!BB27,Travail!BB38,Travail!BB49))))</f>
        <v>111</v>
      </c>
      <c r="BC61" s="168">
        <f>IF(BC16=0,0,IF(BC38=3,0,VALUE(CONCATENATE(Travail!BC27,Travail!BC38,Travail!BC49))))</f>
        <v>111</v>
      </c>
      <c r="BD61" s="168">
        <f>IF(BD16=0,0,IF(BD38=3,0,VALUE(CONCATENATE(Travail!BD27,Travail!BD38,Travail!BD49))))</f>
        <v>111</v>
      </c>
      <c r="BE61" s="168">
        <f>IF(BE16=0,0,IF(BE38=3,0,VALUE(CONCATENATE(Travail!BE27,Travail!BE38,Travail!BE49))))</f>
        <v>111</v>
      </c>
      <c r="BF61" s="168">
        <f>IF(BF16=0,0,IF(BF38=3,0,VALUE(CONCATENATE(Travail!BF27,Travail!BF38,Travail!BF49))))</f>
        <v>111</v>
      </c>
      <c r="BG61" s="168">
        <f>IF(BG16=0,0,IF(BG38=3,0,VALUE(CONCATENATE(Travail!BG27,Travail!BG38,Travail!BG49))))</f>
        <v>111</v>
      </c>
      <c r="BH61" s="168">
        <f>IF(BH16=0,0,IF(BH38=3,0,VALUE(CONCATENATE(Travail!BH27,Travail!BH38,Travail!BH49))))</f>
        <v>111</v>
      </c>
      <c r="BI61" s="168">
        <f>IF(BI16=0,0,IF(BI38=3,0,VALUE(CONCATENATE(Travail!BI27,Travail!BI38,Travail!BI49))))</f>
        <v>111</v>
      </c>
      <c r="BJ61" s="168">
        <f>IF(BJ16=0,0,IF(BJ38=3,0,VALUE(CONCATENATE(Travail!BJ27,Travail!BJ38,Travail!BJ49))))</f>
        <v>111</v>
      </c>
      <c r="BK61" s="168">
        <f>IF(BK16=0,0,IF(BK38=3,0,VALUE(CONCATENATE(Travail!BK27,Travail!BK38,Travail!BK49))))</f>
        <v>111</v>
      </c>
      <c r="BL61" s="168">
        <f>IF(BL16=0,0,IF(BL38=3,0,VALUE(CONCATENATE(Travail!BL27,Travail!BL38,Travail!BL49))))</f>
        <v>111</v>
      </c>
      <c r="BM61" s="168">
        <f>IF(BM16=0,0,IF(BM38=3,0,VALUE(CONCATENATE(Travail!BM27,Travail!BM38,Travail!BM49))))</f>
        <v>111</v>
      </c>
      <c r="BN61" s="168">
        <f>IF(BN16=0,0,IF(BN38=3,0,VALUE(CONCATENATE(Travail!BN27,Travail!BN38,Travail!BN49))))</f>
        <v>111</v>
      </c>
      <c r="BO61" s="168">
        <f>IF(BO16=0,0,IF(BO38=3,0,VALUE(CONCATENATE(Travail!BO27,Travail!BO38,Travail!BO49))))</f>
        <v>111</v>
      </c>
      <c r="BP61" s="168">
        <f>IF(BP16=0,0,IF(BP38=3,0,VALUE(CONCATENATE(Travail!BP27,Travail!BP38,Travail!BP49))))</f>
        <v>121</v>
      </c>
      <c r="BQ61" s="168">
        <f>IF(BQ16=0,0,IF(BQ38=3,0,VALUE(CONCATENATE(Travail!BQ27,Travail!BQ38,Travail!BQ49))))</f>
        <v>0</v>
      </c>
      <c r="BR61" s="168">
        <f>IF(BR16=0,0,IF(BR38=3,0,VALUE(CONCATENATE(Travail!BR27,Travail!BR38,Travail!BR49))))</f>
        <v>0</v>
      </c>
      <c r="BS61" s="168">
        <f>IF(BS16=0,0,IF(BS38=3,0,VALUE(CONCATENATE(Travail!BS27,Travail!BS38,Travail!BS49))))</f>
        <v>0</v>
      </c>
      <c r="BZ61" s="182" t="str">
        <f t="shared" si="33"/>
        <v>lot2</v>
      </c>
      <c r="CB61" s="168">
        <f>IF(CB16=0,0,IF(CB38=3,0,VALUE(CONCATENATE(Travail!CB27,Travail!CB38,Travail!CB49))))</f>
        <v>0</v>
      </c>
      <c r="CC61" s="168">
        <f>IF(CC16=0,0,IF(CC38=3,0,VALUE(CONCATENATE(Travail!CC27,Travail!CC38,Travail!CC49))))</f>
        <v>0</v>
      </c>
      <c r="CD61" s="168">
        <f>IF(CD16=0,0,IF(CD38=3,0,VALUE(CONCATENATE(Travail!CD27,Travail!CD38,Travail!CD49))))</f>
        <v>0</v>
      </c>
      <c r="CE61" s="168">
        <f>IF(CE16=0,0,IF(CE38=3,0,VALUE(CONCATENATE(Travail!CE27,Travail!CE38,Travail!CE49))))</f>
        <v>0</v>
      </c>
      <c r="CF61" s="168">
        <f>IF(CF16=0,0,IF(CF38=3,0,VALUE(CONCATENATE(Travail!CF27,Travail!CF38,Travail!CF49))))</f>
        <v>0</v>
      </c>
      <c r="CG61" s="168">
        <f>IF(CG16=0,0,IF(CG38=3,0,VALUE(CONCATENATE(Travail!CG27,Travail!CG38,Travail!CG49))))</f>
        <v>0</v>
      </c>
      <c r="CH61" s="168">
        <f>IF(CH16=0,0,IF(CH38=3,0,VALUE(CONCATENATE(Travail!CH27,Travail!CH38,Travail!CH49))))</f>
        <v>0</v>
      </c>
      <c r="CI61" s="168">
        <f>IF(CI16=0,0,IF(CI38=3,0,VALUE(CONCATENATE(Travail!CI27,Travail!CI38,Travail!CI49))))</f>
        <v>0</v>
      </c>
      <c r="CJ61" s="168">
        <f>IF(CJ16=0,0,IF(CJ38=3,0,VALUE(CONCATENATE(Travail!CJ27,Travail!CJ38,Travail!CJ49))))</f>
        <v>0</v>
      </c>
      <c r="CK61" s="168">
        <f>IF(CK16=0,0,IF(CK38=3,0,VALUE(CONCATENATE(Travail!CK27,Travail!CK38,Travail!CK49))))</f>
        <v>0</v>
      </c>
      <c r="CL61" s="168">
        <f>IF(CL16=0,0,IF(CL38=3,0,VALUE(CONCATENATE(Travail!CL27,Travail!CL38,Travail!CL49))))</f>
        <v>0</v>
      </c>
      <c r="CM61" s="168">
        <f>IF(CM16=0,0,IF(CM38=3,0,VALUE(CONCATENATE(Travail!CM27,Travail!CM38,Travail!CM49))))</f>
        <v>0</v>
      </c>
      <c r="CN61" s="168">
        <f>IF(CN16=0,0,IF(CN38=3,0,VALUE(CONCATENATE(Travail!CN27,Travail!CN38,Travail!CN49))))</f>
        <v>0</v>
      </c>
      <c r="CO61" s="168">
        <f>IF(CO16=0,0,IF(CO38=3,0,VALUE(CONCATENATE(Travail!CO27,Travail!CO38,Travail!CO49))))</f>
        <v>0</v>
      </c>
      <c r="CP61" s="168">
        <f>IF(CP16=0,0,IF(CP38=3,0,VALUE(CONCATENATE(Travail!CP27,Travail!CP38,Travail!CP49))))</f>
        <v>0</v>
      </c>
      <c r="CQ61" s="168">
        <f>IF(CQ16=0,0,IF(CQ38=3,0,VALUE(CONCATENATE(Travail!CQ27,Travail!CQ38,Travail!CQ49))))</f>
        <v>0</v>
      </c>
      <c r="CR61" s="168">
        <f>IF(CR16=0,0,IF(CR38=3,0,VALUE(CONCATENATE(Travail!CR27,Travail!CR38,Travail!CR49))))</f>
        <v>0</v>
      </c>
      <c r="CS61" s="168">
        <f>IF(CS16=0,0,IF(CS38=3,0,VALUE(CONCATENATE(Travail!CS27,Travail!CS38,Travail!CS49))))</f>
        <v>0</v>
      </c>
      <c r="CT61" s="168">
        <f>IF(CT16=0,0,IF(CT38=3,0,VALUE(CONCATENATE(Travail!CT27,Travail!CT38,Travail!CT49))))</f>
        <v>0</v>
      </c>
      <c r="CU61" s="168">
        <f>IF(CU16=0,0,IF(CU38=3,0,VALUE(CONCATENATE(Travail!CU27,Travail!CU38,Travail!CU49))))</f>
        <v>0</v>
      </c>
      <c r="CV61" s="168">
        <f>IF(CV16=0,0,IF(CV38=3,0,VALUE(CONCATENATE(Travail!CV27,Travail!CV38,Travail!CV49))))</f>
        <v>0</v>
      </c>
      <c r="CW61" s="168">
        <f>IF(CW16=0,0,IF(CW38=3,0,VALUE(CONCATENATE(Travail!CW27,Travail!CW38,Travail!CW49))))</f>
        <v>0</v>
      </c>
      <c r="CX61" s="168">
        <f>IF(CX16=0,0,IF(CX38=3,0,VALUE(CONCATENATE(Travail!CX27,Travail!CX38,Travail!CX49))))</f>
        <v>0</v>
      </c>
      <c r="CY61" s="168">
        <f>IF(CY16=0,0,IF(CY38=3,0,VALUE(CONCATENATE(Travail!CY27,Travail!CY38,Travail!CY49))))</f>
        <v>0</v>
      </c>
      <c r="DC61" s="182" t="str">
        <f t="shared" si="34"/>
        <v>lot2</v>
      </c>
      <c r="DE61" s="168">
        <f>IF(DE16=0,0,IF(DE38=3,0,VALUE(CONCATENATE(Travail!DE27,Travail!DE38,Travail!DE49))))</f>
        <v>0</v>
      </c>
      <c r="DF61" s="168">
        <f>IF(DF16=0,0,IF(DF38=3,0,VALUE(CONCATENATE(Travail!DF27,Travail!DF38,Travail!DF49))))</f>
        <v>0</v>
      </c>
      <c r="DG61" s="168">
        <f>IF(DG16=0,0,IF(DG38=3,0,VALUE(CONCATENATE(Travail!DG27,Travail!DG38,Travail!DG49))))</f>
        <v>0</v>
      </c>
      <c r="DH61" s="168">
        <f>IF(DH16=0,0,IF(DH38=3,0,VALUE(CONCATENATE(Travail!DH27,Travail!DH38,Travail!DH49))))</f>
        <v>0</v>
      </c>
      <c r="DI61" s="168">
        <f>IF(DI16=0,0,IF(DI38=3,0,VALUE(CONCATENATE(Travail!DI27,Travail!DI38,Travail!DI49))))</f>
        <v>0</v>
      </c>
      <c r="DJ61" s="168">
        <f>IF(DJ16=0,0,IF(DJ38=3,0,VALUE(CONCATENATE(Travail!DJ27,Travail!DJ38,Travail!DJ49))))</f>
        <v>0</v>
      </c>
      <c r="DK61" s="168">
        <f>IF(DK16=0,0,IF(DK38=3,0,VALUE(CONCATENATE(Travail!DK27,Travail!DK38,Travail!DK49))))</f>
        <v>0</v>
      </c>
      <c r="DL61" s="168">
        <f>IF(DL16=0,0,IF(DL38=3,0,VALUE(CONCATENATE(Travail!DL27,Travail!DL38,Travail!DL49))))</f>
        <v>0</v>
      </c>
      <c r="DM61" s="168">
        <f>IF(DM16=0,0,IF(DM38=3,0,VALUE(CONCATENATE(Travail!DM27,Travail!DM38,Travail!DM49))))</f>
        <v>0</v>
      </c>
      <c r="DN61" s="168">
        <f>IF(DN16=0,0,IF(DN38=3,0,VALUE(CONCATENATE(Travail!DN27,Travail!DN38,Travail!DN49))))</f>
        <v>0</v>
      </c>
      <c r="DO61" s="168">
        <f>IF(DO16=0,0,IF(DO38=3,0,VALUE(CONCATENATE(Travail!DO27,Travail!DO38,Travail!DO49))))</f>
        <v>0</v>
      </c>
      <c r="DP61" s="168">
        <f>IF(DP16=0,0,IF(DP38=3,0,VALUE(CONCATENATE(Travail!DP27,Travail!DP38,Travail!DP49))))</f>
        <v>0</v>
      </c>
      <c r="DQ61" s="168">
        <f>IF(DQ16=0,0,IF(DQ38=3,0,VALUE(CONCATENATE(Travail!DQ27,Travail!DQ38,Travail!DQ49))))</f>
        <v>0</v>
      </c>
      <c r="DR61" s="168">
        <f>IF(DR16=0,0,IF(DR38=3,0,VALUE(CONCATENATE(Travail!DR27,Travail!DR38,Travail!DR49))))</f>
        <v>0</v>
      </c>
      <c r="DS61" s="168">
        <f>IF(DS16=0,0,IF(DS38=3,0,VALUE(CONCATENATE(Travail!DS27,Travail!DS38,Travail!DS49))))</f>
        <v>0</v>
      </c>
      <c r="DT61" s="168">
        <f>IF(DT16=0,0,IF(DT38=3,0,VALUE(CONCATENATE(Travail!DT27,Travail!DT38,Travail!DT49))))</f>
        <v>0</v>
      </c>
      <c r="DU61" s="168">
        <f>IF(DU16=0,0,IF(DU38=3,0,VALUE(CONCATENATE(Travail!DU27,Travail!DU38,Travail!DU49))))</f>
        <v>0</v>
      </c>
      <c r="DV61" s="168">
        <f>IF(DV16=0,0,IF(DV38=3,0,VALUE(CONCATENATE(Travail!DV27,Travail!DV38,Travail!DV49))))</f>
        <v>0</v>
      </c>
      <c r="DW61" s="168">
        <f>IF(DW16=0,0,IF(DW38=3,0,VALUE(CONCATENATE(Travail!DW27,Travail!DW38,Travail!DW49))))</f>
        <v>0</v>
      </c>
      <c r="DX61" s="168">
        <f>IF(DX16=0,0,IF(DX38=3,0,VALUE(CONCATENATE(Travail!DX27,Travail!DX38,Travail!DX49))))</f>
        <v>0</v>
      </c>
      <c r="DY61" s="168">
        <f>IF(DY16=0,0,IF(DY38=3,0,VALUE(CONCATENATE(Travail!DY27,Travail!DY38,Travail!DY49))))</f>
        <v>0</v>
      </c>
      <c r="DZ61" s="168">
        <f>IF(DZ16=0,0,IF(DZ38=3,0,VALUE(CONCATENATE(Travail!DZ27,Travail!DZ38,Travail!DZ49))))</f>
        <v>0</v>
      </c>
      <c r="EA61" s="168">
        <f>IF(EA16=0,0,IF(EA38=3,0,VALUE(CONCATENATE(Travail!EA27,Travail!EA38,Travail!EA49))))</f>
        <v>0</v>
      </c>
      <c r="EB61" s="168">
        <f>IF(EB16=0,0,IF(EB38=3,0,VALUE(CONCATENATE(Travail!EB27,Travail!EB38,Travail!EB49))))</f>
        <v>0</v>
      </c>
    </row>
    <row r="62" spans="1:132" x14ac:dyDescent="0.25">
      <c r="A62" s="5" t="s">
        <v>783</v>
      </c>
      <c r="B62" s="23"/>
      <c r="C62" s="23"/>
      <c r="D62" s="23"/>
      <c r="E62" s="23"/>
      <c r="F62" s="168">
        <f>[1]Trav!$B$127*8</f>
        <v>120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181" t="s">
        <v>730</v>
      </c>
      <c r="AS62" s="17"/>
      <c r="AT62" s="182" t="str">
        <f>+AT50</f>
        <v>Génisses jeunes</v>
      </c>
      <c r="AV62" s="168">
        <f>IF(AV17=0,0,IF(AV39=3,0,VALUE(CONCATENATE(Travail!AV28,Travail!AV39,Travail!AV50))))</f>
        <v>0</v>
      </c>
      <c r="AW62" s="168">
        <f>IF(AW17=0,0,IF(AW39=3,0,VALUE(CONCATENATE(Travail!AW28,Travail!AW39,Travail!AW50))))</f>
        <v>0</v>
      </c>
      <c r="AX62" s="168">
        <f>IF(AX17=0,0,IF(AX39=3,0,VALUE(CONCATENATE(Travail!AX28,Travail!AX39,Travail!AX50))))</f>
        <v>0</v>
      </c>
      <c r="AY62" s="168">
        <f>IF(AY17=0,0,IF(AY39=3,0,VALUE(CONCATENATE(Travail!AY28,Travail!AY39,Travail!AY50))))</f>
        <v>0</v>
      </c>
      <c r="AZ62" s="168">
        <f>IF(AZ17=0,0,IF(AZ39=3,0,VALUE(CONCATENATE(Travail!AZ28,Travail!AZ39,Travail!AZ50))))</f>
        <v>0</v>
      </c>
      <c r="BA62" s="168">
        <f>IF(BA17=0,0,IF(BA39=3,0,VALUE(CONCATENATE(Travail!BA28,Travail!BA39,Travail!BA50))))</f>
        <v>0</v>
      </c>
      <c r="BB62" s="168">
        <f>IF(BB17=0,0,IF(BB39=3,0,VALUE(CONCATENATE(Travail!BB28,Travail!BB39,Travail!BB50))))</f>
        <v>0</v>
      </c>
      <c r="BC62" s="168">
        <f>IF(BC17=0,0,IF(BC39=3,0,VALUE(CONCATENATE(Travail!BC28,Travail!BC39,Travail!BC50))))</f>
        <v>0</v>
      </c>
      <c r="BD62" s="168">
        <f>IF(BD17=0,0,IF(BD39=3,0,VALUE(CONCATENATE(Travail!BD28,Travail!BD39,Travail!BD50))))</f>
        <v>0</v>
      </c>
      <c r="BE62" s="168">
        <f>IF(BE17=0,0,IF(BE39=3,0,VALUE(CONCATENATE(Travail!BE28,Travail!BE39,Travail!BE50))))</f>
        <v>121</v>
      </c>
      <c r="BF62" s="168">
        <f>IF(BF17=0,0,IF(BF39=3,0,VALUE(CONCATENATE(Travail!BF28,Travail!BF39,Travail!BF50))))</f>
        <v>121</v>
      </c>
      <c r="BG62" s="168">
        <f>IF(BG17=0,0,IF(BG39=3,0,VALUE(CONCATENATE(Travail!BG28,Travail!BG39,Travail!BG50))))</f>
        <v>121</v>
      </c>
      <c r="BH62" s="168">
        <f>IF(BH17=0,0,IF(BH39=3,0,VALUE(CONCATENATE(Travail!BH28,Travail!BH39,Travail!BH50))))</f>
        <v>121</v>
      </c>
      <c r="BI62" s="168">
        <f>IF(BI17=0,0,IF(BI39=3,0,VALUE(CONCATENATE(Travail!BI28,Travail!BI39,Travail!BI50))))</f>
        <v>121</v>
      </c>
      <c r="BJ62" s="168">
        <f>IF(BJ17=0,0,IF(BJ39=3,0,VALUE(CONCATENATE(Travail!BJ28,Travail!BJ39,Travail!BJ50))))</f>
        <v>121</v>
      </c>
      <c r="BK62" s="168">
        <f>IF(BK17=0,0,IF(BK39=3,0,VALUE(CONCATENATE(Travail!BK28,Travail!BK39,Travail!BK50))))</f>
        <v>121</v>
      </c>
      <c r="BL62" s="168">
        <f>IF(BL17=0,0,IF(BL39=3,0,VALUE(CONCATENATE(Travail!BL28,Travail!BL39,Travail!BL50))))</f>
        <v>121</v>
      </c>
      <c r="BM62" s="168">
        <f>IF(BM17=0,0,IF(BM39=3,0,VALUE(CONCATENATE(Travail!BM28,Travail!BM39,Travail!BM50))))</f>
        <v>121</v>
      </c>
      <c r="BN62" s="168">
        <f>IF(BN17=0,0,IF(BN39=3,0,VALUE(CONCATENATE(Travail!BN28,Travail!BN39,Travail!BN50))))</f>
        <v>121</v>
      </c>
      <c r="BO62" s="168">
        <f>IF(BO17=0,0,IF(BO39=3,0,VALUE(CONCATENATE(Travail!BO28,Travail!BO39,Travail!BO50))))</f>
        <v>121</v>
      </c>
      <c r="BP62" s="168">
        <f>IF(BP17=0,0,IF(BP39=3,0,VALUE(CONCATENATE(Travail!BP28,Travail!BP39,Travail!BP50))))</f>
        <v>121</v>
      </c>
      <c r="BQ62" s="168">
        <f>IF(BQ17=0,0,IF(BQ39=3,0,VALUE(CONCATENATE(Travail!BQ28,Travail!BQ39,Travail!BQ50))))</f>
        <v>0</v>
      </c>
      <c r="BR62" s="168">
        <f>IF(BR17=0,0,IF(BR39=3,0,VALUE(CONCATENATE(Travail!BR28,Travail!BR39,Travail!BR50))))</f>
        <v>0</v>
      </c>
      <c r="BS62" s="168">
        <f>IF(BS17=0,0,IF(BS39=3,0,VALUE(CONCATENATE(Travail!BS28,Travail!BS39,Travail!BS50))))</f>
        <v>0</v>
      </c>
      <c r="BZ62" s="182" t="str">
        <f t="shared" si="33"/>
        <v>lot3</v>
      </c>
      <c r="CB62" s="168">
        <f>IF(CB17=0,0,IF(CB39=3,0,VALUE(CONCATENATE(Travail!CB28,Travail!CB39,Travail!CB50))))</f>
        <v>0</v>
      </c>
      <c r="CC62" s="168">
        <f>IF(CC17=0,0,IF(CC39=3,0,VALUE(CONCATENATE(Travail!CC28,Travail!CC39,Travail!CC50))))</f>
        <v>0</v>
      </c>
      <c r="CD62" s="168">
        <f>IF(CD17=0,0,IF(CD39=3,0,VALUE(CONCATENATE(Travail!CD28,Travail!CD39,Travail!CD50))))</f>
        <v>0</v>
      </c>
      <c r="CE62" s="168">
        <f>IF(CE17=0,0,IF(CE39=3,0,VALUE(CONCATENATE(Travail!CE28,Travail!CE39,Travail!CE50))))</f>
        <v>0</v>
      </c>
      <c r="CF62" s="168">
        <f>IF(CF17=0,0,IF(CF39=3,0,VALUE(CONCATENATE(Travail!CF28,Travail!CF39,Travail!CF50))))</f>
        <v>0</v>
      </c>
      <c r="CG62" s="168">
        <f>IF(CG17=0,0,IF(CG39=3,0,VALUE(CONCATENATE(Travail!CG28,Travail!CG39,Travail!CG50))))</f>
        <v>0</v>
      </c>
      <c r="CH62" s="168">
        <f>IF(CH17=0,0,IF(CH39=3,0,VALUE(CONCATENATE(Travail!CH28,Travail!CH39,Travail!CH50))))</f>
        <v>0</v>
      </c>
      <c r="CI62" s="168">
        <f>IF(CI17=0,0,IF(CI39=3,0,VALUE(CONCATENATE(Travail!CI28,Travail!CI39,Travail!CI50))))</f>
        <v>0</v>
      </c>
      <c r="CJ62" s="168">
        <f>IF(CJ17=0,0,IF(CJ39=3,0,VALUE(CONCATENATE(Travail!CJ28,Travail!CJ39,Travail!CJ50))))</f>
        <v>0</v>
      </c>
      <c r="CK62" s="168">
        <f>IF(CK17=0,0,IF(CK39=3,0,VALUE(CONCATENATE(Travail!CK28,Travail!CK39,Travail!CK50))))</f>
        <v>0</v>
      </c>
      <c r="CL62" s="168">
        <f>IF(CL17=0,0,IF(CL39=3,0,VALUE(CONCATENATE(Travail!CL28,Travail!CL39,Travail!CL50))))</f>
        <v>0</v>
      </c>
      <c r="CM62" s="168">
        <f>IF(CM17=0,0,IF(CM39=3,0,VALUE(CONCATENATE(Travail!CM28,Travail!CM39,Travail!CM50))))</f>
        <v>0</v>
      </c>
      <c r="CN62" s="168">
        <f>IF(CN17=0,0,IF(CN39=3,0,VALUE(CONCATENATE(Travail!CN28,Travail!CN39,Travail!CN50))))</f>
        <v>0</v>
      </c>
      <c r="CO62" s="168">
        <f>IF(CO17=0,0,IF(CO39=3,0,VALUE(CONCATENATE(Travail!CO28,Travail!CO39,Travail!CO50))))</f>
        <v>0</v>
      </c>
      <c r="CP62" s="168">
        <f>IF(CP17=0,0,IF(CP39=3,0,VALUE(CONCATENATE(Travail!CP28,Travail!CP39,Travail!CP50))))</f>
        <v>0</v>
      </c>
      <c r="CQ62" s="168">
        <f>IF(CQ17=0,0,IF(CQ39=3,0,VALUE(CONCATENATE(Travail!CQ28,Travail!CQ39,Travail!CQ50))))</f>
        <v>0</v>
      </c>
      <c r="CR62" s="168">
        <f>IF(CR17=0,0,IF(CR39=3,0,VALUE(CONCATENATE(Travail!CR28,Travail!CR39,Travail!CR50))))</f>
        <v>0</v>
      </c>
      <c r="CS62" s="168">
        <f>IF(CS17=0,0,IF(CS39=3,0,VALUE(CONCATENATE(Travail!CS28,Travail!CS39,Travail!CS50))))</f>
        <v>0</v>
      </c>
      <c r="CT62" s="168">
        <f>IF(CT17=0,0,IF(CT39=3,0,VALUE(CONCATENATE(Travail!CT28,Travail!CT39,Travail!CT50))))</f>
        <v>0</v>
      </c>
      <c r="CU62" s="168">
        <f>IF(CU17=0,0,IF(CU39=3,0,VALUE(CONCATENATE(Travail!CU28,Travail!CU39,Travail!CU50))))</f>
        <v>0</v>
      </c>
      <c r="CV62" s="168">
        <f>IF(CV17=0,0,IF(CV39=3,0,VALUE(CONCATENATE(Travail!CV28,Travail!CV39,Travail!CV50))))</f>
        <v>0</v>
      </c>
      <c r="CW62" s="168">
        <f>IF(CW17=0,0,IF(CW39=3,0,VALUE(CONCATENATE(Travail!CW28,Travail!CW39,Travail!CW50))))</f>
        <v>0</v>
      </c>
      <c r="CX62" s="168">
        <f>IF(CX17=0,0,IF(CX39=3,0,VALUE(CONCATENATE(Travail!CX28,Travail!CX39,Travail!CX50))))</f>
        <v>0</v>
      </c>
      <c r="CY62" s="168">
        <f>IF(CY17=0,0,IF(CY39=3,0,VALUE(CONCATENATE(Travail!CY28,Travail!CY39,Travail!CY50))))</f>
        <v>0</v>
      </c>
      <c r="DC62" s="182" t="str">
        <f t="shared" si="34"/>
        <v>lot3</v>
      </c>
      <c r="DE62" s="168">
        <f>IF(DE17=0,0,IF(DE39=3,0,VALUE(CONCATENATE(Travail!DE28,Travail!DE39,Travail!DE50))))</f>
        <v>0</v>
      </c>
      <c r="DF62" s="168">
        <f>IF(DF17=0,0,IF(DF39=3,0,VALUE(CONCATENATE(Travail!DF28,Travail!DF39,Travail!DF50))))</f>
        <v>0</v>
      </c>
      <c r="DG62" s="168">
        <f>IF(DG17=0,0,IF(DG39=3,0,VALUE(CONCATENATE(Travail!DG28,Travail!DG39,Travail!DG50))))</f>
        <v>0</v>
      </c>
      <c r="DH62" s="168">
        <f>IF(DH17=0,0,IF(DH39=3,0,VALUE(CONCATENATE(Travail!DH28,Travail!DH39,Travail!DH50))))</f>
        <v>0</v>
      </c>
      <c r="DI62" s="168">
        <f>IF(DI17=0,0,IF(DI39=3,0,VALUE(CONCATENATE(Travail!DI28,Travail!DI39,Travail!DI50))))</f>
        <v>0</v>
      </c>
      <c r="DJ62" s="168">
        <f>IF(DJ17=0,0,IF(DJ39=3,0,VALUE(CONCATENATE(Travail!DJ28,Travail!DJ39,Travail!DJ50))))</f>
        <v>0</v>
      </c>
      <c r="DK62" s="168">
        <f>IF(DK17=0,0,IF(DK39=3,0,VALUE(CONCATENATE(Travail!DK28,Travail!DK39,Travail!DK50))))</f>
        <v>0</v>
      </c>
      <c r="DL62" s="168">
        <f>IF(DL17=0,0,IF(DL39=3,0,VALUE(CONCATENATE(Travail!DL28,Travail!DL39,Travail!DL50))))</f>
        <v>0</v>
      </c>
      <c r="DM62" s="168">
        <f>IF(DM17=0,0,IF(DM39=3,0,VALUE(CONCATENATE(Travail!DM28,Travail!DM39,Travail!DM50))))</f>
        <v>0</v>
      </c>
      <c r="DN62" s="168">
        <f>IF(DN17=0,0,IF(DN39=3,0,VALUE(CONCATENATE(Travail!DN28,Travail!DN39,Travail!DN50))))</f>
        <v>0</v>
      </c>
      <c r="DO62" s="168">
        <f>IF(DO17=0,0,IF(DO39=3,0,VALUE(CONCATENATE(Travail!DO28,Travail!DO39,Travail!DO50))))</f>
        <v>0</v>
      </c>
      <c r="DP62" s="168">
        <f>IF(DP17=0,0,IF(DP39=3,0,VALUE(CONCATENATE(Travail!DP28,Travail!DP39,Travail!DP50))))</f>
        <v>0</v>
      </c>
      <c r="DQ62" s="168">
        <f>IF(DQ17=0,0,IF(DQ39=3,0,VALUE(CONCATENATE(Travail!DQ28,Travail!DQ39,Travail!DQ50))))</f>
        <v>0</v>
      </c>
      <c r="DR62" s="168">
        <f>IF(DR17=0,0,IF(DR39=3,0,VALUE(CONCATENATE(Travail!DR28,Travail!DR39,Travail!DR50))))</f>
        <v>0</v>
      </c>
      <c r="DS62" s="168">
        <f>IF(DS17=0,0,IF(DS39=3,0,VALUE(CONCATENATE(Travail!DS28,Travail!DS39,Travail!DS50))))</f>
        <v>0</v>
      </c>
      <c r="DT62" s="168">
        <f>IF(DT17=0,0,IF(DT39=3,0,VALUE(CONCATENATE(Travail!DT28,Travail!DT39,Travail!DT50))))</f>
        <v>0</v>
      </c>
      <c r="DU62" s="168">
        <f>IF(DU17=0,0,IF(DU39=3,0,VALUE(CONCATENATE(Travail!DU28,Travail!DU39,Travail!DU50))))</f>
        <v>0</v>
      </c>
      <c r="DV62" s="168">
        <f>IF(DV17=0,0,IF(DV39=3,0,VALUE(CONCATENATE(Travail!DV28,Travail!DV39,Travail!DV50))))</f>
        <v>0</v>
      </c>
      <c r="DW62" s="168">
        <f>IF(DW17=0,0,IF(DW39=3,0,VALUE(CONCATENATE(Travail!DW28,Travail!DW39,Travail!DW50))))</f>
        <v>0</v>
      </c>
      <c r="DX62" s="168">
        <f>IF(DX17=0,0,IF(DX39=3,0,VALUE(CONCATENATE(Travail!DX28,Travail!DX39,Travail!DX50))))</f>
        <v>0</v>
      </c>
      <c r="DY62" s="168">
        <f>IF(DY17=0,0,IF(DY39=3,0,VALUE(CONCATENATE(Travail!DY28,Travail!DY39,Travail!DY50))))</f>
        <v>0</v>
      </c>
      <c r="DZ62" s="168">
        <f>IF(DZ17=0,0,IF(DZ39=3,0,VALUE(CONCATENATE(Travail!DZ28,Travail!DZ39,Travail!DZ50))))</f>
        <v>0</v>
      </c>
      <c r="EA62" s="168">
        <f>IF(EA17=0,0,IF(EA39=3,0,VALUE(CONCATENATE(Travail!EA28,Travail!EA39,Travail!EA50))))</f>
        <v>0</v>
      </c>
      <c r="EB62" s="168">
        <f>IF(EB17=0,0,IF(EB39=3,0,VALUE(CONCATENATE(Travail!EB28,Travail!EB39,Travail!EB50))))</f>
        <v>0</v>
      </c>
    </row>
    <row r="63" spans="1:132" x14ac:dyDescent="0.25">
      <c r="A63" s="5" t="s">
        <v>784</v>
      </c>
      <c r="B63" s="23"/>
      <c r="C63" s="23"/>
      <c r="D63" s="23"/>
      <c r="E63" s="23"/>
      <c r="F63" s="168">
        <f>VLOOKUP(Troupeau!B3,[1]Trav!$A$129:$B$132,2)*8</f>
        <v>160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181" t="s">
        <v>730</v>
      </c>
      <c r="AT63" s="182" t="str">
        <f t="shared" ref="AT63:AT69" si="35">+AT51</f>
        <v>broutards</v>
      </c>
      <c r="AV63" s="168">
        <f>IF(AV18=0,0,IF(AV40=3,0,VALUE(CONCATENATE(Travail!AV29,Travail!AV40,Travail!AV51))))</f>
        <v>0</v>
      </c>
      <c r="AW63" s="168">
        <f>IF(AW18=0,0,IF(AW40=3,0,VALUE(CONCATENATE(Travail!AW29,Travail!AW40,Travail!AW51))))</f>
        <v>0</v>
      </c>
      <c r="AX63" s="168">
        <f>IF(AX18=0,0,IF(AX40=3,0,VALUE(CONCATENATE(Travail!AX29,Travail!AX40,Travail!AX51))))</f>
        <v>0</v>
      </c>
      <c r="AY63" s="168">
        <f>IF(AY18=0,0,IF(AY40=3,0,VALUE(CONCATENATE(Travail!AY29,Travail!AY40,Travail!AY51))))</f>
        <v>0</v>
      </c>
      <c r="AZ63" s="168">
        <f>IF(AZ18=0,0,IF(AZ40=3,0,VALUE(CONCATENATE(Travail!AZ29,Travail!AZ40,Travail!AZ51))))</f>
        <v>0</v>
      </c>
      <c r="BA63" s="168">
        <f>IF(BA18=0,0,IF(BA40=3,0,VALUE(CONCATENATE(Travail!BA29,Travail!BA40,Travail!BA51))))</f>
        <v>0</v>
      </c>
      <c r="BB63" s="168">
        <f>IF(BB18=0,0,IF(BB40=3,0,VALUE(CONCATENATE(Travail!BB29,Travail!BB40,Travail!BB51))))</f>
        <v>0</v>
      </c>
      <c r="BC63" s="168">
        <f>IF(BC18=0,0,IF(BC40=3,0,VALUE(CONCATENATE(Travail!BC29,Travail!BC40,Travail!BC51))))</f>
        <v>0</v>
      </c>
      <c r="BD63" s="168">
        <f>IF(BD18=0,0,IF(BD40=3,0,VALUE(CONCATENATE(Travail!BD29,Travail!BD40,Travail!BD51))))</f>
        <v>0</v>
      </c>
      <c r="BE63" s="168">
        <f>IF(BE18=0,0,IF(BE40=3,0,VALUE(CONCATENATE(Travail!BE29,Travail!BE40,Travail!BE51))))</f>
        <v>0</v>
      </c>
      <c r="BF63" s="168">
        <f>IF(BF18=0,0,IF(BF40=3,0,VALUE(CONCATENATE(Travail!BF29,Travail!BF40,Travail!BF51))))</f>
        <v>0</v>
      </c>
      <c r="BG63" s="168">
        <f>IF(BG18=0,0,IF(BG40=3,0,VALUE(CONCATENATE(Travail!BG29,Travail!BG40,Travail!BG51))))</f>
        <v>0</v>
      </c>
      <c r="BH63" s="168">
        <f>IF(BH18=0,0,IF(BH40=3,0,VALUE(CONCATENATE(Travail!BH29,Travail!BH40,Travail!BH51))))</f>
        <v>0</v>
      </c>
      <c r="BI63" s="168">
        <f>IF(BI18=0,0,IF(BI40=3,0,VALUE(CONCATENATE(Travail!BI29,Travail!BI40,Travail!BI51))))</f>
        <v>0</v>
      </c>
      <c r="BJ63" s="168">
        <f>IF(BJ18=0,0,IF(BJ40=3,0,VALUE(CONCATENATE(Travail!BJ29,Travail!BJ40,Travail!BJ51))))</f>
        <v>0</v>
      </c>
      <c r="BK63" s="168">
        <f>IF(BK18=0,0,IF(BK40=3,0,VALUE(CONCATENATE(Travail!BK29,Travail!BK40,Travail!BK51))))</f>
        <v>0</v>
      </c>
      <c r="BL63" s="168">
        <f>IF(BL18=0,0,IF(BL40=3,0,VALUE(CONCATENATE(Travail!BL29,Travail!BL40,Travail!BL51))))</f>
        <v>0</v>
      </c>
      <c r="BM63" s="168">
        <f>IF(BM18=0,0,IF(BM40=3,0,VALUE(CONCATENATE(Travail!BM29,Travail!BM40,Travail!BM51))))</f>
        <v>0</v>
      </c>
      <c r="BN63" s="168">
        <f>IF(BN18=0,0,IF(BN40=3,0,VALUE(CONCATENATE(Travail!BN29,Travail!BN40,Travail!BN51))))</f>
        <v>0</v>
      </c>
      <c r="BO63" s="168">
        <f>IF(BO18=0,0,IF(BO40=3,0,VALUE(CONCATENATE(Travail!BO29,Travail!BO40,Travail!BO51))))</f>
        <v>0</v>
      </c>
      <c r="BP63" s="168">
        <f>IF(BP18=0,0,IF(BP40=3,0,VALUE(CONCATENATE(Travail!BP29,Travail!BP40,Travail!BP51))))</f>
        <v>0</v>
      </c>
      <c r="BQ63" s="168">
        <f>IF(BQ18=0,0,IF(BQ40=3,0,VALUE(CONCATENATE(Travail!BQ29,Travail!BQ40,Travail!BQ51))))</f>
        <v>0</v>
      </c>
      <c r="BR63" s="168">
        <f>IF(BR18=0,0,IF(BR40=3,0,VALUE(CONCATENATE(Travail!BR29,Travail!BR40,Travail!BR51))))</f>
        <v>0</v>
      </c>
      <c r="BS63" s="168">
        <f>IF(BS18=0,0,IF(BS40=3,0,VALUE(CONCATENATE(Travail!BS29,Travail!BS40,Travail!BS51))))</f>
        <v>0</v>
      </c>
      <c r="BZ63" s="182" t="str">
        <f t="shared" si="33"/>
        <v>lot4</v>
      </c>
      <c r="CB63" s="168">
        <f>IF(CB18=0,0,IF(CB40=3,0,VALUE(CONCATENATE(Travail!CB29,Travail!CB40,Travail!CB51))))</f>
        <v>0</v>
      </c>
      <c r="CC63" s="168">
        <f>IF(CC18=0,0,IF(CC40=3,0,VALUE(CONCATENATE(Travail!CC29,Travail!CC40,Travail!CC51))))</f>
        <v>0</v>
      </c>
      <c r="CD63" s="168">
        <f>IF(CD18=0,0,IF(CD40=3,0,VALUE(CONCATENATE(Travail!CD29,Travail!CD40,Travail!CD51))))</f>
        <v>0</v>
      </c>
      <c r="CE63" s="168">
        <f>IF(CE18=0,0,IF(CE40=3,0,VALUE(CONCATENATE(Travail!CE29,Travail!CE40,Travail!CE51))))</f>
        <v>0</v>
      </c>
      <c r="CF63" s="168">
        <f>IF(CF18=0,0,IF(CF40=3,0,VALUE(CONCATENATE(Travail!CF29,Travail!CF40,Travail!CF51))))</f>
        <v>0</v>
      </c>
      <c r="CG63" s="168">
        <f>IF(CG18=0,0,IF(CG40=3,0,VALUE(CONCATENATE(Travail!CG29,Travail!CG40,Travail!CG51))))</f>
        <v>0</v>
      </c>
      <c r="CH63" s="168">
        <f>IF(CH18=0,0,IF(CH40=3,0,VALUE(CONCATENATE(Travail!CH29,Travail!CH40,Travail!CH51))))</f>
        <v>0</v>
      </c>
      <c r="CI63" s="168">
        <f>IF(CI18=0,0,IF(CI40=3,0,VALUE(CONCATENATE(Travail!CI29,Travail!CI40,Travail!CI51))))</f>
        <v>0</v>
      </c>
      <c r="CJ63" s="168">
        <f>IF(CJ18=0,0,IF(CJ40=3,0,VALUE(CONCATENATE(Travail!CJ29,Travail!CJ40,Travail!CJ51))))</f>
        <v>0</v>
      </c>
      <c r="CK63" s="168">
        <f>IF(CK18=0,0,IF(CK40=3,0,VALUE(CONCATENATE(Travail!CK29,Travail!CK40,Travail!CK51))))</f>
        <v>0</v>
      </c>
      <c r="CL63" s="168">
        <f>IF(CL18=0,0,IF(CL40=3,0,VALUE(CONCATENATE(Travail!CL29,Travail!CL40,Travail!CL51))))</f>
        <v>0</v>
      </c>
      <c r="CM63" s="168">
        <f>IF(CM18=0,0,IF(CM40=3,0,VALUE(CONCATENATE(Travail!CM29,Travail!CM40,Travail!CM51))))</f>
        <v>0</v>
      </c>
      <c r="CN63" s="168">
        <f>IF(CN18=0,0,IF(CN40=3,0,VALUE(CONCATENATE(Travail!CN29,Travail!CN40,Travail!CN51))))</f>
        <v>0</v>
      </c>
      <c r="CO63" s="168">
        <f>IF(CO18=0,0,IF(CO40=3,0,VALUE(CONCATENATE(Travail!CO29,Travail!CO40,Travail!CO51))))</f>
        <v>0</v>
      </c>
      <c r="CP63" s="168">
        <f>IF(CP18=0,0,IF(CP40=3,0,VALUE(CONCATENATE(Travail!CP29,Travail!CP40,Travail!CP51))))</f>
        <v>0</v>
      </c>
      <c r="CQ63" s="168">
        <f>IF(CQ18=0,0,IF(CQ40=3,0,VALUE(CONCATENATE(Travail!CQ29,Travail!CQ40,Travail!CQ51))))</f>
        <v>0</v>
      </c>
      <c r="CR63" s="168">
        <f>IF(CR18=0,0,IF(CR40=3,0,VALUE(CONCATENATE(Travail!CR29,Travail!CR40,Travail!CR51))))</f>
        <v>0</v>
      </c>
      <c r="CS63" s="168">
        <f>IF(CS18=0,0,IF(CS40=3,0,VALUE(CONCATENATE(Travail!CS29,Travail!CS40,Travail!CS51))))</f>
        <v>0</v>
      </c>
      <c r="CT63" s="168">
        <f>IF(CT18=0,0,IF(CT40=3,0,VALUE(CONCATENATE(Travail!CT29,Travail!CT40,Travail!CT51))))</f>
        <v>0</v>
      </c>
      <c r="CU63" s="168">
        <f>IF(CU18=0,0,IF(CU40=3,0,VALUE(CONCATENATE(Travail!CU29,Travail!CU40,Travail!CU51))))</f>
        <v>0</v>
      </c>
      <c r="CV63" s="168">
        <f>IF(CV18=0,0,IF(CV40=3,0,VALUE(CONCATENATE(Travail!CV29,Travail!CV40,Travail!CV51))))</f>
        <v>0</v>
      </c>
      <c r="CW63" s="168">
        <f>IF(CW18=0,0,IF(CW40=3,0,VALUE(CONCATENATE(Travail!CW29,Travail!CW40,Travail!CW51))))</f>
        <v>0</v>
      </c>
      <c r="CX63" s="168">
        <f>IF(CX18=0,0,IF(CX40=3,0,VALUE(CONCATENATE(Travail!CX29,Travail!CX40,Travail!CX51))))</f>
        <v>0</v>
      </c>
      <c r="CY63" s="168">
        <f>IF(CY18=0,0,IF(CY40=3,0,VALUE(CONCATENATE(Travail!CY29,Travail!CY40,Travail!CY51))))</f>
        <v>0</v>
      </c>
      <c r="DC63" s="182" t="str">
        <f t="shared" si="34"/>
        <v>lot4</v>
      </c>
      <c r="DE63" s="168">
        <f>IF(DE18=0,0,IF(DE40=3,0,VALUE(CONCATENATE(Travail!DE29,Travail!DE40,Travail!DE51))))</f>
        <v>0</v>
      </c>
      <c r="DF63" s="168">
        <f>IF(DF18=0,0,IF(DF40=3,0,VALUE(CONCATENATE(Travail!DF29,Travail!DF40,Travail!DF51))))</f>
        <v>0</v>
      </c>
      <c r="DG63" s="168">
        <f>IF(DG18=0,0,IF(DG40=3,0,VALUE(CONCATENATE(Travail!DG29,Travail!DG40,Travail!DG51))))</f>
        <v>0</v>
      </c>
      <c r="DH63" s="168">
        <f>IF(DH18=0,0,IF(DH40=3,0,VALUE(CONCATENATE(Travail!DH29,Travail!DH40,Travail!DH51))))</f>
        <v>0</v>
      </c>
      <c r="DI63" s="168">
        <f>IF(DI18=0,0,IF(DI40=3,0,VALUE(CONCATENATE(Travail!DI29,Travail!DI40,Travail!DI51))))</f>
        <v>0</v>
      </c>
      <c r="DJ63" s="168">
        <f>IF(DJ18=0,0,IF(DJ40=3,0,VALUE(CONCATENATE(Travail!DJ29,Travail!DJ40,Travail!DJ51))))</f>
        <v>0</v>
      </c>
      <c r="DK63" s="168">
        <f>IF(DK18=0,0,IF(DK40=3,0,VALUE(CONCATENATE(Travail!DK29,Travail!DK40,Travail!DK51))))</f>
        <v>0</v>
      </c>
      <c r="DL63" s="168">
        <f>IF(DL18=0,0,IF(DL40=3,0,VALUE(CONCATENATE(Travail!DL29,Travail!DL40,Travail!DL51))))</f>
        <v>0</v>
      </c>
      <c r="DM63" s="168">
        <f>IF(DM18=0,0,IF(DM40=3,0,VALUE(CONCATENATE(Travail!DM29,Travail!DM40,Travail!DM51))))</f>
        <v>0</v>
      </c>
      <c r="DN63" s="168">
        <f>IF(DN18=0,0,IF(DN40=3,0,VALUE(CONCATENATE(Travail!DN29,Travail!DN40,Travail!DN51))))</f>
        <v>0</v>
      </c>
      <c r="DO63" s="168">
        <f>IF(DO18=0,0,IF(DO40=3,0,VALUE(CONCATENATE(Travail!DO29,Travail!DO40,Travail!DO51))))</f>
        <v>0</v>
      </c>
      <c r="DP63" s="168">
        <f>IF(DP18=0,0,IF(DP40=3,0,VALUE(CONCATENATE(Travail!DP29,Travail!DP40,Travail!DP51))))</f>
        <v>0</v>
      </c>
      <c r="DQ63" s="168">
        <f>IF(DQ18=0,0,IF(DQ40=3,0,VALUE(CONCATENATE(Travail!DQ29,Travail!DQ40,Travail!DQ51))))</f>
        <v>0</v>
      </c>
      <c r="DR63" s="168">
        <f>IF(DR18=0,0,IF(DR40=3,0,VALUE(CONCATENATE(Travail!DR29,Travail!DR40,Travail!DR51))))</f>
        <v>0</v>
      </c>
      <c r="DS63" s="168">
        <f>IF(DS18=0,0,IF(DS40=3,0,VALUE(CONCATENATE(Travail!DS29,Travail!DS40,Travail!DS51))))</f>
        <v>0</v>
      </c>
      <c r="DT63" s="168">
        <f>IF(DT18=0,0,IF(DT40=3,0,VALUE(CONCATENATE(Travail!DT29,Travail!DT40,Travail!DT51))))</f>
        <v>0</v>
      </c>
      <c r="DU63" s="168">
        <f>IF(DU18=0,0,IF(DU40=3,0,VALUE(CONCATENATE(Travail!DU29,Travail!DU40,Travail!DU51))))</f>
        <v>0</v>
      </c>
      <c r="DV63" s="168">
        <f>IF(DV18=0,0,IF(DV40=3,0,VALUE(CONCATENATE(Travail!DV29,Travail!DV40,Travail!DV51))))</f>
        <v>0</v>
      </c>
      <c r="DW63" s="168">
        <f>IF(DW18=0,0,IF(DW40=3,0,VALUE(CONCATENATE(Travail!DW29,Travail!DW40,Travail!DW51))))</f>
        <v>0</v>
      </c>
      <c r="DX63" s="168">
        <f>IF(DX18=0,0,IF(DX40=3,0,VALUE(CONCATENATE(Travail!DX29,Travail!DX40,Travail!DX51))))</f>
        <v>0</v>
      </c>
      <c r="DY63" s="168">
        <f>IF(DY18=0,0,IF(DY40=3,0,VALUE(CONCATENATE(Travail!DY29,Travail!DY40,Travail!DY51))))</f>
        <v>0</v>
      </c>
      <c r="DZ63" s="168">
        <f>IF(DZ18=0,0,IF(DZ40=3,0,VALUE(CONCATENATE(Travail!DZ29,Travail!DZ40,Travail!DZ51))))</f>
        <v>0</v>
      </c>
      <c r="EA63" s="168">
        <f>IF(EA18=0,0,IF(EA40=3,0,VALUE(CONCATENATE(Travail!EA29,Travail!EA40,Travail!EA51))))</f>
        <v>0</v>
      </c>
      <c r="EB63" s="168">
        <f>IF(EB18=0,0,IF(EB40=3,0,VALUE(CONCATENATE(Travail!EB29,Travail!EB40,Travail!EB51))))</f>
        <v>0</v>
      </c>
    </row>
    <row r="64" spans="1:132" x14ac:dyDescent="0.25">
      <c r="A64" s="5" t="s">
        <v>785</v>
      </c>
      <c r="B64" s="23"/>
      <c r="C64" s="23"/>
      <c r="D64" s="23"/>
      <c r="E64" s="23"/>
      <c r="F64" s="168">
        <f>IF(Troupeau!C3="",0,VLOOKUP(Troupeau!C3,[1]Trav!$A$129:$B$132,2)*8)</f>
        <v>0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181"/>
      <c r="AT64" s="182" t="str">
        <f t="shared" si="35"/>
        <v>génisses &lt; 1 an</v>
      </c>
      <c r="AV64" s="168">
        <f>IF(AV19=0,0,IF(AV41=3,0,VALUE(CONCATENATE(Travail!AV30,Travail!AV41,Travail!AV52))))</f>
        <v>0</v>
      </c>
      <c r="AW64" s="168">
        <f>IF(AW19=0,0,IF(AW41=3,0,VALUE(CONCATENATE(Travail!AW30,Travail!AW41,Travail!AW52))))</f>
        <v>0</v>
      </c>
      <c r="AX64" s="168">
        <f>IF(AX19=0,0,IF(AX41=3,0,VALUE(CONCATENATE(Travail!AX30,Travail!AX41,Travail!AX52))))</f>
        <v>0</v>
      </c>
      <c r="AY64" s="168">
        <f>IF(AY19=0,0,IF(AY41=3,0,VALUE(CONCATENATE(Travail!AY30,Travail!AY41,Travail!AY52))))</f>
        <v>0</v>
      </c>
      <c r="AZ64" s="168">
        <f>IF(AZ19=0,0,IF(AZ41=3,0,VALUE(CONCATENATE(Travail!AZ30,Travail!AZ41,Travail!AZ52))))</f>
        <v>0</v>
      </c>
      <c r="BA64" s="168">
        <f>IF(BA19=0,0,IF(BA41=3,0,VALUE(CONCATENATE(Travail!BA30,Travail!BA41,Travail!BA52))))</f>
        <v>0</v>
      </c>
      <c r="BB64" s="168">
        <f>IF(BB19=0,0,IF(BB41=3,0,VALUE(CONCATENATE(Travail!BB30,Travail!BB41,Travail!BB52))))</f>
        <v>0</v>
      </c>
      <c r="BC64" s="168">
        <f>IF(BC19=0,0,IF(BC41=3,0,VALUE(CONCATENATE(Travail!BC30,Travail!BC41,Travail!BC52))))</f>
        <v>0</v>
      </c>
      <c r="BD64" s="168">
        <f>IF(BD19=0,0,IF(BD41=3,0,VALUE(CONCATENATE(Travail!BD30,Travail!BD41,Travail!BD52))))</f>
        <v>0</v>
      </c>
      <c r="BE64" s="168">
        <f>IF(BE19=0,0,IF(BE41=3,0,VALUE(CONCATENATE(Travail!BE30,Travail!BE41,Travail!BE52))))</f>
        <v>0</v>
      </c>
      <c r="BF64" s="168">
        <f>IF(BF19=0,0,IF(BF41=3,0,VALUE(CONCATENATE(Travail!BF30,Travail!BF41,Travail!BF52))))</f>
        <v>0</v>
      </c>
      <c r="BG64" s="168">
        <f>IF(BG19=0,0,IF(BG41=3,0,VALUE(CONCATENATE(Travail!BG30,Travail!BG41,Travail!BG52))))</f>
        <v>0</v>
      </c>
      <c r="BH64" s="168">
        <f>IF(BH19=0,0,IF(BH41=3,0,VALUE(CONCATENATE(Travail!BH30,Travail!BH41,Travail!BH52))))</f>
        <v>0</v>
      </c>
      <c r="BI64" s="168">
        <f>IF(BI19=0,0,IF(BI41=3,0,VALUE(CONCATENATE(Travail!BI30,Travail!BI41,Travail!BI52))))</f>
        <v>0</v>
      </c>
      <c r="BJ64" s="168">
        <f>IF(BJ19=0,0,IF(BJ41=3,0,VALUE(CONCATENATE(Travail!BJ30,Travail!BJ41,Travail!BJ52))))</f>
        <v>0</v>
      </c>
      <c r="BK64" s="168">
        <f>IF(BK19=0,0,IF(BK41=3,0,VALUE(CONCATENATE(Travail!BK30,Travail!BK41,Travail!BK52))))</f>
        <v>0</v>
      </c>
      <c r="BL64" s="168">
        <f>IF(BL19=0,0,IF(BL41=3,0,VALUE(CONCATENATE(Travail!BL30,Travail!BL41,Travail!BL52))))</f>
        <v>0</v>
      </c>
      <c r="BM64" s="168">
        <f>IF(BM19=0,0,IF(BM41=3,0,VALUE(CONCATENATE(Travail!BM30,Travail!BM41,Travail!BM52))))</f>
        <v>0</v>
      </c>
      <c r="BN64" s="168">
        <f>IF(BN19=0,0,IF(BN41=3,0,VALUE(CONCATENATE(Travail!BN30,Travail!BN41,Travail!BN52))))</f>
        <v>0</v>
      </c>
      <c r="BO64" s="168">
        <f>IF(BO19=0,0,IF(BO41=3,0,VALUE(CONCATENATE(Travail!BO30,Travail!BO41,Travail!BO52))))</f>
        <v>0</v>
      </c>
      <c r="BP64" s="168">
        <f>IF(BP19=0,0,IF(BP41=3,0,VALUE(CONCATENATE(Travail!BP30,Travail!BP41,Travail!BP52))))</f>
        <v>0</v>
      </c>
      <c r="BQ64" s="168">
        <f>IF(BQ19=0,0,IF(BQ41=3,0,VALUE(CONCATENATE(Travail!BQ30,Travail!BQ41,Travail!BQ52))))</f>
        <v>0</v>
      </c>
      <c r="BR64" s="168">
        <f>IF(BR19=0,0,IF(BR41=3,0,VALUE(CONCATENATE(Travail!BR30,Travail!BR41,Travail!BR52))))</f>
        <v>0</v>
      </c>
      <c r="BS64" s="168">
        <f>IF(BS19=0,0,IF(BS41=3,0,VALUE(CONCATENATE(Travail!BS30,Travail!BS41,Travail!BS52))))</f>
        <v>0</v>
      </c>
      <c r="BZ64" s="182" t="str">
        <f t="shared" si="33"/>
        <v>lot5</v>
      </c>
      <c r="CB64" s="168">
        <f>IF(CB19=0,0,IF(CB41=3,0,VALUE(CONCATENATE(Travail!CB30,Travail!CB41,Travail!CB52))))</f>
        <v>0</v>
      </c>
      <c r="CC64" s="168">
        <f>IF(CC19=0,0,IF(CC41=3,0,VALUE(CONCATENATE(Travail!CC30,Travail!CC41,Travail!CC52))))</f>
        <v>0</v>
      </c>
      <c r="CD64" s="168">
        <f>IF(CD19=0,0,IF(CD41=3,0,VALUE(CONCATENATE(Travail!CD30,Travail!CD41,Travail!CD52))))</f>
        <v>0</v>
      </c>
      <c r="CE64" s="168">
        <f>IF(CE19=0,0,IF(CE41=3,0,VALUE(CONCATENATE(Travail!CE30,Travail!CE41,Travail!CE52))))</f>
        <v>0</v>
      </c>
      <c r="CF64" s="168">
        <f>IF(CF19=0,0,IF(CF41=3,0,VALUE(CONCATENATE(Travail!CF30,Travail!CF41,Travail!CF52))))</f>
        <v>0</v>
      </c>
      <c r="CG64" s="168">
        <f>IF(CG19=0,0,IF(CG41=3,0,VALUE(CONCATENATE(Travail!CG30,Travail!CG41,Travail!CG52))))</f>
        <v>0</v>
      </c>
      <c r="CH64" s="168">
        <f>IF(CH19=0,0,IF(CH41=3,0,VALUE(CONCATENATE(Travail!CH30,Travail!CH41,Travail!CH52))))</f>
        <v>0</v>
      </c>
      <c r="CI64" s="168">
        <f>IF(CI19=0,0,IF(CI41=3,0,VALUE(CONCATENATE(Travail!CI30,Travail!CI41,Travail!CI52))))</f>
        <v>0</v>
      </c>
      <c r="CJ64" s="168">
        <f>IF(CJ19=0,0,IF(CJ41=3,0,VALUE(CONCATENATE(Travail!CJ30,Travail!CJ41,Travail!CJ52))))</f>
        <v>0</v>
      </c>
      <c r="CK64" s="168">
        <f>IF(CK19=0,0,IF(CK41=3,0,VALUE(CONCATENATE(Travail!CK30,Travail!CK41,Travail!CK52))))</f>
        <v>0</v>
      </c>
      <c r="CL64" s="168">
        <f>IF(CL19=0,0,IF(CL41=3,0,VALUE(CONCATENATE(Travail!CL30,Travail!CL41,Travail!CL52))))</f>
        <v>0</v>
      </c>
      <c r="CM64" s="168">
        <f>IF(CM19=0,0,IF(CM41=3,0,VALUE(CONCATENATE(Travail!CM30,Travail!CM41,Travail!CM52))))</f>
        <v>0</v>
      </c>
      <c r="CN64" s="168">
        <f>IF(CN19=0,0,IF(CN41=3,0,VALUE(CONCATENATE(Travail!CN30,Travail!CN41,Travail!CN52))))</f>
        <v>0</v>
      </c>
      <c r="CO64" s="168">
        <f>IF(CO19=0,0,IF(CO41=3,0,VALUE(CONCATENATE(Travail!CO30,Travail!CO41,Travail!CO52))))</f>
        <v>0</v>
      </c>
      <c r="CP64" s="168">
        <f>IF(CP19=0,0,IF(CP41=3,0,VALUE(CONCATENATE(Travail!CP30,Travail!CP41,Travail!CP52))))</f>
        <v>0</v>
      </c>
      <c r="CQ64" s="168">
        <f>IF(CQ19=0,0,IF(CQ41=3,0,VALUE(CONCATENATE(Travail!CQ30,Travail!CQ41,Travail!CQ52))))</f>
        <v>0</v>
      </c>
      <c r="CR64" s="168">
        <f>IF(CR19=0,0,IF(CR41=3,0,VALUE(CONCATENATE(Travail!CR30,Travail!CR41,Travail!CR52))))</f>
        <v>0</v>
      </c>
      <c r="CS64" s="168">
        <f>IF(CS19=0,0,IF(CS41=3,0,VALUE(CONCATENATE(Travail!CS30,Travail!CS41,Travail!CS52))))</f>
        <v>0</v>
      </c>
      <c r="CT64" s="168">
        <f>IF(CT19=0,0,IF(CT41=3,0,VALUE(CONCATENATE(Travail!CT30,Travail!CT41,Travail!CT52))))</f>
        <v>0</v>
      </c>
      <c r="CU64" s="168">
        <f>IF(CU19=0,0,IF(CU41=3,0,VALUE(CONCATENATE(Travail!CU30,Travail!CU41,Travail!CU52))))</f>
        <v>0</v>
      </c>
      <c r="CV64" s="168">
        <f>IF(CV19=0,0,IF(CV41=3,0,VALUE(CONCATENATE(Travail!CV30,Travail!CV41,Travail!CV52))))</f>
        <v>0</v>
      </c>
      <c r="CW64" s="168">
        <f>IF(CW19=0,0,IF(CW41=3,0,VALUE(CONCATENATE(Travail!CW30,Travail!CW41,Travail!CW52))))</f>
        <v>0</v>
      </c>
      <c r="CX64" s="168">
        <f>IF(CX19=0,0,IF(CX41=3,0,VALUE(CONCATENATE(Travail!CX30,Travail!CX41,Travail!CX52))))</f>
        <v>0</v>
      </c>
      <c r="CY64" s="168">
        <f>IF(CY19=0,0,IF(CY41=3,0,VALUE(CONCATENATE(Travail!CY30,Travail!CY41,Travail!CY52))))</f>
        <v>0</v>
      </c>
      <c r="DC64" s="182" t="str">
        <f t="shared" si="34"/>
        <v>lot5</v>
      </c>
      <c r="DE64" s="168">
        <f>IF(DE19=0,0,IF(DE41=3,0,VALUE(CONCATENATE(Travail!DE30,Travail!DE41,Travail!DE52))))</f>
        <v>0</v>
      </c>
      <c r="DF64" s="168">
        <f>IF(DF19=0,0,IF(DF41=3,0,VALUE(CONCATENATE(Travail!DF30,Travail!DF41,Travail!DF52))))</f>
        <v>0</v>
      </c>
      <c r="DG64" s="168">
        <f>IF(DG19=0,0,IF(DG41=3,0,VALUE(CONCATENATE(Travail!DG30,Travail!DG41,Travail!DG52))))</f>
        <v>0</v>
      </c>
      <c r="DH64" s="168">
        <f>IF(DH19=0,0,IF(DH41=3,0,VALUE(CONCATENATE(Travail!DH30,Travail!DH41,Travail!DH52))))</f>
        <v>0</v>
      </c>
      <c r="DI64" s="168">
        <f>IF(DI19=0,0,IF(DI41=3,0,VALUE(CONCATENATE(Travail!DI30,Travail!DI41,Travail!DI52))))</f>
        <v>0</v>
      </c>
      <c r="DJ64" s="168">
        <f>IF(DJ19=0,0,IF(DJ41=3,0,VALUE(CONCATENATE(Travail!DJ30,Travail!DJ41,Travail!DJ52))))</f>
        <v>0</v>
      </c>
      <c r="DK64" s="168">
        <f>IF(DK19=0,0,IF(DK41=3,0,VALUE(CONCATENATE(Travail!DK30,Travail!DK41,Travail!DK52))))</f>
        <v>0</v>
      </c>
      <c r="DL64" s="168">
        <f>IF(DL19=0,0,IF(DL41=3,0,VALUE(CONCATENATE(Travail!DL30,Travail!DL41,Travail!DL52))))</f>
        <v>0</v>
      </c>
      <c r="DM64" s="168">
        <f>IF(DM19=0,0,IF(DM41=3,0,VALUE(CONCATENATE(Travail!DM30,Travail!DM41,Travail!DM52))))</f>
        <v>0</v>
      </c>
      <c r="DN64" s="168">
        <f>IF(DN19=0,0,IF(DN41=3,0,VALUE(CONCATENATE(Travail!DN30,Travail!DN41,Travail!DN52))))</f>
        <v>0</v>
      </c>
      <c r="DO64" s="168">
        <f>IF(DO19=0,0,IF(DO41=3,0,VALUE(CONCATENATE(Travail!DO30,Travail!DO41,Travail!DO52))))</f>
        <v>0</v>
      </c>
      <c r="DP64" s="168">
        <f>IF(DP19=0,0,IF(DP41=3,0,VALUE(CONCATENATE(Travail!DP30,Travail!DP41,Travail!DP52))))</f>
        <v>0</v>
      </c>
      <c r="DQ64" s="168">
        <f>IF(DQ19=0,0,IF(DQ41=3,0,VALUE(CONCATENATE(Travail!DQ30,Travail!DQ41,Travail!DQ52))))</f>
        <v>0</v>
      </c>
      <c r="DR64" s="168">
        <f>IF(DR19=0,0,IF(DR41=3,0,VALUE(CONCATENATE(Travail!DR30,Travail!DR41,Travail!DR52))))</f>
        <v>0</v>
      </c>
      <c r="DS64" s="168">
        <f>IF(DS19=0,0,IF(DS41=3,0,VALUE(CONCATENATE(Travail!DS30,Travail!DS41,Travail!DS52))))</f>
        <v>0</v>
      </c>
      <c r="DT64" s="168">
        <f>IF(DT19=0,0,IF(DT41=3,0,VALUE(CONCATENATE(Travail!DT30,Travail!DT41,Travail!DT52))))</f>
        <v>0</v>
      </c>
      <c r="DU64" s="168">
        <f>IF(DU19=0,0,IF(DU41=3,0,VALUE(CONCATENATE(Travail!DU30,Travail!DU41,Travail!DU52))))</f>
        <v>0</v>
      </c>
      <c r="DV64" s="168">
        <f>IF(DV19=0,0,IF(DV41=3,0,VALUE(CONCATENATE(Travail!DV30,Travail!DV41,Travail!DV52))))</f>
        <v>0</v>
      </c>
      <c r="DW64" s="168">
        <f>IF(DW19=0,0,IF(DW41=3,0,VALUE(CONCATENATE(Travail!DW30,Travail!DW41,Travail!DW52))))</f>
        <v>0</v>
      </c>
      <c r="DX64" s="168">
        <f>IF(DX19=0,0,IF(DX41=3,0,VALUE(CONCATENATE(Travail!DX30,Travail!DX41,Travail!DX52))))</f>
        <v>0</v>
      </c>
      <c r="DY64" s="168">
        <f>IF(DY19=0,0,IF(DY41=3,0,VALUE(CONCATENATE(Travail!DY30,Travail!DY41,Travail!DY52))))</f>
        <v>0</v>
      </c>
      <c r="DZ64" s="168">
        <f>IF(DZ19=0,0,IF(DZ41=3,0,VALUE(CONCATENATE(Travail!DZ30,Travail!DZ41,Travail!DZ52))))</f>
        <v>0</v>
      </c>
      <c r="EA64" s="168">
        <f>IF(EA19=0,0,IF(EA41=3,0,VALUE(CONCATENATE(Travail!EA30,Travail!EA41,Travail!EA52))))</f>
        <v>0</v>
      </c>
      <c r="EB64" s="168">
        <f>IF(EB19=0,0,IF(EB41=3,0,VALUE(CONCATENATE(Travail!EB30,Travail!EB41,Travail!EB52))))</f>
        <v>0</v>
      </c>
    </row>
    <row r="65" spans="1:132" x14ac:dyDescent="0.25">
      <c r="A65" s="5" t="s">
        <v>786</v>
      </c>
      <c r="B65" s="23"/>
      <c r="C65" s="23"/>
      <c r="D65" s="23"/>
      <c r="E65" s="23"/>
      <c r="F65" s="168">
        <f>IF(Troupeau!D3="",0,VLOOKUP(Troupeau!D3,[1]Trav!$A$129:$B$132,2)*8)</f>
        <v>0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181"/>
      <c r="AT65" s="182" t="str">
        <f t="shared" si="35"/>
        <v>lot6</v>
      </c>
      <c r="AV65" s="168">
        <f>IF(AV20=0,0,IF(AV42=3,0,VALUE(CONCATENATE(Travail!AV31,Travail!AV42,Travail!AV53))))</f>
        <v>0</v>
      </c>
      <c r="AW65" s="168">
        <f>IF(AW20=0,0,IF(AW42=3,0,VALUE(CONCATENATE(Travail!AW31,Travail!AW42,Travail!AW53))))</f>
        <v>0</v>
      </c>
      <c r="AX65" s="168">
        <f>IF(AX20=0,0,IF(AX42=3,0,VALUE(CONCATENATE(Travail!AX31,Travail!AX42,Travail!AX53))))</f>
        <v>0</v>
      </c>
      <c r="AY65" s="168">
        <f>IF(AY20=0,0,IF(AY42=3,0,VALUE(CONCATENATE(Travail!AY31,Travail!AY42,Travail!AY53))))</f>
        <v>0</v>
      </c>
      <c r="AZ65" s="168">
        <f>IF(AZ20=0,0,IF(AZ42=3,0,VALUE(CONCATENATE(Travail!AZ31,Travail!AZ42,Travail!AZ53))))</f>
        <v>0</v>
      </c>
      <c r="BA65" s="168">
        <f>IF(BA20=0,0,IF(BA42=3,0,VALUE(CONCATENATE(Travail!BA31,Travail!BA42,Travail!BA53))))</f>
        <v>0</v>
      </c>
      <c r="BB65" s="168">
        <f>IF(BB20=0,0,IF(BB42=3,0,VALUE(CONCATENATE(Travail!BB31,Travail!BB42,Travail!BB53))))</f>
        <v>0</v>
      </c>
      <c r="BC65" s="168">
        <f>IF(BC20=0,0,IF(BC42=3,0,VALUE(CONCATENATE(Travail!BC31,Travail!BC42,Travail!BC53))))</f>
        <v>0</v>
      </c>
      <c r="BD65" s="168">
        <f>IF(BD20=0,0,IF(BD42=3,0,VALUE(CONCATENATE(Travail!BD31,Travail!BD42,Travail!BD53))))</f>
        <v>0</v>
      </c>
      <c r="BE65" s="168">
        <f>IF(BE20=0,0,IF(BE42=3,0,VALUE(CONCATENATE(Travail!BE31,Travail!BE42,Travail!BE53))))</f>
        <v>0</v>
      </c>
      <c r="BF65" s="168">
        <f>IF(BF20=0,0,IF(BF42=3,0,VALUE(CONCATENATE(Travail!BF31,Travail!BF42,Travail!BF53))))</f>
        <v>0</v>
      </c>
      <c r="BG65" s="168">
        <f>IF(BG20=0,0,IF(BG42=3,0,VALUE(CONCATENATE(Travail!BG31,Travail!BG42,Travail!BG53))))</f>
        <v>0</v>
      </c>
      <c r="BH65" s="168">
        <f>IF(BH20=0,0,IF(BH42=3,0,VALUE(CONCATENATE(Travail!BH31,Travail!BH42,Travail!BH53))))</f>
        <v>0</v>
      </c>
      <c r="BI65" s="168">
        <f>IF(BI20=0,0,IF(BI42=3,0,VALUE(CONCATENATE(Travail!BI31,Travail!BI42,Travail!BI53))))</f>
        <v>0</v>
      </c>
      <c r="BJ65" s="168">
        <f>IF(BJ20=0,0,IF(BJ42=3,0,VALUE(CONCATENATE(Travail!BJ31,Travail!BJ42,Travail!BJ53))))</f>
        <v>0</v>
      </c>
      <c r="BK65" s="168">
        <f>IF(BK20=0,0,IF(BK42=3,0,VALUE(CONCATENATE(Travail!BK31,Travail!BK42,Travail!BK53))))</f>
        <v>0</v>
      </c>
      <c r="BL65" s="168">
        <f>IF(BL20=0,0,IF(BL42=3,0,VALUE(CONCATENATE(Travail!BL31,Travail!BL42,Travail!BL53))))</f>
        <v>0</v>
      </c>
      <c r="BM65" s="168">
        <f>IF(BM20=0,0,IF(BM42=3,0,VALUE(CONCATENATE(Travail!BM31,Travail!BM42,Travail!BM53))))</f>
        <v>0</v>
      </c>
      <c r="BN65" s="168">
        <f>IF(BN20=0,0,IF(BN42=3,0,VALUE(CONCATENATE(Travail!BN31,Travail!BN42,Travail!BN53))))</f>
        <v>0</v>
      </c>
      <c r="BO65" s="168">
        <f>IF(BO20=0,0,IF(BO42=3,0,VALUE(CONCATENATE(Travail!BO31,Travail!BO42,Travail!BO53))))</f>
        <v>0</v>
      </c>
      <c r="BP65" s="168">
        <f>IF(BP20=0,0,IF(BP42=3,0,VALUE(CONCATENATE(Travail!BP31,Travail!BP42,Travail!BP53))))</f>
        <v>0</v>
      </c>
      <c r="BQ65" s="168">
        <f>IF(BQ20=0,0,IF(BQ42=3,0,VALUE(CONCATENATE(Travail!BQ31,Travail!BQ42,Travail!BQ53))))</f>
        <v>0</v>
      </c>
      <c r="BR65" s="168">
        <f>IF(BR20=0,0,IF(BR42=3,0,VALUE(CONCATENATE(Travail!BR31,Travail!BR42,Travail!BR53))))</f>
        <v>0</v>
      </c>
      <c r="BS65" s="168">
        <f>IF(BS20=0,0,IF(BS42=3,0,VALUE(CONCATENATE(Travail!BS31,Travail!BS42,Travail!BS53))))</f>
        <v>0</v>
      </c>
      <c r="BZ65" s="182" t="str">
        <f t="shared" si="33"/>
        <v>lot6</v>
      </c>
      <c r="CB65" s="168">
        <f>IF(CB20=0,0,IF(CB42=3,0,VALUE(CONCATENATE(Travail!CB31,Travail!CB42,Travail!CB53))))</f>
        <v>0</v>
      </c>
      <c r="CC65" s="168">
        <f>IF(CC20=0,0,IF(CC42=3,0,VALUE(CONCATENATE(Travail!CC31,Travail!CC42,Travail!CC53))))</f>
        <v>0</v>
      </c>
      <c r="CD65" s="168">
        <f>IF(CD20=0,0,IF(CD42=3,0,VALUE(CONCATENATE(Travail!CD31,Travail!CD42,Travail!CD53))))</f>
        <v>0</v>
      </c>
      <c r="CE65" s="168">
        <f>IF(CE20=0,0,IF(CE42=3,0,VALUE(CONCATENATE(Travail!CE31,Travail!CE42,Travail!CE53))))</f>
        <v>0</v>
      </c>
      <c r="CF65" s="168">
        <f>IF(CF20=0,0,IF(CF42=3,0,VALUE(CONCATENATE(Travail!CF31,Travail!CF42,Travail!CF53))))</f>
        <v>0</v>
      </c>
      <c r="CG65" s="168">
        <f>IF(CG20=0,0,IF(CG42=3,0,VALUE(CONCATENATE(Travail!CG31,Travail!CG42,Travail!CG53))))</f>
        <v>0</v>
      </c>
      <c r="CH65" s="168">
        <f>IF(CH20=0,0,IF(CH42=3,0,VALUE(CONCATENATE(Travail!CH31,Travail!CH42,Travail!CH53))))</f>
        <v>0</v>
      </c>
      <c r="CI65" s="168">
        <f>IF(CI20=0,0,IF(CI42=3,0,VALUE(CONCATENATE(Travail!CI31,Travail!CI42,Travail!CI53))))</f>
        <v>0</v>
      </c>
      <c r="CJ65" s="168">
        <f>IF(CJ20=0,0,IF(CJ42=3,0,VALUE(CONCATENATE(Travail!CJ31,Travail!CJ42,Travail!CJ53))))</f>
        <v>0</v>
      </c>
      <c r="CK65" s="168">
        <f>IF(CK20=0,0,IF(CK42=3,0,VALUE(CONCATENATE(Travail!CK31,Travail!CK42,Travail!CK53))))</f>
        <v>0</v>
      </c>
      <c r="CL65" s="168">
        <f>IF(CL20=0,0,IF(CL42=3,0,VALUE(CONCATENATE(Travail!CL31,Travail!CL42,Travail!CL53))))</f>
        <v>0</v>
      </c>
      <c r="CM65" s="168">
        <f>IF(CM20=0,0,IF(CM42=3,0,VALUE(CONCATENATE(Travail!CM31,Travail!CM42,Travail!CM53))))</f>
        <v>0</v>
      </c>
      <c r="CN65" s="168">
        <f>IF(CN20=0,0,IF(CN42=3,0,VALUE(CONCATENATE(Travail!CN31,Travail!CN42,Travail!CN53))))</f>
        <v>0</v>
      </c>
      <c r="CO65" s="168">
        <f>IF(CO20=0,0,IF(CO42=3,0,VALUE(CONCATENATE(Travail!CO31,Travail!CO42,Travail!CO53))))</f>
        <v>0</v>
      </c>
      <c r="CP65" s="168">
        <f>IF(CP20=0,0,IF(CP42=3,0,VALUE(CONCATENATE(Travail!CP31,Travail!CP42,Travail!CP53))))</f>
        <v>0</v>
      </c>
      <c r="CQ65" s="168">
        <f>IF(CQ20=0,0,IF(CQ42=3,0,VALUE(CONCATENATE(Travail!CQ31,Travail!CQ42,Travail!CQ53))))</f>
        <v>0</v>
      </c>
      <c r="CR65" s="168">
        <f>IF(CR20=0,0,IF(CR42=3,0,VALUE(CONCATENATE(Travail!CR31,Travail!CR42,Travail!CR53))))</f>
        <v>0</v>
      </c>
      <c r="CS65" s="168">
        <f>IF(CS20=0,0,IF(CS42=3,0,VALUE(CONCATENATE(Travail!CS31,Travail!CS42,Travail!CS53))))</f>
        <v>0</v>
      </c>
      <c r="CT65" s="168">
        <f>IF(CT20=0,0,IF(CT42=3,0,VALUE(CONCATENATE(Travail!CT31,Travail!CT42,Travail!CT53))))</f>
        <v>0</v>
      </c>
      <c r="CU65" s="168">
        <f>IF(CU20=0,0,IF(CU42=3,0,VALUE(CONCATENATE(Travail!CU31,Travail!CU42,Travail!CU53))))</f>
        <v>0</v>
      </c>
      <c r="CV65" s="168">
        <f>IF(CV20=0,0,IF(CV42=3,0,VALUE(CONCATENATE(Travail!CV31,Travail!CV42,Travail!CV53))))</f>
        <v>0</v>
      </c>
      <c r="CW65" s="168">
        <f>IF(CW20=0,0,IF(CW42=3,0,VALUE(CONCATENATE(Travail!CW31,Travail!CW42,Travail!CW53))))</f>
        <v>0</v>
      </c>
      <c r="CX65" s="168">
        <f>IF(CX20=0,0,IF(CX42=3,0,VALUE(CONCATENATE(Travail!CX31,Travail!CX42,Travail!CX53))))</f>
        <v>0</v>
      </c>
      <c r="CY65" s="168">
        <f>IF(CY20=0,0,IF(CY42=3,0,VALUE(CONCATENATE(Travail!CY31,Travail!CY42,Travail!CY53))))</f>
        <v>0</v>
      </c>
      <c r="DC65" s="182" t="str">
        <f t="shared" si="34"/>
        <v>lot6</v>
      </c>
      <c r="DE65" s="168">
        <f>IF(DE20=0,0,IF(DE42=3,0,VALUE(CONCATENATE(Travail!DE31,Travail!DE42,Travail!DE53))))</f>
        <v>0</v>
      </c>
      <c r="DF65" s="168">
        <f>IF(DF20=0,0,IF(DF42=3,0,VALUE(CONCATENATE(Travail!DF31,Travail!DF42,Travail!DF53))))</f>
        <v>0</v>
      </c>
      <c r="DG65" s="168">
        <f>IF(DG20=0,0,IF(DG42=3,0,VALUE(CONCATENATE(Travail!DG31,Travail!DG42,Travail!DG53))))</f>
        <v>0</v>
      </c>
      <c r="DH65" s="168">
        <f>IF(DH20=0,0,IF(DH42=3,0,VALUE(CONCATENATE(Travail!DH31,Travail!DH42,Travail!DH53))))</f>
        <v>0</v>
      </c>
      <c r="DI65" s="168">
        <f>IF(DI20=0,0,IF(DI42=3,0,VALUE(CONCATENATE(Travail!DI31,Travail!DI42,Travail!DI53))))</f>
        <v>0</v>
      </c>
      <c r="DJ65" s="168">
        <f>IF(DJ20=0,0,IF(DJ42=3,0,VALUE(CONCATENATE(Travail!DJ31,Travail!DJ42,Travail!DJ53))))</f>
        <v>0</v>
      </c>
      <c r="DK65" s="168">
        <f>IF(DK20=0,0,IF(DK42=3,0,VALUE(CONCATENATE(Travail!DK31,Travail!DK42,Travail!DK53))))</f>
        <v>0</v>
      </c>
      <c r="DL65" s="168">
        <f>IF(DL20=0,0,IF(DL42=3,0,VALUE(CONCATENATE(Travail!DL31,Travail!DL42,Travail!DL53))))</f>
        <v>0</v>
      </c>
      <c r="DM65" s="168">
        <f>IF(DM20=0,0,IF(DM42=3,0,VALUE(CONCATENATE(Travail!DM31,Travail!DM42,Travail!DM53))))</f>
        <v>0</v>
      </c>
      <c r="DN65" s="168">
        <f>IF(DN20=0,0,IF(DN42=3,0,VALUE(CONCATENATE(Travail!DN31,Travail!DN42,Travail!DN53))))</f>
        <v>0</v>
      </c>
      <c r="DO65" s="168">
        <f>IF(DO20=0,0,IF(DO42=3,0,VALUE(CONCATENATE(Travail!DO31,Travail!DO42,Travail!DO53))))</f>
        <v>0</v>
      </c>
      <c r="DP65" s="168">
        <f>IF(DP20=0,0,IF(DP42=3,0,VALUE(CONCATENATE(Travail!DP31,Travail!DP42,Travail!DP53))))</f>
        <v>0</v>
      </c>
      <c r="DQ65" s="168">
        <f>IF(DQ20=0,0,IF(DQ42=3,0,VALUE(CONCATENATE(Travail!DQ31,Travail!DQ42,Travail!DQ53))))</f>
        <v>0</v>
      </c>
      <c r="DR65" s="168">
        <f>IF(DR20=0,0,IF(DR42=3,0,VALUE(CONCATENATE(Travail!DR31,Travail!DR42,Travail!DR53))))</f>
        <v>0</v>
      </c>
      <c r="DS65" s="168">
        <f>IF(DS20=0,0,IF(DS42=3,0,VALUE(CONCATENATE(Travail!DS31,Travail!DS42,Travail!DS53))))</f>
        <v>0</v>
      </c>
      <c r="DT65" s="168">
        <f>IF(DT20=0,0,IF(DT42=3,0,VALUE(CONCATENATE(Travail!DT31,Travail!DT42,Travail!DT53))))</f>
        <v>0</v>
      </c>
      <c r="DU65" s="168">
        <f>IF(DU20=0,0,IF(DU42=3,0,VALUE(CONCATENATE(Travail!DU31,Travail!DU42,Travail!DU53))))</f>
        <v>0</v>
      </c>
      <c r="DV65" s="168">
        <f>IF(DV20=0,0,IF(DV42=3,0,VALUE(CONCATENATE(Travail!DV31,Travail!DV42,Travail!DV53))))</f>
        <v>0</v>
      </c>
      <c r="DW65" s="168">
        <f>IF(DW20=0,0,IF(DW42=3,0,VALUE(CONCATENATE(Travail!DW31,Travail!DW42,Travail!DW53))))</f>
        <v>0</v>
      </c>
      <c r="DX65" s="168">
        <f>IF(DX20=0,0,IF(DX42=3,0,VALUE(CONCATENATE(Travail!DX31,Travail!DX42,Travail!DX53))))</f>
        <v>0</v>
      </c>
      <c r="DY65" s="168">
        <f>IF(DY20=0,0,IF(DY42=3,0,VALUE(CONCATENATE(Travail!DY31,Travail!DY42,Travail!DY53))))</f>
        <v>0</v>
      </c>
      <c r="DZ65" s="168">
        <f>IF(DZ20=0,0,IF(DZ42=3,0,VALUE(CONCATENATE(Travail!DZ31,Travail!DZ42,Travail!DZ53))))</f>
        <v>0</v>
      </c>
      <c r="EA65" s="168">
        <f>IF(EA20=0,0,IF(EA42=3,0,VALUE(CONCATENATE(Travail!EA31,Travail!EA42,Travail!EA53))))</f>
        <v>0</v>
      </c>
      <c r="EB65" s="168">
        <f>IF(EB20=0,0,IF(EB42=3,0,VALUE(CONCATENATE(Travail!EB31,Travail!EB42,Travail!EB53))))</f>
        <v>0</v>
      </c>
    </row>
    <row r="66" spans="1:132" x14ac:dyDescent="0.25">
      <c r="A66" s="23"/>
      <c r="B66" s="23"/>
      <c r="C66" s="23"/>
      <c r="D66" s="23"/>
      <c r="E66" s="23"/>
      <c r="F66" s="36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181" t="s">
        <v>730</v>
      </c>
      <c r="AT66" s="182" t="str">
        <f t="shared" si="35"/>
        <v>lot7</v>
      </c>
      <c r="AV66" s="168">
        <f>IF(AV21=0,0,IF(AV43=3,0,VALUE(CONCATENATE(Travail!AV32,Travail!AV43,Travail!AV54))))</f>
        <v>0</v>
      </c>
      <c r="AW66" s="168">
        <f>IF(AW21=0,0,IF(AW43=3,0,VALUE(CONCATENATE(Travail!AW32,Travail!AW43,Travail!AW54))))</f>
        <v>0</v>
      </c>
      <c r="AX66" s="168">
        <f>IF(AX21=0,0,IF(AX43=3,0,VALUE(CONCATENATE(Travail!AX32,Travail!AX43,Travail!AX54))))</f>
        <v>0</v>
      </c>
      <c r="AY66" s="168">
        <f>IF(AY21=0,0,IF(AY43=3,0,VALUE(CONCATENATE(Travail!AY32,Travail!AY43,Travail!AY54))))</f>
        <v>0</v>
      </c>
      <c r="AZ66" s="168">
        <f>IF(AZ21=0,0,IF(AZ43=3,0,VALUE(CONCATENATE(Travail!AZ32,Travail!AZ43,Travail!AZ54))))</f>
        <v>0</v>
      </c>
      <c r="BA66" s="168">
        <f>IF(BA21=0,0,IF(BA43=3,0,VALUE(CONCATENATE(Travail!BA32,Travail!BA43,Travail!BA54))))</f>
        <v>0</v>
      </c>
      <c r="BB66" s="168">
        <f>IF(BB21=0,0,IF(BB43=3,0,VALUE(CONCATENATE(Travail!BB32,Travail!BB43,Travail!BB54))))</f>
        <v>0</v>
      </c>
      <c r="BC66" s="168">
        <f>IF(BC21=0,0,IF(BC43=3,0,VALUE(CONCATENATE(Travail!BC32,Travail!BC43,Travail!BC54))))</f>
        <v>0</v>
      </c>
      <c r="BD66" s="168">
        <f>IF(BD21=0,0,IF(BD43=3,0,VALUE(CONCATENATE(Travail!BD32,Travail!BD43,Travail!BD54))))</f>
        <v>0</v>
      </c>
      <c r="BE66" s="168">
        <f>IF(BE21=0,0,IF(BE43=3,0,VALUE(CONCATENATE(Travail!BE32,Travail!BE43,Travail!BE54))))</f>
        <v>0</v>
      </c>
      <c r="BF66" s="168">
        <f>IF(BF21=0,0,IF(BF43=3,0,VALUE(CONCATENATE(Travail!BF32,Travail!BF43,Travail!BF54))))</f>
        <v>0</v>
      </c>
      <c r="BG66" s="168">
        <f>IF(BG21=0,0,IF(BG43=3,0,VALUE(CONCATENATE(Travail!BG32,Travail!BG43,Travail!BG54))))</f>
        <v>0</v>
      </c>
      <c r="BH66" s="168">
        <f>IF(BH21=0,0,IF(BH43=3,0,VALUE(CONCATENATE(Travail!BH32,Travail!BH43,Travail!BH54))))</f>
        <v>0</v>
      </c>
      <c r="BI66" s="168">
        <f>IF(BI21=0,0,IF(BI43=3,0,VALUE(CONCATENATE(Travail!BI32,Travail!BI43,Travail!BI54))))</f>
        <v>0</v>
      </c>
      <c r="BJ66" s="168">
        <f>IF(BJ21=0,0,IF(BJ43=3,0,VALUE(CONCATENATE(Travail!BJ32,Travail!BJ43,Travail!BJ54))))</f>
        <v>0</v>
      </c>
      <c r="BK66" s="168">
        <f>IF(BK21=0,0,IF(BK43=3,0,VALUE(CONCATENATE(Travail!BK32,Travail!BK43,Travail!BK54))))</f>
        <v>0</v>
      </c>
      <c r="BL66" s="168">
        <f>IF(BL21=0,0,IF(BL43=3,0,VALUE(CONCATENATE(Travail!BL32,Travail!BL43,Travail!BL54))))</f>
        <v>0</v>
      </c>
      <c r="BM66" s="168">
        <f>IF(BM21=0,0,IF(BM43=3,0,VALUE(CONCATENATE(Travail!BM32,Travail!BM43,Travail!BM54))))</f>
        <v>0</v>
      </c>
      <c r="BN66" s="168">
        <f>IF(BN21=0,0,IF(BN43=3,0,VALUE(CONCATENATE(Travail!BN32,Travail!BN43,Travail!BN54))))</f>
        <v>0</v>
      </c>
      <c r="BO66" s="168">
        <f>IF(BO21=0,0,IF(BO43=3,0,VALUE(CONCATENATE(Travail!BO32,Travail!BO43,Travail!BO54))))</f>
        <v>0</v>
      </c>
      <c r="BP66" s="168">
        <f>IF(BP21=0,0,IF(BP43=3,0,VALUE(CONCATENATE(Travail!BP32,Travail!BP43,Travail!BP54))))</f>
        <v>0</v>
      </c>
      <c r="BQ66" s="168">
        <f>IF(BQ21=0,0,IF(BQ43=3,0,VALUE(CONCATENATE(Travail!BQ32,Travail!BQ43,Travail!BQ54))))</f>
        <v>0</v>
      </c>
      <c r="BR66" s="168">
        <f>IF(BR21=0,0,IF(BR43=3,0,VALUE(CONCATENATE(Travail!BR32,Travail!BR43,Travail!BR54))))</f>
        <v>0</v>
      </c>
      <c r="BS66" s="168">
        <f>IF(BS21=0,0,IF(BS43=3,0,VALUE(CONCATENATE(Travail!BS32,Travail!BS43,Travail!BS54))))</f>
        <v>0</v>
      </c>
      <c r="BZ66" s="182" t="str">
        <f t="shared" si="33"/>
        <v>lot7</v>
      </c>
      <c r="CB66" s="168">
        <f>IF(CB21=0,0,IF(CB43=3,0,VALUE(CONCATENATE(Travail!CB32,Travail!CB43,Travail!CB54))))</f>
        <v>0</v>
      </c>
      <c r="CC66" s="168">
        <f>IF(CC21=0,0,IF(CC43=3,0,VALUE(CONCATENATE(Travail!CC32,Travail!CC43,Travail!CC54))))</f>
        <v>0</v>
      </c>
      <c r="CD66" s="168">
        <f>IF(CD21=0,0,IF(CD43=3,0,VALUE(CONCATENATE(Travail!CD32,Travail!CD43,Travail!CD54))))</f>
        <v>0</v>
      </c>
      <c r="CE66" s="168">
        <f>IF(CE21=0,0,IF(CE43=3,0,VALUE(CONCATENATE(Travail!CE32,Travail!CE43,Travail!CE54))))</f>
        <v>0</v>
      </c>
      <c r="CF66" s="168">
        <f>IF(CF21=0,0,IF(CF43=3,0,VALUE(CONCATENATE(Travail!CF32,Travail!CF43,Travail!CF54))))</f>
        <v>0</v>
      </c>
      <c r="CG66" s="168">
        <f>IF(CG21=0,0,IF(CG43=3,0,VALUE(CONCATENATE(Travail!CG32,Travail!CG43,Travail!CG54))))</f>
        <v>0</v>
      </c>
      <c r="CH66" s="168">
        <f>IF(CH21=0,0,IF(CH43=3,0,VALUE(CONCATENATE(Travail!CH32,Travail!CH43,Travail!CH54))))</f>
        <v>0</v>
      </c>
      <c r="CI66" s="168">
        <f>IF(CI21=0,0,IF(CI43=3,0,VALUE(CONCATENATE(Travail!CI32,Travail!CI43,Travail!CI54))))</f>
        <v>0</v>
      </c>
      <c r="CJ66" s="168">
        <f>IF(CJ21=0,0,IF(CJ43=3,0,VALUE(CONCATENATE(Travail!CJ32,Travail!CJ43,Travail!CJ54))))</f>
        <v>0</v>
      </c>
      <c r="CK66" s="168">
        <f>IF(CK21=0,0,IF(CK43=3,0,VALUE(CONCATENATE(Travail!CK32,Travail!CK43,Travail!CK54))))</f>
        <v>0</v>
      </c>
      <c r="CL66" s="168">
        <f>IF(CL21=0,0,IF(CL43=3,0,VALUE(CONCATENATE(Travail!CL32,Travail!CL43,Travail!CL54))))</f>
        <v>0</v>
      </c>
      <c r="CM66" s="168">
        <f>IF(CM21=0,0,IF(CM43=3,0,VALUE(CONCATENATE(Travail!CM32,Travail!CM43,Travail!CM54))))</f>
        <v>0</v>
      </c>
      <c r="CN66" s="168">
        <f>IF(CN21=0,0,IF(CN43=3,0,VALUE(CONCATENATE(Travail!CN32,Travail!CN43,Travail!CN54))))</f>
        <v>0</v>
      </c>
      <c r="CO66" s="168">
        <f>IF(CO21=0,0,IF(CO43=3,0,VALUE(CONCATENATE(Travail!CO32,Travail!CO43,Travail!CO54))))</f>
        <v>0</v>
      </c>
      <c r="CP66" s="168">
        <f>IF(CP21=0,0,IF(CP43=3,0,VALUE(CONCATENATE(Travail!CP32,Travail!CP43,Travail!CP54))))</f>
        <v>0</v>
      </c>
      <c r="CQ66" s="168">
        <f>IF(CQ21=0,0,IF(CQ43=3,0,VALUE(CONCATENATE(Travail!CQ32,Travail!CQ43,Travail!CQ54))))</f>
        <v>0</v>
      </c>
      <c r="CR66" s="168">
        <f>IF(CR21=0,0,IF(CR43=3,0,VALUE(CONCATENATE(Travail!CR32,Travail!CR43,Travail!CR54))))</f>
        <v>0</v>
      </c>
      <c r="CS66" s="168">
        <f>IF(CS21=0,0,IF(CS43=3,0,VALUE(CONCATENATE(Travail!CS32,Travail!CS43,Travail!CS54))))</f>
        <v>0</v>
      </c>
      <c r="CT66" s="168">
        <f>IF(CT21=0,0,IF(CT43=3,0,VALUE(CONCATENATE(Travail!CT32,Travail!CT43,Travail!CT54))))</f>
        <v>0</v>
      </c>
      <c r="CU66" s="168">
        <f>IF(CU21=0,0,IF(CU43=3,0,VALUE(CONCATENATE(Travail!CU32,Travail!CU43,Travail!CU54))))</f>
        <v>0</v>
      </c>
      <c r="CV66" s="168">
        <f>IF(CV21=0,0,IF(CV43=3,0,VALUE(CONCATENATE(Travail!CV32,Travail!CV43,Travail!CV54))))</f>
        <v>0</v>
      </c>
      <c r="CW66" s="168">
        <f>IF(CW21=0,0,IF(CW43=3,0,VALUE(CONCATENATE(Travail!CW32,Travail!CW43,Travail!CW54))))</f>
        <v>0</v>
      </c>
      <c r="CX66" s="168">
        <f>IF(CX21=0,0,IF(CX43=3,0,VALUE(CONCATENATE(Travail!CX32,Travail!CX43,Travail!CX54))))</f>
        <v>0</v>
      </c>
      <c r="CY66" s="168">
        <f>IF(CY21=0,0,IF(CY43=3,0,VALUE(CONCATENATE(Travail!CY32,Travail!CY43,Travail!CY54))))</f>
        <v>0</v>
      </c>
      <c r="DC66" s="182" t="str">
        <f t="shared" si="34"/>
        <v>lot7</v>
      </c>
      <c r="DE66" s="168">
        <f>IF(DE21=0,0,IF(DE43=3,0,VALUE(CONCATENATE(Travail!DE32,Travail!DE43,Travail!DE54))))</f>
        <v>0</v>
      </c>
      <c r="DF66" s="168">
        <f>IF(DF21=0,0,IF(DF43=3,0,VALUE(CONCATENATE(Travail!DF32,Travail!DF43,Travail!DF54))))</f>
        <v>0</v>
      </c>
      <c r="DG66" s="168">
        <f>IF(DG21=0,0,IF(DG43=3,0,VALUE(CONCATENATE(Travail!DG32,Travail!DG43,Travail!DG54))))</f>
        <v>0</v>
      </c>
      <c r="DH66" s="168">
        <f>IF(DH21=0,0,IF(DH43=3,0,VALUE(CONCATENATE(Travail!DH32,Travail!DH43,Travail!DH54))))</f>
        <v>0</v>
      </c>
      <c r="DI66" s="168">
        <f>IF(DI21=0,0,IF(DI43=3,0,VALUE(CONCATENATE(Travail!DI32,Travail!DI43,Travail!DI54))))</f>
        <v>0</v>
      </c>
      <c r="DJ66" s="168">
        <f>IF(DJ21=0,0,IF(DJ43=3,0,VALUE(CONCATENATE(Travail!DJ32,Travail!DJ43,Travail!DJ54))))</f>
        <v>0</v>
      </c>
      <c r="DK66" s="168">
        <f>IF(DK21=0,0,IF(DK43=3,0,VALUE(CONCATENATE(Travail!DK32,Travail!DK43,Travail!DK54))))</f>
        <v>0</v>
      </c>
      <c r="DL66" s="168">
        <f>IF(DL21=0,0,IF(DL43=3,0,VALUE(CONCATENATE(Travail!DL32,Travail!DL43,Travail!DL54))))</f>
        <v>0</v>
      </c>
      <c r="DM66" s="168">
        <f>IF(DM21=0,0,IF(DM43=3,0,VALUE(CONCATENATE(Travail!DM32,Travail!DM43,Travail!DM54))))</f>
        <v>0</v>
      </c>
      <c r="DN66" s="168">
        <f>IF(DN21=0,0,IF(DN43=3,0,VALUE(CONCATENATE(Travail!DN32,Travail!DN43,Travail!DN54))))</f>
        <v>0</v>
      </c>
      <c r="DO66" s="168">
        <f>IF(DO21=0,0,IF(DO43=3,0,VALUE(CONCATENATE(Travail!DO32,Travail!DO43,Travail!DO54))))</f>
        <v>0</v>
      </c>
      <c r="DP66" s="168">
        <f>IF(DP21=0,0,IF(DP43=3,0,VALUE(CONCATENATE(Travail!DP32,Travail!DP43,Travail!DP54))))</f>
        <v>0</v>
      </c>
      <c r="DQ66" s="168">
        <f>IF(DQ21=0,0,IF(DQ43=3,0,VALUE(CONCATENATE(Travail!DQ32,Travail!DQ43,Travail!DQ54))))</f>
        <v>0</v>
      </c>
      <c r="DR66" s="168">
        <f>IF(DR21=0,0,IF(DR43=3,0,VALUE(CONCATENATE(Travail!DR32,Travail!DR43,Travail!DR54))))</f>
        <v>0</v>
      </c>
      <c r="DS66" s="168">
        <f>IF(DS21=0,0,IF(DS43=3,0,VALUE(CONCATENATE(Travail!DS32,Travail!DS43,Travail!DS54))))</f>
        <v>0</v>
      </c>
      <c r="DT66" s="168">
        <f>IF(DT21=0,0,IF(DT43=3,0,VALUE(CONCATENATE(Travail!DT32,Travail!DT43,Travail!DT54))))</f>
        <v>0</v>
      </c>
      <c r="DU66" s="168">
        <f>IF(DU21=0,0,IF(DU43=3,0,VALUE(CONCATENATE(Travail!DU32,Travail!DU43,Travail!DU54))))</f>
        <v>0</v>
      </c>
      <c r="DV66" s="168">
        <f>IF(DV21=0,0,IF(DV43=3,0,VALUE(CONCATENATE(Travail!DV32,Travail!DV43,Travail!DV54))))</f>
        <v>0</v>
      </c>
      <c r="DW66" s="168">
        <f>IF(DW21=0,0,IF(DW43=3,0,VALUE(CONCATENATE(Travail!DW32,Travail!DW43,Travail!DW54))))</f>
        <v>0</v>
      </c>
      <c r="DX66" s="168">
        <f>IF(DX21=0,0,IF(DX43=3,0,VALUE(CONCATENATE(Travail!DX32,Travail!DX43,Travail!DX54))))</f>
        <v>0</v>
      </c>
      <c r="DY66" s="168">
        <f>IF(DY21=0,0,IF(DY43=3,0,VALUE(CONCATENATE(Travail!DY32,Travail!DY43,Travail!DY54))))</f>
        <v>0</v>
      </c>
      <c r="DZ66" s="168">
        <f>IF(DZ21=0,0,IF(DZ43=3,0,VALUE(CONCATENATE(Travail!DZ32,Travail!DZ43,Travail!DZ54))))</f>
        <v>0</v>
      </c>
      <c r="EA66" s="168">
        <f>IF(EA21=0,0,IF(EA43=3,0,VALUE(CONCATENATE(Travail!EA32,Travail!EA43,Travail!EA54))))</f>
        <v>0</v>
      </c>
      <c r="EB66" s="168">
        <f>IF(EB21=0,0,IF(EB43=3,0,VALUE(CONCATENATE(Travail!EB32,Travail!EB43,Travail!EB54))))</f>
        <v>0</v>
      </c>
    </row>
    <row r="67" spans="1:132" x14ac:dyDescent="0.25">
      <c r="A67" s="23"/>
      <c r="B67" s="23"/>
      <c r="C67" s="23"/>
      <c r="D67" s="23"/>
      <c r="E67" s="23"/>
      <c r="F67" s="36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181" t="s">
        <v>730</v>
      </c>
      <c r="AT67" s="182" t="str">
        <f t="shared" si="35"/>
        <v>lot8</v>
      </c>
      <c r="AV67" s="168">
        <f>IF(AV22=0,0,IF(AV44=3,0,VALUE(CONCATENATE(Travail!AV33,Travail!AV44,Travail!AV55))))</f>
        <v>0</v>
      </c>
      <c r="AW67" s="168">
        <f>IF(AW22=0,0,IF(AW44=3,0,VALUE(CONCATENATE(Travail!AW33,Travail!AW44,Travail!AW55))))</f>
        <v>0</v>
      </c>
      <c r="AX67" s="168">
        <f>IF(AX22=0,0,IF(AX44=3,0,VALUE(CONCATENATE(Travail!AX33,Travail!AX44,Travail!AX55))))</f>
        <v>0</v>
      </c>
      <c r="AY67" s="168">
        <f>IF(AY22=0,0,IF(AY44=3,0,VALUE(CONCATENATE(Travail!AY33,Travail!AY44,Travail!AY55))))</f>
        <v>0</v>
      </c>
      <c r="AZ67" s="168">
        <f>IF(AZ22=0,0,IF(AZ44=3,0,VALUE(CONCATENATE(Travail!AZ33,Travail!AZ44,Travail!AZ55))))</f>
        <v>0</v>
      </c>
      <c r="BA67" s="168">
        <f>IF(BA22=0,0,IF(BA44=3,0,VALUE(CONCATENATE(Travail!BA33,Travail!BA44,Travail!BA55))))</f>
        <v>0</v>
      </c>
      <c r="BB67" s="168">
        <f>IF(BB22=0,0,IF(BB44=3,0,VALUE(CONCATENATE(Travail!BB33,Travail!BB44,Travail!BB55))))</f>
        <v>0</v>
      </c>
      <c r="BC67" s="168">
        <f>IF(BC22=0,0,IF(BC44=3,0,VALUE(CONCATENATE(Travail!BC33,Travail!BC44,Travail!BC55))))</f>
        <v>0</v>
      </c>
      <c r="BD67" s="168">
        <f>IF(BD22=0,0,IF(BD44=3,0,VALUE(CONCATENATE(Travail!BD33,Travail!BD44,Travail!BD55))))</f>
        <v>0</v>
      </c>
      <c r="BE67" s="168">
        <f>IF(BE22=0,0,IF(BE44=3,0,VALUE(CONCATENATE(Travail!BE33,Travail!BE44,Travail!BE55))))</f>
        <v>0</v>
      </c>
      <c r="BF67" s="168">
        <f>IF(BF22=0,0,IF(BF44=3,0,VALUE(CONCATENATE(Travail!BF33,Travail!BF44,Travail!BF55))))</f>
        <v>0</v>
      </c>
      <c r="BG67" s="168">
        <f>IF(BG22=0,0,IF(BG44=3,0,VALUE(CONCATENATE(Travail!BG33,Travail!BG44,Travail!BG55))))</f>
        <v>0</v>
      </c>
      <c r="BH67" s="168">
        <f>IF(BH22=0,0,IF(BH44=3,0,VALUE(CONCATENATE(Travail!BH33,Travail!BH44,Travail!BH55))))</f>
        <v>0</v>
      </c>
      <c r="BI67" s="168">
        <f>IF(BI22=0,0,IF(BI44=3,0,VALUE(CONCATENATE(Travail!BI33,Travail!BI44,Travail!BI55))))</f>
        <v>0</v>
      </c>
      <c r="BJ67" s="168">
        <f>IF(BJ22=0,0,IF(BJ44=3,0,VALUE(CONCATENATE(Travail!BJ33,Travail!BJ44,Travail!BJ55))))</f>
        <v>0</v>
      </c>
      <c r="BK67" s="168">
        <f>IF(BK22=0,0,IF(BK44=3,0,VALUE(CONCATENATE(Travail!BK33,Travail!BK44,Travail!BK55))))</f>
        <v>0</v>
      </c>
      <c r="BL67" s="168">
        <f>IF(BL22=0,0,IF(BL44=3,0,VALUE(CONCATENATE(Travail!BL33,Travail!BL44,Travail!BL55))))</f>
        <v>0</v>
      </c>
      <c r="BM67" s="168">
        <f>IF(BM22=0,0,IF(BM44=3,0,VALUE(CONCATENATE(Travail!BM33,Travail!BM44,Travail!BM55))))</f>
        <v>0</v>
      </c>
      <c r="BN67" s="168">
        <f>IF(BN22=0,0,IF(BN44=3,0,VALUE(CONCATENATE(Travail!BN33,Travail!BN44,Travail!BN55))))</f>
        <v>0</v>
      </c>
      <c r="BO67" s="168">
        <f>IF(BO22=0,0,IF(BO44=3,0,VALUE(CONCATENATE(Travail!BO33,Travail!BO44,Travail!BO55))))</f>
        <v>0</v>
      </c>
      <c r="BP67" s="168">
        <f>IF(BP22=0,0,IF(BP44=3,0,VALUE(CONCATENATE(Travail!BP33,Travail!BP44,Travail!BP55))))</f>
        <v>0</v>
      </c>
      <c r="BQ67" s="168">
        <f>IF(BQ22=0,0,IF(BQ44=3,0,VALUE(CONCATENATE(Travail!BQ33,Travail!BQ44,Travail!BQ55))))</f>
        <v>0</v>
      </c>
      <c r="BR67" s="168">
        <f>IF(BR22=0,0,IF(BR44=3,0,VALUE(CONCATENATE(Travail!BR33,Travail!BR44,Travail!BR55))))</f>
        <v>0</v>
      </c>
      <c r="BS67" s="168">
        <f>IF(BS22=0,0,IF(BS44=3,0,VALUE(CONCATENATE(Travail!BS33,Travail!BS44,Travail!BS55))))</f>
        <v>0</v>
      </c>
      <c r="BZ67" s="182" t="str">
        <f t="shared" si="33"/>
        <v>lot8</v>
      </c>
      <c r="CB67" s="168">
        <f>IF(CB22=0,0,IF(CB44=3,0,VALUE(CONCATENATE(Travail!CB33,Travail!CB44,Travail!CB55))))</f>
        <v>0</v>
      </c>
      <c r="CC67" s="168">
        <f>IF(CC22=0,0,IF(CC44=3,0,VALUE(CONCATENATE(Travail!CC33,Travail!CC44,Travail!CC55))))</f>
        <v>0</v>
      </c>
      <c r="CD67" s="168">
        <f>IF(CD22=0,0,IF(CD44=3,0,VALUE(CONCATENATE(Travail!CD33,Travail!CD44,Travail!CD55))))</f>
        <v>0</v>
      </c>
      <c r="CE67" s="168">
        <f>IF(CE22=0,0,IF(CE44=3,0,VALUE(CONCATENATE(Travail!CE33,Travail!CE44,Travail!CE55))))</f>
        <v>0</v>
      </c>
      <c r="CF67" s="168">
        <f>IF(CF22=0,0,IF(CF44=3,0,VALUE(CONCATENATE(Travail!CF33,Travail!CF44,Travail!CF55))))</f>
        <v>0</v>
      </c>
      <c r="CG67" s="168">
        <f>IF(CG22=0,0,IF(CG44=3,0,VALUE(CONCATENATE(Travail!CG33,Travail!CG44,Travail!CG55))))</f>
        <v>0</v>
      </c>
      <c r="CH67" s="168">
        <f>IF(CH22=0,0,IF(CH44=3,0,VALUE(CONCATENATE(Travail!CH33,Travail!CH44,Travail!CH55))))</f>
        <v>0</v>
      </c>
      <c r="CI67" s="168">
        <f>IF(CI22=0,0,IF(CI44=3,0,VALUE(CONCATENATE(Travail!CI33,Travail!CI44,Travail!CI55))))</f>
        <v>0</v>
      </c>
      <c r="CJ67" s="168">
        <f>IF(CJ22=0,0,IF(CJ44=3,0,VALUE(CONCATENATE(Travail!CJ33,Travail!CJ44,Travail!CJ55))))</f>
        <v>0</v>
      </c>
      <c r="CK67" s="168">
        <f>IF(CK22=0,0,IF(CK44=3,0,VALUE(CONCATENATE(Travail!CK33,Travail!CK44,Travail!CK55))))</f>
        <v>0</v>
      </c>
      <c r="CL67" s="168">
        <f>IF(CL22=0,0,IF(CL44=3,0,VALUE(CONCATENATE(Travail!CL33,Travail!CL44,Travail!CL55))))</f>
        <v>0</v>
      </c>
      <c r="CM67" s="168">
        <f>IF(CM22=0,0,IF(CM44=3,0,VALUE(CONCATENATE(Travail!CM33,Travail!CM44,Travail!CM55))))</f>
        <v>0</v>
      </c>
      <c r="CN67" s="168">
        <f>IF(CN22=0,0,IF(CN44=3,0,VALUE(CONCATENATE(Travail!CN33,Travail!CN44,Travail!CN55))))</f>
        <v>0</v>
      </c>
      <c r="CO67" s="168">
        <f>IF(CO22=0,0,IF(CO44=3,0,VALUE(CONCATENATE(Travail!CO33,Travail!CO44,Travail!CO55))))</f>
        <v>0</v>
      </c>
      <c r="CP67" s="168">
        <f>IF(CP22=0,0,IF(CP44=3,0,VALUE(CONCATENATE(Travail!CP33,Travail!CP44,Travail!CP55))))</f>
        <v>0</v>
      </c>
      <c r="CQ67" s="168">
        <f>IF(CQ22=0,0,IF(CQ44=3,0,VALUE(CONCATENATE(Travail!CQ33,Travail!CQ44,Travail!CQ55))))</f>
        <v>0</v>
      </c>
      <c r="CR67" s="168">
        <f>IF(CR22=0,0,IF(CR44=3,0,VALUE(CONCATENATE(Travail!CR33,Travail!CR44,Travail!CR55))))</f>
        <v>0</v>
      </c>
      <c r="CS67" s="168">
        <f>IF(CS22=0,0,IF(CS44=3,0,VALUE(CONCATENATE(Travail!CS33,Travail!CS44,Travail!CS55))))</f>
        <v>0</v>
      </c>
      <c r="CT67" s="168">
        <f>IF(CT22=0,0,IF(CT44=3,0,VALUE(CONCATENATE(Travail!CT33,Travail!CT44,Travail!CT55))))</f>
        <v>0</v>
      </c>
      <c r="CU67" s="168">
        <f>IF(CU22=0,0,IF(CU44=3,0,VALUE(CONCATENATE(Travail!CU33,Travail!CU44,Travail!CU55))))</f>
        <v>0</v>
      </c>
      <c r="CV67" s="168">
        <f>IF(CV22=0,0,IF(CV44=3,0,VALUE(CONCATENATE(Travail!CV33,Travail!CV44,Travail!CV55))))</f>
        <v>0</v>
      </c>
      <c r="CW67" s="168">
        <f>IF(CW22=0,0,IF(CW44=3,0,VALUE(CONCATENATE(Travail!CW33,Travail!CW44,Travail!CW55))))</f>
        <v>0</v>
      </c>
      <c r="CX67" s="168">
        <f>IF(CX22=0,0,IF(CX44=3,0,VALUE(CONCATENATE(Travail!CX33,Travail!CX44,Travail!CX55))))</f>
        <v>0</v>
      </c>
      <c r="CY67" s="168">
        <f>IF(CY22=0,0,IF(CY44=3,0,VALUE(CONCATENATE(Travail!CY33,Travail!CY44,Travail!CY55))))</f>
        <v>0</v>
      </c>
      <c r="DC67" s="182" t="str">
        <f t="shared" si="34"/>
        <v>lot8</v>
      </c>
      <c r="DE67" s="168">
        <f>IF(DE22=0,0,IF(DE44=3,0,VALUE(CONCATENATE(Travail!DE33,Travail!DE44,Travail!DE55))))</f>
        <v>0</v>
      </c>
      <c r="DF67" s="168">
        <f>IF(DF22=0,0,IF(DF44=3,0,VALUE(CONCATENATE(Travail!DF33,Travail!DF44,Travail!DF55))))</f>
        <v>0</v>
      </c>
      <c r="DG67" s="168">
        <f>IF(DG22=0,0,IF(DG44=3,0,VALUE(CONCATENATE(Travail!DG33,Travail!DG44,Travail!DG55))))</f>
        <v>0</v>
      </c>
      <c r="DH67" s="168">
        <f>IF(DH22=0,0,IF(DH44=3,0,VALUE(CONCATENATE(Travail!DH33,Travail!DH44,Travail!DH55))))</f>
        <v>0</v>
      </c>
      <c r="DI67" s="168">
        <f>IF(DI22=0,0,IF(DI44=3,0,VALUE(CONCATENATE(Travail!DI33,Travail!DI44,Travail!DI55))))</f>
        <v>0</v>
      </c>
      <c r="DJ67" s="168">
        <f>IF(DJ22=0,0,IF(DJ44=3,0,VALUE(CONCATENATE(Travail!DJ33,Travail!DJ44,Travail!DJ55))))</f>
        <v>0</v>
      </c>
      <c r="DK67" s="168">
        <f>IF(DK22=0,0,IF(DK44=3,0,VALUE(CONCATENATE(Travail!DK33,Travail!DK44,Travail!DK55))))</f>
        <v>0</v>
      </c>
      <c r="DL67" s="168">
        <f>IF(DL22=0,0,IF(DL44=3,0,VALUE(CONCATENATE(Travail!DL33,Travail!DL44,Travail!DL55))))</f>
        <v>0</v>
      </c>
      <c r="DM67" s="168">
        <f>IF(DM22=0,0,IF(DM44=3,0,VALUE(CONCATENATE(Travail!DM33,Travail!DM44,Travail!DM55))))</f>
        <v>0</v>
      </c>
      <c r="DN67" s="168">
        <f>IF(DN22=0,0,IF(DN44=3,0,VALUE(CONCATENATE(Travail!DN33,Travail!DN44,Travail!DN55))))</f>
        <v>0</v>
      </c>
      <c r="DO67" s="168">
        <f>IF(DO22=0,0,IF(DO44=3,0,VALUE(CONCATENATE(Travail!DO33,Travail!DO44,Travail!DO55))))</f>
        <v>0</v>
      </c>
      <c r="DP67" s="168">
        <f>IF(DP22=0,0,IF(DP44=3,0,VALUE(CONCATENATE(Travail!DP33,Travail!DP44,Travail!DP55))))</f>
        <v>0</v>
      </c>
      <c r="DQ67" s="168">
        <f>IF(DQ22=0,0,IF(DQ44=3,0,VALUE(CONCATENATE(Travail!DQ33,Travail!DQ44,Travail!DQ55))))</f>
        <v>0</v>
      </c>
      <c r="DR67" s="168">
        <f>IF(DR22=0,0,IF(DR44=3,0,VALUE(CONCATENATE(Travail!DR33,Travail!DR44,Travail!DR55))))</f>
        <v>0</v>
      </c>
      <c r="DS67" s="168">
        <f>IF(DS22=0,0,IF(DS44=3,0,VALUE(CONCATENATE(Travail!DS33,Travail!DS44,Travail!DS55))))</f>
        <v>0</v>
      </c>
      <c r="DT67" s="168">
        <f>IF(DT22=0,0,IF(DT44=3,0,VALUE(CONCATENATE(Travail!DT33,Travail!DT44,Travail!DT55))))</f>
        <v>0</v>
      </c>
      <c r="DU67" s="168">
        <f>IF(DU22=0,0,IF(DU44=3,0,VALUE(CONCATENATE(Travail!DU33,Travail!DU44,Travail!DU55))))</f>
        <v>0</v>
      </c>
      <c r="DV67" s="168">
        <f>IF(DV22=0,0,IF(DV44=3,0,VALUE(CONCATENATE(Travail!DV33,Travail!DV44,Travail!DV55))))</f>
        <v>0</v>
      </c>
      <c r="DW67" s="168">
        <f>IF(DW22=0,0,IF(DW44=3,0,VALUE(CONCATENATE(Travail!DW33,Travail!DW44,Travail!DW55))))</f>
        <v>0</v>
      </c>
      <c r="DX67" s="168">
        <f>IF(DX22=0,0,IF(DX44=3,0,VALUE(CONCATENATE(Travail!DX33,Travail!DX44,Travail!DX55))))</f>
        <v>0</v>
      </c>
      <c r="DY67" s="168">
        <f>IF(DY22=0,0,IF(DY44=3,0,VALUE(CONCATENATE(Travail!DY33,Travail!DY44,Travail!DY55))))</f>
        <v>0</v>
      </c>
      <c r="DZ67" s="168">
        <f>IF(DZ22=0,0,IF(DZ44=3,0,VALUE(CONCATENATE(Travail!DZ33,Travail!DZ44,Travail!DZ55))))</f>
        <v>0</v>
      </c>
      <c r="EA67" s="168">
        <f>IF(EA22=0,0,IF(EA44=3,0,VALUE(CONCATENATE(Travail!EA33,Travail!EA44,Travail!EA55))))</f>
        <v>0</v>
      </c>
      <c r="EB67" s="168">
        <f>IF(EB22=0,0,IF(EB44=3,0,VALUE(CONCATENATE(Travail!EB33,Travail!EB44,Travail!EB55))))</f>
        <v>0</v>
      </c>
    </row>
    <row r="68" spans="1:132" x14ac:dyDescent="0.25">
      <c r="A68" s="23" t="s">
        <v>787</v>
      </c>
      <c r="B68" s="5"/>
      <c r="C68" s="5"/>
      <c r="F68" s="166"/>
      <c r="G68" s="166">
        <v>1</v>
      </c>
      <c r="H68" s="166">
        <v>2</v>
      </c>
      <c r="I68" s="166">
        <v>3</v>
      </c>
      <c r="J68" s="166">
        <v>4</v>
      </c>
      <c r="K68" s="166">
        <v>5</v>
      </c>
      <c r="L68" s="166">
        <v>6</v>
      </c>
      <c r="M68" s="166">
        <v>7</v>
      </c>
      <c r="N68" s="166">
        <v>8</v>
      </c>
      <c r="O68" s="166">
        <v>9</v>
      </c>
      <c r="P68" s="166">
        <v>10</v>
      </c>
      <c r="Q68" s="166">
        <v>11</v>
      </c>
      <c r="R68" s="166">
        <v>12</v>
      </c>
      <c r="S68" s="166">
        <v>13</v>
      </c>
      <c r="T68" s="166">
        <v>14</v>
      </c>
      <c r="U68" s="166">
        <v>15</v>
      </c>
      <c r="V68" s="166">
        <v>16</v>
      </c>
      <c r="W68" s="166">
        <v>17</v>
      </c>
      <c r="X68" s="166">
        <v>18</v>
      </c>
      <c r="Y68" s="166">
        <v>19</v>
      </c>
      <c r="Z68" s="166">
        <v>20</v>
      </c>
      <c r="AA68" s="166">
        <v>21</v>
      </c>
      <c r="AB68" s="166">
        <v>22</v>
      </c>
      <c r="AC68" s="166">
        <v>23</v>
      </c>
      <c r="AD68" s="166">
        <v>24</v>
      </c>
      <c r="AE68" s="5"/>
      <c r="AF68" s="5"/>
      <c r="AG68" s="23"/>
      <c r="AH68" s="23"/>
      <c r="AI68" s="5"/>
      <c r="AJ68" s="5"/>
      <c r="AK68" s="5"/>
      <c r="AL68" s="5"/>
      <c r="AM68" s="5"/>
      <c r="AN68" s="5"/>
      <c r="AO68" s="5"/>
      <c r="AP68" s="5"/>
      <c r="AQ68" s="5"/>
      <c r="AR68" s="181" t="s">
        <v>730</v>
      </c>
      <c r="AT68" s="182" t="str">
        <f t="shared" si="35"/>
        <v>lot9</v>
      </c>
      <c r="AV68" s="168">
        <f>IF(AV23=0,0,IF(AV45=3,0,VALUE(CONCATENATE(Travail!AV34,Travail!AV45,Travail!AV56))))</f>
        <v>0</v>
      </c>
      <c r="AW68" s="168">
        <f>IF(AW23=0,0,IF(AW45=3,0,VALUE(CONCATENATE(Travail!AW34,Travail!AW45,Travail!AW56))))</f>
        <v>0</v>
      </c>
      <c r="AX68" s="168">
        <f>IF(AX23=0,0,IF(AX45=3,0,VALUE(CONCATENATE(Travail!AX34,Travail!AX45,Travail!AX56))))</f>
        <v>0</v>
      </c>
      <c r="AY68" s="168">
        <f>IF(AY23=0,0,IF(AY45=3,0,VALUE(CONCATENATE(Travail!AY34,Travail!AY45,Travail!AY56))))</f>
        <v>0</v>
      </c>
      <c r="AZ68" s="168">
        <f>IF(AZ23=0,0,IF(AZ45=3,0,VALUE(CONCATENATE(Travail!AZ34,Travail!AZ45,Travail!AZ56))))</f>
        <v>0</v>
      </c>
      <c r="BA68" s="168">
        <f>IF(BA23=0,0,IF(BA45=3,0,VALUE(CONCATENATE(Travail!BA34,Travail!BA45,Travail!BA56))))</f>
        <v>0</v>
      </c>
      <c r="BB68" s="168">
        <f>IF(BB23=0,0,IF(BB45=3,0,VALUE(CONCATENATE(Travail!BB34,Travail!BB45,Travail!BB56))))</f>
        <v>0</v>
      </c>
      <c r="BC68" s="168">
        <f>IF(BC23=0,0,IF(BC45=3,0,VALUE(CONCATENATE(Travail!BC34,Travail!BC45,Travail!BC56))))</f>
        <v>0</v>
      </c>
      <c r="BD68" s="168">
        <f>IF(BD23=0,0,IF(BD45=3,0,VALUE(CONCATENATE(Travail!BD34,Travail!BD45,Travail!BD56))))</f>
        <v>0</v>
      </c>
      <c r="BE68" s="168">
        <f>IF(BE23=0,0,IF(BE45=3,0,VALUE(CONCATENATE(Travail!BE34,Travail!BE45,Travail!BE56))))</f>
        <v>0</v>
      </c>
      <c r="BF68" s="168">
        <f>IF(BF23=0,0,IF(BF45=3,0,VALUE(CONCATENATE(Travail!BF34,Travail!BF45,Travail!BF56))))</f>
        <v>0</v>
      </c>
      <c r="BG68" s="168">
        <f>IF(BG23=0,0,IF(BG45=3,0,VALUE(CONCATENATE(Travail!BG34,Travail!BG45,Travail!BG56))))</f>
        <v>0</v>
      </c>
      <c r="BH68" s="168">
        <f>IF(BH23=0,0,IF(BH45=3,0,VALUE(CONCATENATE(Travail!BH34,Travail!BH45,Travail!BH56))))</f>
        <v>0</v>
      </c>
      <c r="BI68" s="168">
        <f>IF(BI23=0,0,IF(BI45=3,0,VALUE(CONCATENATE(Travail!BI34,Travail!BI45,Travail!BI56))))</f>
        <v>0</v>
      </c>
      <c r="BJ68" s="168">
        <f>IF(BJ23=0,0,IF(BJ45=3,0,VALUE(CONCATENATE(Travail!BJ34,Travail!BJ45,Travail!BJ56))))</f>
        <v>0</v>
      </c>
      <c r="BK68" s="168">
        <f>IF(BK23=0,0,IF(BK45=3,0,VALUE(CONCATENATE(Travail!BK34,Travail!BK45,Travail!BK56))))</f>
        <v>0</v>
      </c>
      <c r="BL68" s="168">
        <f>IF(BL23=0,0,IF(BL45=3,0,VALUE(CONCATENATE(Travail!BL34,Travail!BL45,Travail!BL56))))</f>
        <v>0</v>
      </c>
      <c r="BM68" s="168">
        <f>IF(BM23=0,0,IF(BM45=3,0,VALUE(CONCATENATE(Travail!BM34,Travail!BM45,Travail!BM56))))</f>
        <v>0</v>
      </c>
      <c r="BN68" s="168">
        <f>IF(BN23=0,0,IF(BN45=3,0,VALUE(CONCATENATE(Travail!BN34,Travail!BN45,Travail!BN56))))</f>
        <v>0</v>
      </c>
      <c r="BO68" s="168">
        <f>IF(BO23=0,0,IF(BO45=3,0,VALUE(CONCATENATE(Travail!BO34,Travail!BO45,Travail!BO56))))</f>
        <v>0</v>
      </c>
      <c r="BP68" s="168">
        <f>IF(BP23=0,0,IF(BP45=3,0,VALUE(CONCATENATE(Travail!BP34,Travail!BP45,Travail!BP56))))</f>
        <v>0</v>
      </c>
      <c r="BQ68" s="168">
        <f>IF(BQ23=0,0,IF(BQ45=3,0,VALUE(CONCATENATE(Travail!BQ34,Travail!BQ45,Travail!BQ56))))</f>
        <v>0</v>
      </c>
      <c r="BR68" s="168">
        <f>IF(BR23=0,0,IF(BR45=3,0,VALUE(CONCATENATE(Travail!BR34,Travail!BR45,Travail!BR56))))</f>
        <v>0</v>
      </c>
      <c r="BS68" s="168">
        <f>IF(BS23=0,0,IF(BS45=3,0,VALUE(CONCATENATE(Travail!BS34,Travail!BS45,Travail!BS56))))</f>
        <v>0</v>
      </c>
      <c r="BZ68" s="182" t="str">
        <f t="shared" si="33"/>
        <v>lot9</v>
      </c>
      <c r="CB68" s="168">
        <f>IF(CB23=0,0,IF(CB45=3,0,VALUE(CONCATENATE(Travail!CB34,Travail!CB45,Travail!CB56))))</f>
        <v>0</v>
      </c>
      <c r="CC68" s="168">
        <f>IF(CC23=0,0,IF(CC45=3,0,VALUE(CONCATENATE(Travail!CC34,Travail!CC45,Travail!CC56))))</f>
        <v>0</v>
      </c>
      <c r="CD68" s="168">
        <f>IF(CD23=0,0,IF(CD45=3,0,VALUE(CONCATENATE(Travail!CD34,Travail!CD45,Travail!CD56))))</f>
        <v>0</v>
      </c>
      <c r="CE68" s="168">
        <f>IF(CE23=0,0,IF(CE45=3,0,VALUE(CONCATENATE(Travail!CE34,Travail!CE45,Travail!CE56))))</f>
        <v>0</v>
      </c>
      <c r="CF68" s="168">
        <f>IF(CF23=0,0,IF(CF45=3,0,VALUE(CONCATENATE(Travail!CF34,Travail!CF45,Travail!CF56))))</f>
        <v>0</v>
      </c>
      <c r="CG68" s="168">
        <f>IF(CG23=0,0,IF(CG45=3,0,VALUE(CONCATENATE(Travail!CG34,Travail!CG45,Travail!CG56))))</f>
        <v>0</v>
      </c>
      <c r="CH68" s="168">
        <f>IF(CH23=0,0,IF(CH45=3,0,VALUE(CONCATENATE(Travail!CH34,Travail!CH45,Travail!CH56))))</f>
        <v>0</v>
      </c>
      <c r="CI68" s="168">
        <f>IF(CI23=0,0,IF(CI45=3,0,VALUE(CONCATENATE(Travail!CI34,Travail!CI45,Travail!CI56))))</f>
        <v>0</v>
      </c>
      <c r="CJ68" s="168">
        <f>IF(CJ23=0,0,IF(CJ45=3,0,VALUE(CONCATENATE(Travail!CJ34,Travail!CJ45,Travail!CJ56))))</f>
        <v>0</v>
      </c>
      <c r="CK68" s="168">
        <f>IF(CK23=0,0,IF(CK45=3,0,VALUE(CONCATENATE(Travail!CK34,Travail!CK45,Travail!CK56))))</f>
        <v>0</v>
      </c>
      <c r="CL68" s="168">
        <f>IF(CL23=0,0,IF(CL45=3,0,VALUE(CONCATENATE(Travail!CL34,Travail!CL45,Travail!CL56))))</f>
        <v>0</v>
      </c>
      <c r="CM68" s="168">
        <f>IF(CM23=0,0,IF(CM45=3,0,VALUE(CONCATENATE(Travail!CM34,Travail!CM45,Travail!CM56))))</f>
        <v>0</v>
      </c>
      <c r="CN68" s="168">
        <f>IF(CN23=0,0,IF(CN45=3,0,VALUE(CONCATENATE(Travail!CN34,Travail!CN45,Travail!CN56))))</f>
        <v>0</v>
      </c>
      <c r="CO68" s="168">
        <f>IF(CO23=0,0,IF(CO45=3,0,VALUE(CONCATENATE(Travail!CO34,Travail!CO45,Travail!CO56))))</f>
        <v>0</v>
      </c>
      <c r="CP68" s="168">
        <f>IF(CP23=0,0,IF(CP45=3,0,VALUE(CONCATENATE(Travail!CP34,Travail!CP45,Travail!CP56))))</f>
        <v>0</v>
      </c>
      <c r="CQ68" s="168">
        <f>IF(CQ23=0,0,IF(CQ45=3,0,VALUE(CONCATENATE(Travail!CQ34,Travail!CQ45,Travail!CQ56))))</f>
        <v>0</v>
      </c>
      <c r="CR68" s="168">
        <f>IF(CR23=0,0,IF(CR45=3,0,VALUE(CONCATENATE(Travail!CR34,Travail!CR45,Travail!CR56))))</f>
        <v>0</v>
      </c>
      <c r="CS68" s="168">
        <f>IF(CS23=0,0,IF(CS45=3,0,VALUE(CONCATENATE(Travail!CS34,Travail!CS45,Travail!CS56))))</f>
        <v>0</v>
      </c>
      <c r="CT68" s="168">
        <f>IF(CT23=0,0,IF(CT45=3,0,VALUE(CONCATENATE(Travail!CT34,Travail!CT45,Travail!CT56))))</f>
        <v>0</v>
      </c>
      <c r="CU68" s="168">
        <f>IF(CU23=0,0,IF(CU45=3,0,VALUE(CONCATENATE(Travail!CU34,Travail!CU45,Travail!CU56))))</f>
        <v>0</v>
      </c>
      <c r="CV68" s="168">
        <f>IF(CV23=0,0,IF(CV45=3,0,VALUE(CONCATENATE(Travail!CV34,Travail!CV45,Travail!CV56))))</f>
        <v>0</v>
      </c>
      <c r="CW68" s="168">
        <f>IF(CW23=0,0,IF(CW45=3,0,VALUE(CONCATENATE(Travail!CW34,Travail!CW45,Travail!CW56))))</f>
        <v>0</v>
      </c>
      <c r="CX68" s="168">
        <f>IF(CX23=0,0,IF(CX45=3,0,VALUE(CONCATENATE(Travail!CX34,Travail!CX45,Travail!CX56))))</f>
        <v>0</v>
      </c>
      <c r="CY68" s="168">
        <f>IF(CY23=0,0,IF(CY45=3,0,VALUE(CONCATENATE(Travail!CY34,Travail!CY45,Travail!CY56))))</f>
        <v>0</v>
      </c>
      <c r="DC68" s="182" t="str">
        <f t="shared" si="34"/>
        <v>lot9</v>
      </c>
      <c r="DE68" s="168">
        <f>IF(DE23=0,0,IF(DE45=3,0,VALUE(CONCATENATE(Travail!DE34,Travail!DE45,Travail!DE56))))</f>
        <v>0</v>
      </c>
      <c r="DF68" s="168">
        <f>IF(DF23=0,0,IF(DF45=3,0,VALUE(CONCATENATE(Travail!DF34,Travail!DF45,Travail!DF56))))</f>
        <v>0</v>
      </c>
      <c r="DG68" s="168">
        <f>IF(DG23=0,0,IF(DG45=3,0,VALUE(CONCATENATE(Travail!DG34,Travail!DG45,Travail!DG56))))</f>
        <v>0</v>
      </c>
      <c r="DH68" s="168">
        <f>IF(DH23=0,0,IF(DH45=3,0,VALUE(CONCATENATE(Travail!DH34,Travail!DH45,Travail!DH56))))</f>
        <v>0</v>
      </c>
      <c r="DI68" s="168">
        <f>IF(DI23=0,0,IF(DI45=3,0,VALUE(CONCATENATE(Travail!DI34,Travail!DI45,Travail!DI56))))</f>
        <v>0</v>
      </c>
      <c r="DJ68" s="168">
        <f>IF(DJ23=0,0,IF(DJ45=3,0,VALUE(CONCATENATE(Travail!DJ34,Travail!DJ45,Travail!DJ56))))</f>
        <v>0</v>
      </c>
      <c r="DK68" s="168">
        <f>IF(DK23=0,0,IF(DK45=3,0,VALUE(CONCATENATE(Travail!DK34,Travail!DK45,Travail!DK56))))</f>
        <v>0</v>
      </c>
      <c r="DL68" s="168">
        <f>IF(DL23=0,0,IF(DL45=3,0,VALUE(CONCATENATE(Travail!DL34,Travail!DL45,Travail!DL56))))</f>
        <v>0</v>
      </c>
      <c r="DM68" s="168">
        <f>IF(DM23=0,0,IF(DM45=3,0,VALUE(CONCATENATE(Travail!DM34,Travail!DM45,Travail!DM56))))</f>
        <v>0</v>
      </c>
      <c r="DN68" s="168">
        <f>IF(DN23=0,0,IF(DN45=3,0,VALUE(CONCATENATE(Travail!DN34,Travail!DN45,Travail!DN56))))</f>
        <v>0</v>
      </c>
      <c r="DO68" s="168">
        <f>IF(DO23=0,0,IF(DO45=3,0,VALUE(CONCATENATE(Travail!DO34,Travail!DO45,Travail!DO56))))</f>
        <v>0</v>
      </c>
      <c r="DP68" s="168">
        <f>IF(DP23=0,0,IF(DP45=3,0,VALUE(CONCATENATE(Travail!DP34,Travail!DP45,Travail!DP56))))</f>
        <v>0</v>
      </c>
      <c r="DQ68" s="168">
        <f>IF(DQ23=0,0,IF(DQ45=3,0,VALUE(CONCATENATE(Travail!DQ34,Travail!DQ45,Travail!DQ56))))</f>
        <v>0</v>
      </c>
      <c r="DR68" s="168">
        <f>IF(DR23=0,0,IF(DR45=3,0,VALUE(CONCATENATE(Travail!DR34,Travail!DR45,Travail!DR56))))</f>
        <v>0</v>
      </c>
      <c r="DS68" s="168">
        <f>IF(DS23=0,0,IF(DS45=3,0,VALUE(CONCATENATE(Travail!DS34,Travail!DS45,Travail!DS56))))</f>
        <v>0</v>
      </c>
      <c r="DT68" s="168">
        <f>IF(DT23=0,0,IF(DT45=3,0,VALUE(CONCATENATE(Travail!DT34,Travail!DT45,Travail!DT56))))</f>
        <v>0</v>
      </c>
      <c r="DU68" s="168">
        <f>IF(DU23=0,0,IF(DU45=3,0,VALUE(CONCATENATE(Travail!DU34,Travail!DU45,Travail!DU56))))</f>
        <v>0</v>
      </c>
      <c r="DV68" s="168">
        <f>IF(DV23=0,0,IF(DV45=3,0,VALUE(CONCATENATE(Travail!DV34,Travail!DV45,Travail!DV56))))</f>
        <v>0</v>
      </c>
      <c r="DW68" s="168">
        <f>IF(DW23=0,0,IF(DW45=3,0,VALUE(CONCATENATE(Travail!DW34,Travail!DW45,Travail!DW56))))</f>
        <v>0</v>
      </c>
      <c r="DX68" s="168">
        <f>IF(DX23=0,0,IF(DX45=3,0,VALUE(CONCATENATE(Travail!DX34,Travail!DX45,Travail!DX56))))</f>
        <v>0</v>
      </c>
      <c r="DY68" s="168">
        <f>IF(DY23=0,0,IF(DY45=3,0,VALUE(CONCATENATE(Travail!DY34,Travail!DY45,Travail!DY56))))</f>
        <v>0</v>
      </c>
      <c r="DZ68" s="168">
        <f>IF(DZ23=0,0,IF(DZ45=3,0,VALUE(CONCATENATE(Travail!DZ34,Travail!DZ45,Travail!DZ56))))</f>
        <v>0</v>
      </c>
      <c r="EA68" s="168">
        <f>IF(EA23=0,0,IF(EA45=3,0,VALUE(CONCATENATE(Travail!EA34,Travail!EA45,Travail!EA56))))</f>
        <v>0</v>
      </c>
      <c r="EB68" s="168">
        <f>IF(EB23=0,0,IF(EB45=3,0,VALUE(CONCATENATE(Travail!EB34,Travail!EB45,Travail!EB56))))</f>
        <v>0</v>
      </c>
    </row>
    <row r="69" spans="1:132" x14ac:dyDescent="0.25">
      <c r="A69" s="171" t="s">
        <v>788</v>
      </c>
      <c r="B69" s="5"/>
      <c r="C69" s="5"/>
      <c r="F69" s="168">
        <f>ROUND(SUM(G69:AD69),0)</f>
        <v>0</v>
      </c>
      <c r="G69" s="168">
        <f>IF(Scénario!$K$88&lt;=1,0,(Protection!C3+Protection!C4)*([1]Protect!$B$34+[1]Protect!$B$35))</f>
        <v>0</v>
      </c>
      <c r="H69" s="168">
        <f>IF(Scénario!$K$88&lt;=1,0,(Protection!D3+Protection!D4)*([1]Protect!$B$34+[1]Protect!$B$35))</f>
        <v>0</v>
      </c>
      <c r="I69" s="168">
        <f>IF(Scénario!$K$88&lt;=1,0,(Protection!E3+Protection!E4)*([1]Protect!$B$34+[1]Protect!$B$35))</f>
        <v>0</v>
      </c>
      <c r="J69" s="168">
        <f>IF(Scénario!$K$88&lt;=1,0,(Protection!F3+Protection!F4)*([1]Protect!$B$34+[1]Protect!$B$35))</f>
        <v>0</v>
      </c>
      <c r="K69" s="168">
        <f>IF(Scénario!$K$88&lt;=1,0,(Protection!G3+Protection!G4)*([1]Protect!$B$34+[1]Protect!$B$35))</f>
        <v>0</v>
      </c>
      <c r="L69" s="168">
        <f>IF(Scénario!$K$88&lt;=1,0,(Protection!H3+Protection!H4)*([1]Protect!$B$34+[1]Protect!$B$35))</f>
        <v>0</v>
      </c>
      <c r="M69" s="168">
        <f>IF(Scénario!$K$88&lt;=1,0,(Protection!I3+Protection!I4)*([1]Protect!$B$34+[1]Protect!$B$35))</f>
        <v>0</v>
      </c>
      <c r="N69" s="168">
        <f>IF(Scénario!$K$88&lt;=1,0,(Protection!J3+Protection!J4)*([1]Protect!$B$34+[1]Protect!$B$35))</f>
        <v>0</v>
      </c>
      <c r="O69" s="168">
        <f>IF(Scénario!$K$88&lt;=1,0,(Protection!K3+Protection!K4)*([1]Protect!$B$34+[1]Protect!$B$35))</f>
        <v>0</v>
      </c>
      <c r="P69" s="168">
        <f>IF(Scénario!$K$88&lt;=1,0,(Protection!L3+Protection!L4)*([1]Protect!$B$34+[1]Protect!$B$35))</f>
        <v>0</v>
      </c>
      <c r="Q69" s="168">
        <f>IF(Scénario!$K$88&lt;=1,0,(Protection!M3+Protection!M4)*([1]Protect!$B$34+[1]Protect!$B$35))</f>
        <v>0</v>
      </c>
      <c r="R69" s="168">
        <f>IF(Scénario!$K$88&lt;=1,0,(Protection!N3+Protection!N4)*([1]Protect!$B$34+[1]Protect!$B$35))</f>
        <v>0</v>
      </c>
      <c r="S69" s="168">
        <f>IF(Scénario!$K$88&lt;=1,0,(Protection!O3+Protection!O4)*([1]Protect!$B$34+[1]Protect!$B$35))</f>
        <v>0</v>
      </c>
      <c r="T69" s="168">
        <f>IF(Scénario!$K$88&lt;=1,0,(Protection!P3+Protection!P4)*([1]Protect!$B$34+[1]Protect!$B$35))</f>
        <v>0</v>
      </c>
      <c r="U69" s="168">
        <f>IF(Scénario!$K$88&lt;=1,0,(Protection!Q3+Protection!Q4)*([1]Protect!$B$34+[1]Protect!$B$35))</f>
        <v>0</v>
      </c>
      <c r="V69" s="168">
        <f>IF(Scénario!$K$88&lt;=1,0,(Protection!R3+Protection!R4)*([1]Protect!$B$34+[1]Protect!$B$35))</f>
        <v>0</v>
      </c>
      <c r="W69" s="168">
        <f>IF(Scénario!$K$88&lt;=1,0,(Protection!S3+Protection!S4)*([1]Protect!$B$34+[1]Protect!$B$35))</f>
        <v>0</v>
      </c>
      <c r="X69" s="168">
        <f>IF(Scénario!$K$88&lt;=1,0,(Protection!T3+Protection!T4)*([1]Protect!$B$34+[1]Protect!$B$35))</f>
        <v>0</v>
      </c>
      <c r="Y69" s="168">
        <f>IF(Scénario!$K$88&lt;=1,0,(Protection!U3+Protection!U4)*([1]Protect!$B$34+[1]Protect!$B$35))</f>
        <v>0</v>
      </c>
      <c r="Z69" s="168">
        <f>IF(Scénario!$K$88&lt;=1,0,(Protection!V3+Protection!V4)*([1]Protect!$B$34+[1]Protect!$B$35))</f>
        <v>0</v>
      </c>
      <c r="AA69" s="168">
        <f>IF(Scénario!$K$88&lt;=1,0,(Protection!W3+Protection!W4)*([1]Protect!$B$34+[1]Protect!$B$35))</f>
        <v>0</v>
      </c>
      <c r="AB69" s="168">
        <f>IF(Scénario!$K$88&lt;=1,0,(Protection!X3+Protection!X4)*([1]Protect!$B$34+[1]Protect!$B$35))</f>
        <v>0</v>
      </c>
      <c r="AC69" s="168">
        <f>IF(Scénario!$K$88&lt;=1,0,(Protection!Y3+Protection!Y4)*([1]Protect!$B$34+[1]Protect!$B$35))</f>
        <v>0</v>
      </c>
      <c r="AD69" s="168">
        <f>IF(Scénario!$K$88&lt;=1,0,(Protection!Z3+Protection!Z4)*([1]Protect!$B$34+[1]Protect!$B$35))</f>
        <v>0</v>
      </c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181" t="s">
        <v>730</v>
      </c>
      <c r="AT69" s="182" t="str">
        <f t="shared" si="35"/>
        <v>lot10</v>
      </c>
      <c r="AV69" s="168">
        <f>IF(AV24=0,0,IF(AV46=3,0,VALUE(CONCATENATE(Travail!AV35,Travail!AV46,Travail!AV57))))</f>
        <v>0</v>
      </c>
      <c r="AW69" s="168">
        <f>IF(AW24=0,0,IF(AW46=3,0,VALUE(CONCATENATE(Travail!AW35,Travail!AW46,Travail!AW57))))</f>
        <v>0</v>
      </c>
      <c r="AX69" s="168">
        <f>IF(AX24=0,0,IF(AX46=3,0,VALUE(CONCATENATE(Travail!AX35,Travail!AX46,Travail!AX57))))</f>
        <v>0</v>
      </c>
      <c r="AY69" s="168">
        <f>IF(AY24=0,0,IF(AY46=3,0,VALUE(CONCATENATE(Travail!AY35,Travail!AY46,Travail!AY57))))</f>
        <v>0</v>
      </c>
      <c r="AZ69" s="168">
        <f>IF(AZ24=0,0,IF(AZ46=3,0,VALUE(CONCATENATE(Travail!AZ35,Travail!AZ46,Travail!AZ57))))</f>
        <v>0</v>
      </c>
      <c r="BA69" s="168">
        <f>IF(BA24=0,0,IF(BA46=3,0,VALUE(CONCATENATE(Travail!BA35,Travail!BA46,Travail!BA57))))</f>
        <v>0</v>
      </c>
      <c r="BB69" s="168">
        <f>IF(BB24=0,0,IF(BB46=3,0,VALUE(CONCATENATE(Travail!BB35,Travail!BB46,Travail!BB57))))</f>
        <v>0</v>
      </c>
      <c r="BC69" s="168">
        <f>IF(BC24=0,0,IF(BC46=3,0,VALUE(CONCATENATE(Travail!BC35,Travail!BC46,Travail!BC57))))</f>
        <v>0</v>
      </c>
      <c r="BD69" s="168">
        <f>IF(BD24=0,0,IF(BD46=3,0,VALUE(CONCATENATE(Travail!BD35,Travail!BD46,Travail!BD57))))</f>
        <v>0</v>
      </c>
      <c r="BE69" s="168">
        <f>IF(BE24=0,0,IF(BE46=3,0,VALUE(CONCATENATE(Travail!BE35,Travail!BE46,Travail!BE57))))</f>
        <v>0</v>
      </c>
      <c r="BF69" s="168">
        <f>IF(BF24=0,0,IF(BF46=3,0,VALUE(CONCATENATE(Travail!BF35,Travail!BF46,Travail!BF57))))</f>
        <v>0</v>
      </c>
      <c r="BG69" s="168">
        <f>IF(BG24=0,0,IF(BG46=3,0,VALUE(CONCATENATE(Travail!BG35,Travail!BG46,Travail!BG57))))</f>
        <v>0</v>
      </c>
      <c r="BH69" s="168">
        <f>IF(BH24=0,0,IF(BH46=3,0,VALUE(CONCATENATE(Travail!BH35,Travail!BH46,Travail!BH57))))</f>
        <v>0</v>
      </c>
      <c r="BI69" s="168">
        <f>IF(BI24=0,0,IF(BI46=3,0,VALUE(CONCATENATE(Travail!BI35,Travail!BI46,Travail!BI57))))</f>
        <v>0</v>
      </c>
      <c r="BJ69" s="168">
        <f>IF(BJ24=0,0,IF(BJ46=3,0,VALUE(CONCATENATE(Travail!BJ35,Travail!BJ46,Travail!BJ57))))</f>
        <v>0</v>
      </c>
      <c r="BK69" s="168">
        <f>IF(BK24=0,0,IF(BK46=3,0,VALUE(CONCATENATE(Travail!BK35,Travail!BK46,Travail!BK57))))</f>
        <v>0</v>
      </c>
      <c r="BL69" s="168">
        <f>IF(BL24=0,0,IF(BL46=3,0,VALUE(CONCATENATE(Travail!BL35,Travail!BL46,Travail!BL57))))</f>
        <v>0</v>
      </c>
      <c r="BM69" s="168">
        <f>IF(BM24=0,0,IF(BM46=3,0,VALUE(CONCATENATE(Travail!BM35,Travail!BM46,Travail!BM57))))</f>
        <v>0</v>
      </c>
      <c r="BN69" s="168">
        <f>IF(BN24=0,0,IF(BN46=3,0,VALUE(CONCATENATE(Travail!BN35,Travail!BN46,Travail!BN57))))</f>
        <v>0</v>
      </c>
      <c r="BO69" s="168">
        <f>IF(BO24=0,0,IF(BO46=3,0,VALUE(CONCATENATE(Travail!BO35,Travail!BO46,Travail!BO57))))</f>
        <v>0</v>
      </c>
      <c r="BP69" s="168">
        <f>IF(BP24=0,0,IF(BP46=3,0,VALUE(CONCATENATE(Travail!BP35,Travail!BP46,Travail!BP57))))</f>
        <v>0</v>
      </c>
      <c r="BQ69" s="168">
        <f>IF(BQ24=0,0,IF(BQ46=3,0,VALUE(CONCATENATE(Travail!BQ35,Travail!BQ46,Travail!BQ57))))</f>
        <v>0</v>
      </c>
      <c r="BR69" s="168">
        <f>IF(BR24=0,0,IF(BR46=3,0,VALUE(CONCATENATE(Travail!BR35,Travail!BR46,Travail!BR57))))</f>
        <v>0</v>
      </c>
      <c r="BS69" s="168">
        <f>IF(BS24=0,0,IF(BS46=3,0,VALUE(CONCATENATE(Travail!BS35,Travail!BS46,Travail!BS57))))</f>
        <v>0</v>
      </c>
      <c r="BZ69" s="182" t="str">
        <f t="shared" si="33"/>
        <v>lot10</v>
      </c>
      <c r="CB69" s="168">
        <f>IF(CB24=0,0,IF(CB46=3,0,VALUE(CONCATENATE(Travail!CB35,Travail!CB46,Travail!CB57))))</f>
        <v>0</v>
      </c>
      <c r="CC69" s="168">
        <f>IF(CC24=0,0,IF(CC46=3,0,VALUE(CONCATENATE(Travail!CC35,Travail!CC46,Travail!CC57))))</f>
        <v>0</v>
      </c>
      <c r="CD69" s="168">
        <f>IF(CD24=0,0,IF(CD46=3,0,VALUE(CONCATENATE(Travail!CD35,Travail!CD46,Travail!CD57))))</f>
        <v>0</v>
      </c>
      <c r="CE69" s="168">
        <f>IF(CE24=0,0,IF(CE46=3,0,VALUE(CONCATENATE(Travail!CE35,Travail!CE46,Travail!CE57))))</f>
        <v>0</v>
      </c>
      <c r="CF69" s="168">
        <f>IF(CF24=0,0,IF(CF46=3,0,VALUE(CONCATENATE(Travail!CF35,Travail!CF46,Travail!CF57))))</f>
        <v>0</v>
      </c>
      <c r="CG69" s="168">
        <f>IF(CG24=0,0,IF(CG46=3,0,VALUE(CONCATENATE(Travail!CG35,Travail!CG46,Travail!CG57))))</f>
        <v>0</v>
      </c>
      <c r="CH69" s="168">
        <f>IF(CH24=0,0,IF(CH46=3,0,VALUE(CONCATENATE(Travail!CH35,Travail!CH46,Travail!CH57))))</f>
        <v>0</v>
      </c>
      <c r="CI69" s="168">
        <f>IF(CI24=0,0,IF(CI46=3,0,VALUE(CONCATENATE(Travail!CI35,Travail!CI46,Travail!CI57))))</f>
        <v>0</v>
      </c>
      <c r="CJ69" s="168">
        <f>IF(CJ24=0,0,IF(CJ46=3,0,VALUE(CONCATENATE(Travail!CJ35,Travail!CJ46,Travail!CJ57))))</f>
        <v>0</v>
      </c>
      <c r="CK69" s="168">
        <f>IF(CK24=0,0,IF(CK46=3,0,VALUE(CONCATENATE(Travail!CK35,Travail!CK46,Travail!CK57))))</f>
        <v>0</v>
      </c>
      <c r="CL69" s="168">
        <f>IF(CL24=0,0,IF(CL46=3,0,VALUE(CONCATENATE(Travail!CL35,Travail!CL46,Travail!CL57))))</f>
        <v>0</v>
      </c>
      <c r="CM69" s="168">
        <f>IF(CM24=0,0,IF(CM46=3,0,VALUE(CONCATENATE(Travail!CM35,Travail!CM46,Travail!CM57))))</f>
        <v>0</v>
      </c>
      <c r="CN69" s="168">
        <f>IF(CN24=0,0,IF(CN46=3,0,VALUE(CONCATENATE(Travail!CN35,Travail!CN46,Travail!CN57))))</f>
        <v>0</v>
      </c>
      <c r="CO69" s="168">
        <f>IF(CO24=0,0,IF(CO46=3,0,VALUE(CONCATENATE(Travail!CO35,Travail!CO46,Travail!CO57))))</f>
        <v>0</v>
      </c>
      <c r="CP69" s="168">
        <f>IF(CP24=0,0,IF(CP46=3,0,VALUE(CONCATENATE(Travail!CP35,Travail!CP46,Travail!CP57))))</f>
        <v>0</v>
      </c>
      <c r="CQ69" s="168">
        <f>IF(CQ24=0,0,IF(CQ46=3,0,VALUE(CONCATENATE(Travail!CQ35,Travail!CQ46,Travail!CQ57))))</f>
        <v>0</v>
      </c>
      <c r="CR69" s="168">
        <f>IF(CR24=0,0,IF(CR46=3,0,VALUE(CONCATENATE(Travail!CR35,Travail!CR46,Travail!CR57))))</f>
        <v>0</v>
      </c>
      <c r="CS69" s="168">
        <f>IF(CS24=0,0,IF(CS46=3,0,VALUE(CONCATENATE(Travail!CS35,Travail!CS46,Travail!CS57))))</f>
        <v>0</v>
      </c>
      <c r="CT69" s="168">
        <f>IF(CT24=0,0,IF(CT46=3,0,VALUE(CONCATENATE(Travail!CT35,Travail!CT46,Travail!CT57))))</f>
        <v>0</v>
      </c>
      <c r="CU69" s="168">
        <f>IF(CU24=0,0,IF(CU46=3,0,VALUE(CONCATENATE(Travail!CU35,Travail!CU46,Travail!CU57))))</f>
        <v>0</v>
      </c>
      <c r="CV69" s="168">
        <f>IF(CV24=0,0,IF(CV46=3,0,VALUE(CONCATENATE(Travail!CV35,Travail!CV46,Travail!CV57))))</f>
        <v>0</v>
      </c>
      <c r="CW69" s="168">
        <f>IF(CW24=0,0,IF(CW46=3,0,VALUE(CONCATENATE(Travail!CW35,Travail!CW46,Travail!CW57))))</f>
        <v>0</v>
      </c>
      <c r="CX69" s="168">
        <f>IF(CX24=0,0,IF(CX46=3,0,VALUE(CONCATENATE(Travail!CX35,Travail!CX46,Travail!CX57))))</f>
        <v>0</v>
      </c>
      <c r="CY69" s="168">
        <f>IF(CY24=0,0,IF(CY46=3,0,VALUE(CONCATENATE(Travail!CY35,Travail!CY46,Travail!CY57))))</f>
        <v>0</v>
      </c>
      <c r="DC69" s="182" t="str">
        <f t="shared" si="34"/>
        <v>lot10</v>
      </c>
      <c r="DE69" s="168">
        <f>IF(DE24=0,0,IF(DE46=3,0,VALUE(CONCATENATE(Travail!DE35,Travail!DE46,Travail!DE57))))</f>
        <v>0</v>
      </c>
      <c r="DF69" s="168">
        <f>IF(DF24=0,0,IF(DF46=3,0,VALUE(CONCATENATE(Travail!DF35,Travail!DF46,Travail!DF57))))</f>
        <v>0</v>
      </c>
      <c r="DG69" s="168">
        <f>IF(DG24=0,0,IF(DG46=3,0,VALUE(CONCATENATE(Travail!DG35,Travail!DG46,Travail!DG57))))</f>
        <v>0</v>
      </c>
      <c r="DH69" s="168">
        <f>IF(DH24=0,0,IF(DH46=3,0,VALUE(CONCATENATE(Travail!DH35,Travail!DH46,Travail!DH57))))</f>
        <v>0</v>
      </c>
      <c r="DI69" s="168">
        <f>IF(DI24=0,0,IF(DI46=3,0,VALUE(CONCATENATE(Travail!DI35,Travail!DI46,Travail!DI57))))</f>
        <v>0</v>
      </c>
      <c r="DJ69" s="168">
        <f>IF(DJ24=0,0,IF(DJ46=3,0,VALUE(CONCATENATE(Travail!DJ35,Travail!DJ46,Travail!DJ57))))</f>
        <v>0</v>
      </c>
      <c r="DK69" s="168">
        <f>IF(DK24=0,0,IF(DK46=3,0,VALUE(CONCATENATE(Travail!DK35,Travail!DK46,Travail!DK57))))</f>
        <v>0</v>
      </c>
      <c r="DL69" s="168">
        <f>IF(DL24=0,0,IF(DL46=3,0,VALUE(CONCATENATE(Travail!DL35,Travail!DL46,Travail!DL57))))</f>
        <v>0</v>
      </c>
      <c r="DM69" s="168">
        <f>IF(DM24=0,0,IF(DM46=3,0,VALUE(CONCATENATE(Travail!DM35,Travail!DM46,Travail!DM57))))</f>
        <v>0</v>
      </c>
      <c r="DN69" s="168">
        <f>IF(DN24=0,0,IF(DN46=3,0,VALUE(CONCATENATE(Travail!DN35,Travail!DN46,Travail!DN57))))</f>
        <v>0</v>
      </c>
      <c r="DO69" s="168">
        <f>IF(DO24=0,0,IF(DO46=3,0,VALUE(CONCATENATE(Travail!DO35,Travail!DO46,Travail!DO57))))</f>
        <v>0</v>
      </c>
      <c r="DP69" s="168">
        <f>IF(DP24=0,0,IF(DP46=3,0,VALUE(CONCATENATE(Travail!DP35,Travail!DP46,Travail!DP57))))</f>
        <v>0</v>
      </c>
      <c r="DQ69" s="168">
        <f>IF(DQ24=0,0,IF(DQ46=3,0,VALUE(CONCATENATE(Travail!DQ35,Travail!DQ46,Travail!DQ57))))</f>
        <v>0</v>
      </c>
      <c r="DR69" s="168">
        <f>IF(DR24=0,0,IF(DR46=3,0,VALUE(CONCATENATE(Travail!DR35,Travail!DR46,Travail!DR57))))</f>
        <v>0</v>
      </c>
      <c r="DS69" s="168">
        <f>IF(DS24=0,0,IF(DS46=3,0,VALUE(CONCATENATE(Travail!DS35,Travail!DS46,Travail!DS57))))</f>
        <v>0</v>
      </c>
      <c r="DT69" s="168">
        <f>IF(DT24=0,0,IF(DT46=3,0,VALUE(CONCATENATE(Travail!DT35,Travail!DT46,Travail!DT57))))</f>
        <v>0</v>
      </c>
      <c r="DU69" s="168">
        <f>IF(DU24=0,0,IF(DU46=3,0,VALUE(CONCATENATE(Travail!DU35,Travail!DU46,Travail!DU57))))</f>
        <v>0</v>
      </c>
      <c r="DV69" s="168">
        <f>IF(DV24=0,0,IF(DV46=3,0,VALUE(CONCATENATE(Travail!DV35,Travail!DV46,Travail!DV57))))</f>
        <v>0</v>
      </c>
      <c r="DW69" s="168">
        <f>IF(DW24=0,0,IF(DW46=3,0,VALUE(CONCATENATE(Travail!DW35,Travail!DW46,Travail!DW57))))</f>
        <v>0</v>
      </c>
      <c r="DX69" s="168">
        <f>IF(DX24=0,0,IF(DX46=3,0,VALUE(CONCATENATE(Travail!DX35,Travail!DX46,Travail!DX57))))</f>
        <v>0</v>
      </c>
      <c r="DY69" s="168">
        <f>IF(DY24=0,0,IF(DY46=3,0,VALUE(CONCATENATE(Travail!DY35,Travail!DY46,Travail!DY57))))</f>
        <v>0</v>
      </c>
      <c r="DZ69" s="168">
        <f>IF(DZ24=0,0,IF(DZ46=3,0,VALUE(CONCATENATE(Travail!DZ35,Travail!DZ46,Travail!DZ57))))</f>
        <v>0</v>
      </c>
      <c r="EA69" s="168">
        <f>IF(EA24=0,0,IF(EA46=3,0,VALUE(CONCATENATE(Travail!EA35,Travail!EA46,Travail!EA57))))</f>
        <v>0</v>
      </c>
      <c r="EB69" s="168">
        <f>IF(EB24=0,0,IF(EB46=3,0,VALUE(CONCATENATE(Travail!EB35,Travail!EB46,Travail!EB57))))</f>
        <v>0</v>
      </c>
    </row>
    <row r="70" spans="1:132" x14ac:dyDescent="0.25">
      <c r="A70" s="171" t="s">
        <v>789</v>
      </c>
      <c r="B70" s="5"/>
      <c r="C70" s="5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181" t="s">
        <v>730</v>
      </c>
      <c r="AT70" s="40" t="s">
        <v>790</v>
      </c>
      <c r="BZ70" s="40" t="s">
        <v>790</v>
      </c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DC70" s="40" t="s">
        <v>790</v>
      </c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</row>
    <row r="71" spans="1:132" x14ac:dyDescent="0.25">
      <c r="A71" s="171" t="s">
        <v>791</v>
      </c>
      <c r="B71" s="5"/>
      <c r="C71" s="5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7"/>
      <c r="AF71" s="17"/>
      <c r="AG71" s="86"/>
      <c r="AH71" s="86"/>
      <c r="AI71" s="86"/>
      <c r="AJ71" s="5"/>
      <c r="AK71" s="5"/>
      <c r="AL71" s="5"/>
      <c r="AM71" s="5"/>
      <c r="AN71" s="5"/>
      <c r="AO71" s="5"/>
      <c r="AP71" s="5"/>
      <c r="AQ71" s="5"/>
      <c r="AR71" s="181" t="s">
        <v>730</v>
      </c>
      <c r="AT71" s="182" t="str">
        <f>AT60</f>
        <v xml:space="preserve">Vaches </v>
      </c>
      <c r="AV71" s="168">
        <f t="shared" ref="AV71:BS80" si="36">IF(AV15=0,0,VALUE(CONCATENATE(AV26,AV37)))</f>
        <v>23</v>
      </c>
      <c r="AW71" s="168">
        <f t="shared" si="36"/>
        <v>23</v>
      </c>
      <c r="AX71" s="168">
        <f t="shared" si="36"/>
        <v>23</v>
      </c>
      <c r="AY71" s="168">
        <f t="shared" si="36"/>
        <v>23</v>
      </c>
      <c r="AZ71" s="168">
        <f t="shared" si="36"/>
        <v>21</v>
      </c>
      <c r="BA71" s="168">
        <f t="shared" si="36"/>
        <v>21</v>
      </c>
      <c r="BB71" s="168">
        <f t="shared" si="36"/>
        <v>21</v>
      </c>
      <c r="BC71" s="168">
        <f t="shared" si="36"/>
        <v>21</v>
      </c>
      <c r="BD71" s="168">
        <f t="shared" si="36"/>
        <v>21</v>
      </c>
      <c r="BE71" s="168">
        <f t="shared" si="36"/>
        <v>21</v>
      </c>
      <c r="BF71" s="168">
        <f t="shared" si="36"/>
        <v>21</v>
      </c>
      <c r="BG71" s="168">
        <f t="shared" si="36"/>
        <v>21</v>
      </c>
      <c r="BH71" s="168">
        <f t="shared" si="36"/>
        <v>21</v>
      </c>
      <c r="BI71" s="168">
        <f t="shared" si="36"/>
        <v>21</v>
      </c>
      <c r="BJ71" s="168">
        <f t="shared" si="36"/>
        <v>21</v>
      </c>
      <c r="BK71" s="168">
        <f t="shared" si="36"/>
        <v>21</v>
      </c>
      <c r="BL71" s="168">
        <f t="shared" si="36"/>
        <v>21</v>
      </c>
      <c r="BM71" s="168">
        <f t="shared" si="36"/>
        <v>21</v>
      </c>
      <c r="BN71" s="168">
        <f t="shared" si="36"/>
        <v>21</v>
      </c>
      <c r="BO71" s="168">
        <f t="shared" si="36"/>
        <v>21</v>
      </c>
      <c r="BP71" s="168">
        <f t="shared" si="36"/>
        <v>23</v>
      </c>
      <c r="BQ71" s="168">
        <f t="shared" si="36"/>
        <v>23</v>
      </c>
      <c r="BR71" s="168">
        <f t="shared" si="36"/>
        <v>23</v>
      </c>
      <c r="BS71" s="168">
        <f t="shared" si="36"/>
        <v>23</v>
      </c>
      <c r="BZ71" s="182" t="str">
        <f>BZ60</f>
        <v>lot1</v>
      </c>
      <c r="CB71" s="168">
        <f t="shared" ref="CB71:CY80" si="37">IF(CB15=0,0,VALUE(CONCATENATE(CB26,CB37)))</f>
        <v>0</v>
      </c>
      <c r="CC71" s="168">
        <f t="shared" si="37"/>
        <v>0</v>
      </c>
      <c r="CD71" s="168">
        <f t="shared" si="37"/>
        <v>0</v>
      </c>
      <c r="CE71" s="168">
        <f t="shared" si="37"/>
        <v>0</v>
      </c>
      <c r="CF71" s="168">
        <f t="shared" si="37"/>
        <v>0</v>
      </c>
      <c r="CG71" s="168">
        <f t="shared" si="37"/>
        <v>0</v>
      </c>
      <c r="CH71" s="168">
        <f t="shared" si="37"/>
        <v>0</v>
      </c>
      <c r="CI71" s="168">
        <f t="shared" si="37"/>
        <v>0</v>
      </c>
      <c r="CJ71" s="168">
        <f t="shared" si="37"/>
        <v>0</v>
      </c>
      <c r="CK71" s="168">
        <f t="shared" si="37"/>
        <v>0</v>
      </c>
      <c r="CL71" s="168">
        <f t="shared" si="37"/>
        <v>0</v>
      </c>
      <c r="CM71" s="168">
        <f t="shared" si="37"/>
        <v>0</v>
      </c>
      <c r="CN71" s="168">
        <f t="shared" si="37"/>
        <v>0</v>
      </c>
      <c r="CO71" s="168">
        <f t="shared" si="37"/>
        <v>0</v>
      </c>
      <c r="CP71" s="168">
        <f t="shared" si="37"/>
        <v>0</v>
      </c>
      <c r="CQ71" s="168">
        <f t="shared" si="37"/>
        <v>0</v>
      </c>
      <c r="CR71" s="168">
        <f t="shared" si="37"/>
        <v>0</v>
      </c>
      <c r="CS71" s="168">
        <f t="shared" si="37"/>
        <v>0</v>
      </c>
      <c r="CT71" s="168">
        <f t="shared" si="37"/>
        <v>0</v>
      </c>
      <c r="CU71" s="168">
        <f t="shared" si="37"/>
        <v>0</v>
      </c>
      <c r="CV71" s="168">
        <f t="shared" si="37"/>
        <v>0</v>
      </c>
      <c r="CW71" s="168">
        <f t="shared" si="37"/>
        <v>0</v>
      </c>
      <c r="CX71" s="168">
        <f t="shared" si="37"/>
        <v>0</v>
      </c>
      <c r="CY71" s="168">
        <f t="shared" si="37"/>
        <v>0</v>
      </c>
      <c r="DC71" s="182" t="str">
        <f>DC60</f>
        <v>lot1</v>
      </c>
      <c r="DE71" s="168">
        <f t="shared" ref="DE71:EB80" si="38">IF(DE15=0,0,VALUE(CONCATENATE(DE26,DE37)))</f>
        <v>0</v>
      </c>
      <c r="DF71" s="168">
        <f t="shared" si="38"/>
        <v>0</v>
      </c>
      <c r="DG71" s="168">
        <f t="shared" si="38"/>
        <v>0</v>
      </c>
      <c r="DH71" s="168">
        <f t="shared" si="38"/>
        <v>0</v>
      </c>
      <c r="DI71" s="168">
        <f t="shared" si="38"/>
        <v>0</v>
      </c>
      <c r="DJ71" s="168">
        <f t="shared" si="38"/>
        <v>0</v>
      </c>
      <c r="DK71" s="168">
        <f t="shared" si="38"/>
        <v>0</v>
      </c>
      <c r="DL71" s="168">
        <f t="shared" si="38"/>
        <v>0</v>
      </c>
      <c r="DM71" s="168">
        <f t="shared" si="38"/>
        <v>0</v>
      </c>
      <c r="DN71" s="168">
        <f t="shared" si="38"/>
        <v>0</v>
      </c>
      <c r="DO71" s="168">
        <f t="shared" si="38"/>
        <v>0</v>
      </c>
      <c r="DP71" s="168">
        <f t="shared" si="38"/>
        <v>0</v>
      </c>
      <c r="DQ71" s="168">
        <f t="shared" si="38"/>
        <v>0</v>
      </c>
      <c r="DR71" s="168">
        <f t="shared" si="38"/>
        <v>0</v>
      </c>
      <c r="DS71" s="168">
        <f t="shared" si="38"/>
        <v>0</v>
      </c>
      <c r="DT71" s="168">
        <f t="shared" si="38"/>
        <v>0</v>
      </c>
      <c r="DU71" s="168">
        <f t="shared" si="38"/>
        <v>0</v>
      </c>
      <c r="DV71" s="168">
        <f t="shared" si="38"/>
        <v>0</v>
      </c>
      <c r="DW71" s="168">
        <f t="shared" si="38"/>
        <v>0</v>
      </c>
      <c r="DX71" s="168">
        <f t="shared" si="38"/>
        <v>0</v>
      </c>
      <c r="DY71" s="168">
        <f t="shared" si="38"/>
        <v>0</v>
      </c>
      <c r="DZ71" s="168">
        <f t="shared" si="38"/>
        <v>0</v>
      </c>
      <c r="EA71" s="168">
        <f t="shared" si="38"/>
        <v>0</v>
      </c>
      <c r="EB71" s="168">
        <f t="shared" si="38"/>
        <v>0</v>
      </c>
    </row>
    <row r="72" spans="1:132" x14ac:dyDescent="0.25">
      <c r="A72" s="171" t="s">
        <v>792</v>
      </c>
      <c r="B72" s="5"/>
      <c r="C72" s="5"/>
      <c r="F72" s="168">
        <f>IF(Troupeau!B3="OL",ROUND(SUM(G72:AD72),0),0)</f>
        <v>0</v>
      </c>
      <c r="G72" s="168">
        <f>IF(AND(Troupeau!$B$3="OL",Scénario!$K$88=1),SUM(Protection!C3:C5)*([1]Protect!$B$22+[1]Protect!$B$23),IF(AND(Troupeau!$B$3="OL",Scénario!$K$88=2),Protection!C5*([1]Protect!$B$22+[1]Protect!$B$23),0)+IF(AND(LEFT(Troupeau!$B$3,1)="B",Scénario!$K$87&gt;2),(Protection!C3+Protection!C4)*([1]Protect!$B$22+[1]Protect!$B$23),0))</f>
        <v>0</v>
      </c>
      <c r="H72" s="168">
        <f>IF(AND(Troupeau!$B$3="OL",Scénario!$K$88=1),SUM(Protection!D3:D5)*([1]Protect!$B$22+[1]Protect!$B$23),IF(AND(Troupeau!$B$3="OL",Scénario!$K$88=2),Protection!D5*([1]Protect!$B$22+[1]Protect!$B$23),0)+IF(AND(LEFT(Troupeau!$B$3,1)="B",Scénario!$K$87&gt;2),(Protection!D3+Protection!D4)*([1]Protect!$B$22+[1]Protect!$B$23),0))</f>
        <v>0</v>
      </c>
      <c r="I72" s="168">
        <f>IF(AND(Troupeau!$B$3="OL",Scénario!$K$88=1),SUM(Protection!E3:E5)*([1]Protect!$B$22+[1]Protect!$B$23),IF(AND(Troupeau!$B$3="OL",Scénario!$K$88=2),Protection!E5*([1]Protect!$B$22+[1]Protect!$B$23),0)+IF(AND(LEFT(Troupeau!$B$3,1)="B",Scénario!$K$87&gt;2),(Protection!E3+Protection!E4)*([1]Protect!$B$22+[1]Protect!$B$23),0))</f>
        <v>0</v>
      </c>
      <c r="J72" s="168">
        <f>IF(AND(Troupeau!$B$3="OL",Scénario!$K$88=1),SUM(Protection!F3:F5)*([1]Protect!$B$22+[1]Protect!$B$23),IF(AND(Troupeau!$B$3="OL",Scénario!$K$88=2),Protection!F5*([1]Protect!$B$22+[1]Protect!$B$23),0)+IF(AND(LEFT(Troupeau!$B$3,1)="B",Scénario!$K$87&gt;2),(Protection!F3+Protection!F4)*([1]Protect!$B$22+[1]Protect!$B$23),0))</f>
        <v>0</v>
      </c>
      <c r="K72" s="168">
        <f>IF(AND(Troupeau!$B$3="OL",Scénario!$K$88=1),SUM(Protection!G3:G5)*([1]Protect!$B$22+[1]Protect!$B$23),IF(AND(Troupeau!$B$3="OL",Scénario!$K$88=2),Protection!G5*([1]Protect!$B$22+[1]Protect!$B$23),0)+IF(AND(LEFT(Troupeau!$B$3,1)="B",Scénario!$K$87&gt;2),(Protection!G3+Protection!G4)*([1]Protect!$B$22+[1]Protect!$B$23),0))</f>
        <v>10</v>
      </c>
      <c r="L72" s="168">
        <f>IF(AND(Troupeau!$B$3="OL",Scénario!$K$88=1),SUM(Protection!H3:H5)*([1]Protect!$B$22+[1]Protect!$B$23),IF(AND(Troupeau!$B$3="OL",Scénario!$K$88=2),Protection!H5*([1]Protect!$B$22+[1]Protect!$B$23),0)+IF(AND(LEFT(Troupeau!$B$3,1)="B",Scénario!$K$87&gt;2),(Protection!H3+Protection!H4)*([1]Protect!$B$22+[1]Protect!$B$23),0))</f>
        <v>10</v>
      </c>
      <c r="M72" s="168">
        <f>IF(AND(Troupeau!$B$3="OL",Scénario!$K$88=1),SUM(Protection!I3:I5)*([1]Protect!$B$22+[1]Protect!$B$23),IF(AND(Troupeau!$B$3="OL",Scénario!$K$88=2),Protection!I5*([1]Protect!$B$22+[1]Protect!$B$23),0)+IF(AND(LEFT(Troupeau!$B$3,1)="B",Scénario!$K$87&gt;2),(Protection!I3+Protection!I4)*([1]Protect!$B$22+[1]Protect!$B$23),0))</f>
        <v>10</v>
      </c>
      <c r="N72" s="168">
        <f>IF(AND(Troupeau!$B$3="OL",Scénario!$K$88=1),SUM(Protection!J3:J5)*([1]Protect!$B$22+[1]Protect!$B$23),IF(AND(Troupeau!$B$3="OL",Scénario!$K$88=2),Protection!J5*([1]Protect!$B$22+[1]Protect!$B$23),0)+IF(AND(LEFT(Troupeau!$B$3,1)="B",Scénario!$K$87&gt;2),(Protection!J3+Protection!J4)*([1]Protect!$B$22+[1]Protect!$B$23),0))</f>
        <v>10</v>
      </c>
      <c r="O72" s="168">
        <f>IF(AND(Troupeau!$B$3="OL",Scénario!$K$88=1),SUM(Protection!K3:K5)*([1]Protect!$B$22+[1]Protect!$B$23),IF(AND(Troupeau!$B$3="OL",Scénario!$K$88=2),Protection!K5*([1]Protect!$B$22+[1]Protect!$B$23),0)+IF(AND(LEFT(Troupeau!$B$3,1)="B",Scénario!$K$87&gt;2),(Protection!K3+Protection!K4)*([1]Protect!$B$22+[1]Protect!$B$23),0))</f>
        <v>10</v>
      </c>
      <c r="P72" s="168">
        <f>IF(AND(Troupeau!$B$3="OL",Scénario!$K$88=1),SUM(Protection!L3:L5)*([1]Protect!$B$22+[1]Protect!$B$23),IF(AND(Troupeau!$B$3="OL",Scénario!$K$88=2),Protection!L5*([1]Protect!$B$22+[1]Protect!$B$23),0)+IF(AND(LEFT(Troupeau!$B$3,1)="B",Scénario!$K$87&gt;2),(Protection!L3+Protection!L4)*([1]Protect!$B$22+[1]Protect!$B$23),0))</f>
        <v>15</v>
      </c>
      <c r="Q72" s="168">
        <f>IF(AND(Troupeau!$B$3="OL",Scénario!$K$88=1),SUM(Protection!M3:M5)*([1]Protect!$B$22+[1]Protect!$B$23),IF(AND(Troupeau!$B$3="OL",Scénario!$K$88=2),Protection!M5*([1]Protect!$B$22+[1]Protect!$B$23),0)+IF(AND(LEFT(Troupeau!$B$3,1)="B",Scénario!$K$87&gt;2),(Protection!M3+Protection!M4)*([1]Protect!$B$22+[1]Protect!$B$23),0))</f>
        <v>15</v>
      </c>
      <c r="R72" s="168">
        <f>IF(AND(Troupeau!$B$3="OL",Scénario!$K$88=1),SUM(Protection!N3:N5)*([1]Protect!$B$22+[1]Protect!$B$23),IF(AND(Troupeau!$B$3="OL",Scénario!$K$88=2),Protection!N5*([1]Protect!$B$22+[1]Protect!$B$23),0)+IF(AND(LEFT(Troupeau!$B$3,1)="B",Scénario!$K$87&gt;2),(Protection!N3+Protection!N4)*([1]Protect!$B$22+[1]Protect!$B$23),0))</f>
        <v>15</v>
      </c>
      <c r="S72" s="168">
        <f>IF(AND(Troupeau!$B$3="OL",Scénario!$K$88=1),SUM(Protection!O3:O5)*([1]Protect!$B$22+[1]Protect!$B$23),IF(AND(Troupeau!$B$3="OL",Scénario!$K$88=2),Protection!O5*([1]Protect!$B$22+[1]Protect!$B$23),0)+IF(AND(LEFT(Troupeau!$B$3,1)="B",Scénario!$K$87&gt;2),(Protection!O3+Protection!O4)*([1]Protect!$B$22+[1]Protect!$B$23),0))</f>
        <v>15</v>
      </c>
      <c r="T72" s="168">
        <f>IF(AND(Troupeau!$B$3="OL",Scénario!$K$88=1),SUM(Protection!P3:P5)*([1]Protect!$B$22+[1]Protect!$B$23),IF(AND(Troupeau!$B$3="OL",Scénario!$K$88=2),Protection!P5*([1]Protect!$B$22+[1]Protect!$B$23),0)+IF(AND(LEFT(Troupeau!$B$3,1)="B",Scénario!$K$87&gt;2),(Protection!P3+Protection!P4)*([1]Protect!$B$22+[1]Protect!$B$23),0))</f>
        <v>15</v>
      </c>
      <c r="U72" s="168">
        <f>IF(AND(Troupeau!$B$3="OL",Scénario!$K$88=1),SUM(Protection!Q3:Q5)*([1]Protect!$B$22+[1]Protect!$B$23),IF(AND(Troupeau!$B$3="OL",Scénario!$K$88=2),Protection!Q5*([1]Protect!$B$22+[1]Protect!$B$23),0)+IF(AND(LEFT(Troupeau!$B$3,1)="B",Scénario!$K$87&gt;2),(Protection!Q3+Protection!Q4)*([1]Protect!$B$22+[1]Protect!$B$23),0))</f>
        <v>15</v>
      </c>
      <c r="V72" s="168">
        <f>IF(AND(Troupeau!$B$3="OL",Scénario!$K$88=1),SUM(Protection!R3:R5)*([1]Protect!$B$22+[1]Protect!$B$23),IF(AND(Troupeau!$B$3="OL",Scénario!$K$88=2),Protection!R5*([1]Protect!$B$22+[1]Protect!$B$23),0)+IF(AND(LEFT(Troupeau!$B$3,1)="B",Scénario!$K$87&gt;2),(Protection!R3+Protection!R4)*([1]Protect!$B$22+[1]Protect!$B$23),0))</f>
        <v>15</v>
      </c>
      <c r="W72" s="168">
        <f>IF(AND(Troupeau!$B$3="OL",Scénario!$K$88=1),SUM(Protection!S3:S5)*([1]Protect!$B$22+[1]Protect!$B$23),IF(AND(Troupeau!$B$3="OL",Scénario!$K$88=2),Protection!S5*([1]Protect!$B$22+[1]Protect!$B$23),0)+IF(AND(LEFT(Troupeau!$B$3,1)="B",Scénario!$K$87&gt;2),(Protection!S3+Protection!S4)*([1]Protect!$B$22+[1]Protect!$B$23),0))</f>
        <v>15</v>
      </c>
      <c r="X72" s="168">
        <f>IF(AND(Troupeau!$B$3="OL",Scénario!$K$88=1),SUM(Protection!T3:T5)*([1]Protect!$B$22+[1]Protect!$B$23),IF(AND(Troupeau!$B$3="OL",Scénario!$K$88=2),Protection!T5*([1]Protect!$B$22+[1]Protect!$B$23),0)+IF(AND(LEFT(Troupeau!$B$3,1)="B",Scénario!$K$87&gt;2),(Protection!T3+Protection!T4)*([1]Protect!$B$22+[1]Protect!$B$23),0))</f>
        <v>15</v>
      </c>
      <c r="Y72" s="168">
        <f>IF(AND(Troupeau!$B$3="OL",Scénario!$K$88=1),SUM(Protection!U3:U5)*([1]Protect!$B$22+[1]Protect!$B$23),IF(AND(Troupeau!$B$3="OL",Scénario!$K$88=2),Protection!U5*([1]Protect!$B$22+[1]Protect!$B$23),0)+IF(AND(LEFT(Troupeau!$B$3,1)="B",Scénario!$K$87&gt;2),(Protection!U3+Protection!U4)*([1]Protect!$B$22+[1]Protect!$B$23),0))</f>
        <v>15</v>
      </c>
      <c r="Z72" s="168">
        <f>IF(AND(Troupeau!$B$3="OL",Scénario!$K$88=1),SUM(Protection!V3:V5)*([1]Protect!$B$22+[1]Protect!$B$23),IF(AND(Troupeau!$B$3="OL",Scénario!$K$88=2),Protection!V5*([1]Protect!$B$22+[1]Protect!$B$23),0)+IF(AND(LEFT(Troupeau!$B$3,1)="B",Scénario!$K$87&gt;2),(Protection!V3+Protection!V4)*([1]Protect!$B$22+[1]Protect!$B$23),0))</f>
        <v>15</v>
      </c>
      <c r="AA72" s="168">
        <f>IF(AND(Troupeau!$B$3="OL",Scénario!$K$88=1),SUM(Protection!W3:W5)*([1]Protect!$B$22+[1]Protect!$B$23),IF(AND(Troupeau!$B$3="OL",Scénario!$K$88=2),Protection!W5*([1]Protect!$B$22+[1]Protect!$B$23),0)+IF(AND(LEFT(Troupeau!$B$3,1)="B",Scénario!$K$87&gt;2),(Protection!W3+Protection!W4)*([1]Protect!$B$22+[1]Protect!$B$23),0))</f>
        <v>10</v>
      </c>
      <c r="AB72" s="168">
        <f>IF(AND(Troupeau!$B$3="OL",Scénario!$K$88=1),SUM(Protection!X3:X5)*([1]Protect!$B$22+[1]Protect!$B$23),IF(AND(Troupeau!$B$3="OL",Scénario!$K$88=2),Protection!X5*([1]Protect!$B$22+[1]Protect!$B$23),0)+IF(AND(LEFT(Troupeau!$B$3,1)="B",Scénario!$K$87&gt;2),(Protection!X3+Protection!X4)*([1]Protect!$B$22+[1]Protect!$B$23),0))</f>
        <v>0</v>
      </c>
      <c r="AC72" s="168">
        <f>IF(AND(Troupeau!$B$3="OL",Scénario!$K$88=1),SUM(Protection!Y3:Y5)*([1]Protect!$B$22+[1]Protect!$B$23),IF(AND(Troupeau!$B$3="OL",Scénario!$K$88=2),Protection!Y5*([1]Protect!$B$22+[1]Protect!$B$23),0)+IF(AND(LEFT(Troupeau!$B$3,1)="B",Scénario!$K$87&gt;2),(Protection!Y3+Protection!Y4)*([1]Protect!$B$22+[1]Protect!$B$23),0))</f>
        <v>0</v>
      </c>
      <c r="AD72" s="168">
        <f>IF(AND(Troupeau!$B$3="OL",Scénario!$K$88=1),SUM(Protection!Z3:Z5)*([1]Protect!$B$22+[1]Protect!$B$23),IF(AND(Troupeau!$B$3="OL",Scénario!$K$88=2),Protection!Z5*([1]Protect!$B$22+[1]Protect!$B$23),0)+IF(AND(LEFT(Troupeau!$B$3,1)="B",Scénario!$K$87&gt;2),(Protection!Z3+Protection!Z4)*([1]Protect!$B$22+[1]Protect!$B$23),0))</f>
        <v>0</v>
      </c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181" t="s">
        <v>730</v>
      </c>
      <c r="AT72" s="182" t="str">
        <f t="shared" ref="AT72:AT80" si="39">AT61</f>
        <v>Génisses 24 mois</v>
      </c>
      <c r="AV72" s="168">
        <f t="shared" si="36"/>
        <v>13</v>
      </c>
      <c r="AW72" s="168">
        <f t="shared" si="36"/>
        <v>13</v>
      </c>
      <c r="AX72" s="168">
        <f t="shared" si="36"/>
        <v>13</v>
      </c>
      <c r="AY72" s="168">
        <f t="shared" si="36"/>
        <v>13</v>
      </c>
      <c r="AZ72" s="168">
        <f t="shared" si="36"/>
        <v>12</v>
      </c>
      <c r="BA72" s="168">
        <f t="shared" si="36"/>
        <v>12</v>
      </c>
      <c r="BB72" s="168">
        <f t="shared" si="36"/>
        <v>11</v>
      </c>
      <c r="BC72" s="168">
        <f t="shared" si="36"/>
        <v>11</v>
      </c>
      <c r="BD72" s="168">
        <f t="shared" si="36"/>
        <v>11</v>
      </c>
      <c r="BE72" s="168">
        <f t="shared" si="36"/>
        <v>11</v>
      </c>
      <c r="BF72" s="168">
        <f t="shared" si="36"/>
        <v>11</v>
      </c>
      <c r="BG72" s="168">
        <f t="shared" si="36"/>
        <v>11</v>
      </c>
      <c r="BH72" s="168">
        <f t="shared" si="36"/>
        <v>11</v>
      </c>
      <c r="BI72" s="168">
        <f t="shared" si="36"/>
        <v>11</v>
      </c>
      <c r="BJ72" s="168">
        <f t="shared" si="36"/>
        <v>11</v>
      </c>
      <c r="BK72" s="168">
        <f t="shared" si="36"/>
        <v>11</v>
      </c>
      <c r="BL72" s="168">
        <f t="shared" si="36"/>
        <v>11</v>
      </c>
      <c r="BM72" s="168">
        <f t="shared" si="36"/>
        <v>11</v>
      </c>
      <c r="BN72" s="168">
        <f t="shared" si="36"/>
        <v>11</v>
      </c>
      <c r="BO72" s="168">
        <f t="shared" si="36"/>
        <v>11</v>
      </c>
      <c r="BP72" s="168">
        <f t="shared" si="36"/>
        <v>12</v>
      </c>
      <c r="BQ72" s="168">
        <f t="shared" si="36"/>
        <v>13</v>
      </c>
      <c r="BR72" s="168">
        <f t="shared" si="36"/>
        <v>13</v>
      </c>
      <c r="BS72" s="168">
        <f t="shared" si="36"/>
        <v>13</v>
      </c>
      <c r="BZ72" s="182" t="str">
        <f t="shared" ref="BZ72:BZ80" si="40">BZ61</f>
        <v>lot2</v>
      </c>
      <c r="CB72" s="168">
        <f t="shared" si="37"/>
        <v>0</v>
      </c>
      <c r="CC72" s="168">
        <f t="shared" si="37"/>
        <v>0</v>
      </c>
      <c r="CD72" s="168">
        <f t="shared" si="37"/>
        <v>0</v>
      </c>
      <c r="CE72" s="168">
        <f t="shared" si="37"/>
        <v>0</v>
      </c>
      <c r="CF72" s="168">
        <f t="shared" si="37"/>
        <v>0</v>
      </c>
      <c r="CG72" s="168">
        <f t="shared" si="37"/>
        <v>0</v>
      </c>
      <c r="CH72" s="168">
        <f t="shared" si="37"/>
        <v>0</v>
      </c>
      <c r="CI72" s="168">
        <f t="shared" si="37"/>
        <v>0</v>
      </c>
      <c r="CJ72" s="168">
        <f t="shared" si="37"/>
        <v>0</v>
      </c>
      <c r="CK72" s="168">
        <f t="shared" si="37"/>
        <v>0</v>
      </c>
      <c r="CL72" s="168">
        <f t="shared" si="37"/>
        <v>0</v>
      </c>
      <c r="CM72" s="168">
        <f t="shared" si="37"/>
        <v>0</v>
      </c>
      <c r="CN72" s="168">
        <f t="shared" si="37"/>
        <v>0</v>
      </c>
      <c r="CO72" s="168">
        <f t="shared" si="37"/>
        <v>0</v>
      </c>
      <c r="CP72" s="168">
        <f t="shared" si="37"/>
        <v>0</v>
      </c>
      <c r="CQ72" s="168">
        <f t="shared" si="37"/>
        <v>0</v>
      </c>
      <c r="CR72" s="168">
        <f t="shared" si="37"/>
        <v>0</v>
      </c>
      <c r="CS72" s="168">
        <f t="shared" si="37"/>
        <v>0</v>
      </c>
      <c r="CT72" s="168">
        <f t="shared" si="37"/>
        <v>0</v>
      </c>
      <c r="CU72" s="168">
        <f t="shared" si="37"/>
        <v>0</v>
      </c>
      <c r="CV72" s="168">
        <f t="shared" si="37"/>
        <v>0</v>
      </c>
      <c r="CW72" s="168">
        <f t="shared" si="37"/>
        <v>0</v>
      </c>
      <c r="CX72" s="168">
        <f t="shared" si="37"/>
        <v>0</v>
      </c>
      <c r="CY72" s="168">
        <f t="shared" si="37"/>
        <v>0</v>
      </c>
      <c r="DC72" s="182" t="str">
        <f t="shared" ref="DC72:DC80" si="41">DC61</f>
        <v>lot2</v>
      </c>
      <c r="DE72" s="168">
        <f t="shared" si="38"/>
        <v>0</v>
      </c>
      <c r="DF72" s="168">
        <f t="shared" si="38"/>
        <v>0</v>
      </c>
      <c r="DG72" s="168">
        <f t="shared" si="38"/>
        <v>0</v>
      </c>
      <c r="DH72" s="168">
        <f t="shared" si="38"/>
        <v>0</v>
      </c>
      <c r="DI72" s="168">
        <f t="shared" si="38"/>
        <v>0</v>
      </c>
      <c r="DJ72" s="168">
        <f t="shared" si="38"/>
        <v>0</v>
      </c>
      <c r="DK72" s="168">
        <f t="shared" si="38"/>
        <v>0</v>
      </c>
      <c r="DL72" s="168">
        <f t="shared" si="38"/>
        <v>0</v>
      </c>
      <c r="DM72" s="168">
        <f t="shared" si="38"/>
        <v>0</v>
      </c>
      <c r="DN72" s="168">
        <f t="shared" si="38"/>
        <v>0</v>
      </c>
      <c r="DO72" s="168">
        <f t="shared" si="38"/>
        <v>0</v>
      </c>
      <c r="DP72" s="168">
        <f t="shared" si="38"/>
        <v>0</v>
      </c>
      <c r="DQ72" s="168">
        <f t="shared" si="38"/>
        <v>0</v>
      </c>
      <c r="DR72" s="168">
        <f t="shared" si="38"/>
        <v>0</v>
      </c>
      <c r="DS72" s="168">
        <f t="shared" si="38"/>
        <v>0</v>
      </c>
      <c r="DT72" s="168">
        <f t="shared" si="38"/>
        <v>0</v>
      </c>
      <c r="DU72" s="168">
        <f t="shared" si="38"/>
        <v>0</v>
      </c>
      <c r="DV72" s="168">
        <f t="shared" si="38"/>
        <v>0</v>
      </c>
      <c r="DW72" s="168">
        <f t="shared" si="38"/>
        <v>0</v>
      </c>
      <c r="DX72" s="168">
        <f t="shared" si="38"/>
        <v>0</v>
      </c>
      <c r="DY72" s="168">
        <f t="shared" si="38"/>
        <v>0</v>
      </c>
      <c r="DZ72" s="168">
        <f t="shared" si="38"/>
        <v>0</v>
      </c>
      <c r="EA72" s="168">
        <f t="shared" si="38"/>
        <v>0</v>
      </c>
      <c r="EB72" s="168">
        <f t="shared" si="38"/>
        <v>0</v>
      </c>
    </row>
    <row r="73" spans="1:132" x14ac:dyDescent="0.25">
      <c r="A73" s="171" t="s">
        <v>793</v>
      </c>
      <c r="B73" s="5"/>
      <c r="C73" s="5"/>
      <c r="F73" s="168">
        <f t="shared" ref="F73" si="42">ROUND(SUM(G73:AD73),0)</f>
        <v>0</v>
      </c>
      <c r="G73" s="168">
        <f>IF(AND(Troupeau!$C$3="BV",Scénario!$K$87&gt;2),Protection!C25*([1]Protect!$B$22+[1]Protect!$B$23),0)</f>
        <v>0</v>
      </c>
      <c r="H73" s="168">
        <f>IF(AND(Troupeau!$C$3="BV",Scénario!$K$87&gt;2),Protection!D25*([1]Protect!$B$22+[1]Protect!$B$23),0)</f>
        <v>0</v>
      </c>
      <c r="I73" s="168">
        <f>IF(AND(Troupeau!$C$3="BV",Scénario!$K$87&gt;2),Protection!E25*([1]Protect!$B$22+[1]Protect!$B$23),0)</f>
        <v>0</v>
      </c>
      <c r="J73" s="168">
        <f>IF(AND(Troupeau!$C$3="BV",Scénario!$K$87&gt;2),Protection!F25*([1]Protect!$B$22+[1]Protect!$B$23),0)</f>
        <v>0</v>
      </c>
      <c r="K73" s="168">
        <f>IF(AND(Troupeau!$C$3="BV",Scénario!$K$87&gt;2),Protection!G25*([1]Protect!$B$22+[1]Protect!$B$23),0)</f>
        <v>0</v>
      </c>
      <c r="L73" s="168">
        <f>IF(AND(Troupeau!$C$3="BV",Scénario!$K$87&gt;2),Protection!H25*([1]Protect!$B$22+[1]Protect!$B$23),0)</f>
        <v>0</v>
      </c>
      <c r="M73" s="168">
        <f>IF(AND(Troupeau!$C$3="BV",Scénario!$K$87&gt;2),Protection!I25*([1]Protect!$B$22+[1]Protect!$B$23),0)</f>
        <v>0</v>
      </c>
      <c r="N73" s="168">
        <f>IF(AND(Troupeau!$C$3="BV",Scénario!$K$87&gt;2),Protection!J25*([1]Protect!$B$22+[1]Protect!$B$23),0)</f>
        <v>0</v>
      </c>
      <c r="O73" s="168">
        <f>IF(AND(Troupeau!$C$3="BV",Scénario!$K$87&gt;2),Protection!K25*([1]Protect!$B$22+[1]Protect!$B$23),0)</f>
        <v>0</v>
      </c>
      <c r="P73" s="168">
        <f>IF(AND(Troupeau!$C$3="BV",Scénario!$K$87&gt;2),Protection!L25*([1]Protect!$B$22+[1]Protect!$B$23),0)</f>
        <v>0</v>
      </c>
      <c r="Q73" s="168">
        <f>IF(AND(Troupeau!$C$3="BV",Scénario!$K$87&gt;2),Protection!M25*([1]Protect!$B$22+[1]Protect!$B$23),0)</f>
        <v>0</v>
      </c>
      <c r="R73" s="168">
        <f>IF(AND(Troupeau!$C$3="BV",Scénario!$K$87&gt;2),Protection!N25*([1]Protect!$B$22+[1]Protect!$B$23),0)</f>
        <v>0</v>
      </c>
      <c r="S73" s="168">
        <f>IF(AND(Troupeau!$C$3="BV",Scénario!$K$87&gt;2),Protection!O25*([1]Protect!$B$22+[1]Protect!$B$23),0)</f>
        <v>0</v>
      </c>
      <c r="T73" s="168">
        <f>IF(AND(Troupeau!$C$3="BV",Scénario!$K$87&gt;2),Protection!P25*([1]Protect!$B$22+[1]Protect!$B$23),0)</f>
        <v>0</v>
      </c>
      <c r="U73" s="168">
        <f>IF(AND(Troupeau!$C$3="BV",Scénario!$K$87&gt;2),Protection!Q25*([1]Protect!$B$22+[1]Protect!$B$23),0)</f>
        <v>0</v>
      </c>
      <c r="V73" s="168">
        <f>IF(AND(Troupeau!$C$3="BV",Scénario!$K$87&gt;2),Protection!R25*([1]Protect!$B$22+[1]Protect!$B$23),0)</f>
        <v>0</v>
      </c>
      <c r="W73" s="168">
        <f>IF(AND(Troupeau!$C$3="BV",Scénario!$K$87&gt;2),Protection!S25*([1]Protect!$B$22+[1]Protect!$B$23),0)</f>
        <v>0</v>
      </c>
      <c r="X73" s="168">
        <f>IF(AND(Troupeau!$C$3="BV",Scénario!$K$87&gt;2),Protection!T25*([1]Protect!$B$22+[1]Protect!$B$23),0)</f>
        <v>0</v>
      </c>
      <c r="Y73" s="168">
        <f>IF(AND(Troupeau!$C$3="BV",Scénario!$K$87&gt;2),Protection!U25*([1]Protect!$B$22+[1]Protect!$B$23),0)</f>
        <v>0</v>
      </c>
      <c r="Z73" s="168">
        <f>IF(AND(Troupeau!$C$3="BV",Scénario!$K$87&gt;2),Protection!V25*([1]Protect!$B$22+[1]Protect!$B$23),0)</f>
        <v>0</v>
      </c>
      <c r="AA73" s="168">
        <f>IF(AND(Troupeau!$C$3="BV",Scénario!$K$87&gt;2),Protection!W25*([1]Protect!$B$22+[1]Protect!$B$23),0)</f>
        <v>0</v>
      </c>
      <c r="AB73" s="168">
        <f>IF(AND(Troupeau!$C$3="BV",Scénario!$K$87&gt;2),Protection!X25*([1]Protect!$B$22+[1]Protect!$B$23),0)</f>
        <v>0</v>
      </c>
      <c r="AC73" s="168">
        <f>IF(AND(Troupeau!$C$3="BV",Scénario!$K$87&gt;2),Protection!Y25*([1]Protect!$B$22+[1]Protect!$B$23),0)</f>
        <v>0</v>
      </c>
      <c r="AD73" s="168">
        <f>IF(AND(Troupeau!$C$3="BV",Scénario!$K$87&gt;2),Protection!Z25*([1]Protect!$B$22+[1]Protect!$B$23),0)</f>
        <v>0</v>
      </c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181" t="s">
        <v>730</v>
      </c>
      <c r="AT73" s="182" t="str">
        <f t="shared" si="39"/>
        <v>Génisses jeunes</v>
      </c>
      <c r="AV73" s="168">
        <f t="shared" si="36"/>
        <v>13</v>
      </c>
      <c r="AW73" s="168">
        <f t="shared" si="36"/>
        <v>13</v>
      </c>
      <c r="AX73" s="168">
        <f t="shared" si="36"/>
        <v>13</v>
      </c>
      <c r="AY73" s="168">
        <f t="shared" si="36"/>
        <v>13</v>
      </c>
      <c r="AZ73" s="168">
        <f t="shared" si="36"/>
        <v>13</v>
      </c>
      <c r="BA73" s="168">
        <f t="shared" si="36"/>
        <v>13</v>
      </c>
      <c r="BB73" s="168">
        <f t="shared" si="36"/>
        <v>13</v>
      </c>
      <c r="BC73" s="168">
        <f t="shared" si="36"/>
        <v>13</v>
      </c>
      <c r="BD73" s="168">
        <f t="shared" si="36"/>
        <v>13</v>
      </c>
      <c r="BE73" s="168">
        <f t="shared" si="36"/>
        <v>12</v>
      </c>
      <c r="BF73" s="168">
        <f t="shared" si="36"/>
        <v>12</v>
      </c>
      <c r="BG73" s="168">
        <f t="shared" si="36"/>
        <v>12</v>
      </c>
      <c r="BH73" s="168">
        <f t="shared" si="36"/>
        <v>12</v>
      </c>
      <c r="BI73" s="168">
        <f t="shared" si="36"/>
        <v>12</v>
      </c>
      <c r="BJ73" s="168">
        <f t="shared" si="36"/>
        <v>12</v>
      </c>
      <c r="BK73" s="168">
        <f t="shared" si="36"/>
        <v>12</v>
      </c>
      <c r="BL73" s="168">
        <f t="shared" si="36"/>
        <v>12</v>
      </c>
      <c r="BM73" s="168">
        <f t="shared" si="36"/>
        <v>12</v>
      </c>
      <c r="BN73" s="168">
        <f t="shared" si="36"/>
        <v>12</v>
      </c>
      <c r="BO73" s="168">
        <f t="shared" si="36"/>
        <v>12</v>
      </c>
      <c r="BP73" s="168">
        <f t="shared" si="36"/>
        <v>12</v>
      </c>
      <c r="BQ73" s="168">
        <f t="shared" si="36"/>
        <v>13</v>
      </c>
      <c r="BR73" s="168">
        <f t="shared" si="36"/>
        <v>13</v>
      </c>
      <c r="BS73" s="168">
        <f t="shared" si="36"/>
        <v>13</v>
      </c>
      <c r="BZ73" s="182" t="str">
        <f t="shared" si="40"/>
        <v>lot3</v>
      </c>
      <c r="CB73" s="168">
        <f t="shared" si="37"/>
        <v>0</v>
      </c>
      <c r="CC73" s="168">
        <f t="shared" si="37"/>
        <v>0</v>
      </c>
      <c r="CD73" s="168">
        <f t="shared" si="37"/>
        <v>0</v>
      </c>
      <c r="CE73" s="168">
        <f t="shared" si="37"/>
        <v>0</v>
      </c>
      <c r="CF73" s="168">
        <f t="shared" si="37"/>
        <v>0</v>
      </c>
      <c r="CG73" s="168">
        <f t="shared" si="37"/>
        <v>0</v>
      </c>
      <c r="CH73" s="168">
        <f t="shared" si="37"/>
        <v>0</v>
      </c>
      <c r="CI73" s="168">
        <f t="shared" si="37"/>
        <v>0</v>
      </c>
      <c r="CJ73" s="168">
        <f t="shared" si="37"/>
        <v>0</v>
      </c>
      <c r="CK73" s="168">
        <f t="shared" si="37"/>
        <v>0</v>
      </c>
      <c r="CL73" s="168">
        <f t="shared" si="37"/>
        <v>0</v>
      </c>
      <c r="CM73" s="168">
        <f t="shared" si="37"/>
        <v>0</v>
      </c>
      <c r="CN73" s="168">
        <f t="shared" si="37"/>
        <v>0</v>
      </c>
      <c r="CO73" s="168">
        <f t="shared" si="37"/>
        <v>0</v>
      </c>
      <c r="CP73" s="168">
        <f t="shared" si="37"/>
        <v>0</v>
      </c>
      <c r="CQ73" s="168">
        <f t="shared" si="37"/>
        <v>0</v>
      </c>
      <c r="CR73" s="168">
        <f t="shared" si="37"/>
        <v>0</v>
      </c>
      <c r="CS73" s="168">
        <f t="shared" si="37"/>
        <v>0</v>
      </c>
      <c r="CT73" s="168">
        <f t="shared" si="37"/>
        <v>0</v>
      </c>
      <c r="CU73" s="168">
        <f t="shared" si="37"/>
        <v>0</v>
      </c>
      <c r="CV73" s="168">
        <f t="shared" si="37"/>
        <v>0</v>
      </c>
      <c r="CW73" s="168">
        <f t="shared" si="37"/>
        <v>0</v>
      </c>
      <c r="CX73" s="168">
        <f t="shared" si="37"/>
        <v>0</v>
      </c>
      <c r="CY73" s="168">
        <f t="shared" si="37"/>
        <v>0</v>
      </c>
      <c r="DC73" s="182" t="str">
        <f t="shared" si="41"/>
        <v>lot3</v>
      </c>
      <c r="DE73" s="168">
        <f t="shared" si="38"/>
        <v>0</v>
      </c>
      <c r="DF73" s="168">
        <f t="shared" si="38"/>
        <v>0</v>
      </c>
      <c r="DG73" s="168">
        <f t="shared" si="38"/>
        <v>0</v>
      </c>
      <c r="DH73" s="168">
        <f t="shared" si="38"/>
        <v>0</v>
      </c>
      <c r="DI73" s="168">
        <f t="shared" si="38"/>
        <v>0</v>
      </c>
      <c r="DJ73" s="168">
        <f t="shared" si="38"/>
        <v>0</v>
      </c>
      <c r="DK73" s="168">
        <f t="shared" si="38"/>
        <v>0</v>
      </c>
      <c r="DL73" s="168">
        <f t="shared" si="38"/>
        <v>0</v>
      </c>
      <c r="DM73" s="168">
        <f t="shared" si="38"/>
        <v>0</v>
      </c>
      <c r="DN73" s="168">
        <f t="shared" si="38"/>
        <v>0</v>
      </c>
      <c r="DO73" s="168">
        <f t="shared" si="38"/>
        <v>0</v>
      </c>
      <c r="DP73" s="168">
        <f t="shared" si="38"/>
        <v>0</v>
      </c>
      <c r="DQ73" s="168">
        <f t="shared" si="38"/>
        <v>0</v>
      </c>
      <c r="DR73" s="168">
        <f t="shared" si="38"/>
        <v>0</v>
      </c>
      <c r="DS73" s="168">
        <f t="shared" si="38"/>
        <v>0</v>
      </c>
      <c r="DT73" s="168">
        <f t="shared" si="38"/>
        <v>0</v>
      </c>
      <c r="DU73" s="168">
        <f t="shared" si="38"/>
        <v>0</v>
      </c>
      <c r="DV73" s="168">
        <f t="shared" si="38"/>
        <v>0</v>
      </c>
      <c r="DW73" s="168">
        <f t="shared" si="38"/>
        <v>0</v>
      </c>
      <c r="DX73" s="168">
        <f t="shared" si="38"/>
        <v>0</v>
      </c>
      <c r="DY73" s="168">
        <f t="shared" si="38"/>
        <v>0</v>
      </c>
      <c r="DZ73" s="168">
        <f t="shared" si="38"/>
        <v>0</v>
      </c>
      <c r="EA73" s="168">
        <f t="shared" si="38"/>
        <v>0</v>
      </c>
      <c r="EB73" s="168">
        <f t="shared" si="38"/>
        <v>0</v>
      </c>
    </row>
    <row r="74" spans="1:132" x14ac:dyDescent="0.25">
      <c r="A74" s="171" t="s">
        <v>794</v>
      </c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G74" s="5"/>
      <c r="AH74" s="5"/>
      <c r="AI74" s="5"/>
      <c r="AJ74" s="5"/>
      <c r="AK74" s="5"/>
      <c r="AL74" s="5"/>
      <c r="AM74" s="5"/>
      <c r="AN74" s="5"/>
      <c r="AR74" s="181" t="s">
        <v>730</v>
      </c>
      <c r="AT74" s="182" t="str">
        <f t="shared" si="39"/>
        <v>broutards</v>
      </c>
      <c r="AV74" s="168">
        <f t="shared" si="36"/>
        <v>23</v>
      </c>
      <c r="AW74" s="168">
        <f t="shared" si="36"/>
        <v>23</v>
      </c>
      <c r="AX74" s="168">
        <f t="shared" si="36"/>
        <v>23</v>
      </c>
      <c r="AY74" s="168">
        <f t="shared" si="36"/>
        <v>23</v>
      </c>
      <c r="AZ74" s="168">
        <f t="shared" si="36"/>
        <v>23</v>
      </c>
      <c r="BA74" s="168">
        <f t="shared" si="36"/>
        <v>23</v>
      </c>
      <c r="BB74" s="168">
        <f t="shared" si="36"/>
        <v>0</v>
      </c>
      <c r="BC74" s="168">
        <f t="shared" si="36"/>
        <v>0</v>
      </c>
      <c r="BD74" s="168">
        <f t="shared" si="36"/>
        <v>0</v>
      </c>
      <c r="BE74" s="168">
        <f t="shared" si="36"/>
        <v>0</v>
      </c>
      <c r="BF74" s="168">
        <f t="shared" si="36"/>
        <v>0</v>
      </c>
      <c r="BG74" s="168">
        <f t="shared" si="36"/>
        <v>0</v>
      </c>
      <c r="BH74" s="168">
        <f t="shared" si="36"/>
        <v>0</v>
      </c>
      <c r="BI74" s="168">
        <f t="shared" si="36"/>
        <v>0</v>
      </c>
      <c r="BJ74" s="168">
        <f t="shared" si="36"/>
        <v>0</v>
      </c>
      <c r="BK74" s="168">
        <f t="shared" si="36"/>
        <v>0</v>
      </c>
      <c r="BL74" s="168">
        <f t="shared" si="36"/>
        <v>0</v>
      </c>
      <c r="BM74" s="168">
        <f t="shared" si="36"/>
        <v>0</v>
      </c>
      <c r="BN74" s="168">
        <f t="shared" si="36"/>
        <v>0</v>
      </c>
      <c r="BO74" s="168">
        <f t="shared" si="36"/>
        <v>23</v>
      </c>
      <c r="BP74" s="168">
        <f t="shared" si="36"/>
        <v>23</v>
      </c>
      <c r="BQ74" s="168">
        <f t="shared" si="36"/>
        <v>23</v>
      </c>
      <c r="BR74" s="168">
        <f t="shared" si="36"/>
        <v>23</v>
      </c>
      <c r="BS74" s="168">
        <f t="shared" si="36"/>
        <v>23</v>
      </c>
      <c r="BZ74" s="182" t="str">
        <f t="shared" si="40"/>
        <v>lot4</v>
      </c>
      <c r="CB74" s="168">
        <f t="shared" si="37"/>
        <v>0</v>
      </c>
      <c r="CC74" s="168">
        <f t="shared" si="37"/>
        <v>0</v>
      </c>
      <c r="CD74" s="168">
        <f t="shared" si="37"/>
        <v>0</v>
      </c>
      <c r="CE74" s="168">
        <f t="shared" si="37"/>
        <v>0</v>
      </c>
      <c r="CF74" s="168">
        <f t="shared" si="37"/>
        <v>0</v>
      </c>
      <c r="CG74" s="168">
        <f t="shared" si="37"/>
        <v>0</v>
      </c>
      <c r="CH74" s="168">
        <f t="shared" si="37"/>
        <v>0</v>
      </c>
      <c r="CI74" s="168">
        <f t="shared" si="37"/>
        <v>0</v>
      </c>
      <c r="CJ74" s="168">
        <f t="shared" si="37"/>
        <v>0</v>
      </c>
      <c r="CK74" s="168">
        <f t="shared" si="37"/>
        <v>0</v>
      </c>
      <c r="CL74" s="168">
        <f t="shared" si="37"/>
        <v>0</v>
      </c>
      <c r="CM74" s="168">
        <f t="shared" si="37"/>
        <v>0</v>
      </c>
      <c r="CN74" s="168">
        <f t="shared" si="37"/>
        <v>0</v>
      </c>
      <c r="CO74" s="168">
        <f t="shared" si="37"/>
        <v>0</v>
      </c>
      <c r="CP74" s="168">
        <f t="shared" si="37"/>
        <v>0</v>
      </c>
      <c r="CQ74" s="168">
        <f t="shared" si="37"/>
        <v>0</v>
      </c>
      <c r="CR74" s="168">
        <f t="shared" si="37"/>
        <v>0</v>
      </c>
      <c r="CS74" s="168">
        <f t="shared" si="37"/>
        <v>0</v>
      </c>
      <c r="CT74" s="168">
        <f t="shared" si="37"/>
        <v>0</v>
      </c>
      <c r="CU74" s="168">
        <f t="shared" si="37"/>
        <v>0</v>
      </c>
      <c r="CV74" s="168">
        <f t="shared" si="37"/>
        <v>0</v>
      </c>
      <c r="CW74" s="168">
        <f t="shared" si="37"/>
        <v>0</v>
      </c>
      <c r="CX74" s="168">
        <f t="shared" si="37"/>
        <v>0</v>
      </c>
      <c r="CY74" s="168">
        <f t="shared" si="37"/>
        <v>0</v>
      </c>
      <c r="DC74" s="182" t="str">
        <f t="shared" si="41"/>
        <v>lot4</v>
      </c>
      <c r="DE74" s="168">
        <f t="shared" si="38"/>
        <v>0</v>
      </c>
      <c r="DF74" s="168">
        <f t="shared" si="38"/>
        <v>0</v>
      </c>
      <c r="DG74" s="168">
        <f t="shared" si="38"/>
        <v>0</v>
      </c>
      <c r="DH74" s="168">
        <f t="shared" si="38"/>
        <v>0</v>
      </c>
      <c r="DI74" s="168">
        <f t="shared" si="38"/>
        <v>0</v>
      </c>
      <c r="DJ74" s="168">
        <f t="shared" si="38"/>
        <v>0</v>
      </c>
      <c r="DK74" s="168">
        <f t="shared" si="38"/>
        <v>0</v>
      </c>
      <c r="DL74" s="168">
        <f t="shared" si="38"/>
        <v>0</v>
      </c>
      <c r="DM74" s="168">
        <f t="shared" si="38"/>
        <v>0</v>
      </c>
      <c r="DN74" s="168">
        <f t="shared" si="38"/>
        <v>0</v>
      </c>
      <c r="DO74" s="168">
        <f t="shared" si="38"/>
        <v>0</v>
      </c>
      <c r="DP74" s="168">
        <f t="shared" si="38"/>
        <v>0</v>
      </c>
      <c r="DQ74" s="168">
        <f t="shared" si="38"/>
        <v>0</v>
      </c>
      <c r="DR74" s="168">
        <f t="shared" si="38"/>
        <v>0</v>
      </c>
      <c r="DS74" s="168">
        <f t="shared" si="38"/>
        <v>0</v>
      </c>
      <c r="DT74" s="168">
        <f t="shared" si="38"/>
        <v>0</v>
      </c>
      <c r="DU74" s="168">
        <f t="shared" si="38"/>
        <v>0</v>
      </c>
      <c r="DV74" s="168">
        <f t="shared" si="38"/>
        <v>0</v>
      </c>
      <c r="DW74" s="168">
        <f t="shared" si="38"/>
        <v>0</v>
      </c>
      <c r="DX74" s="168">
        <f t="shared" si="38"/>
        <v>0</v>
      </c>
      <c r="DY74" s="168">
        <f t="shared" si="38"/>
        <v>0</v>
      </c>
      <c r="DZ74" s="168">
        <f t="shared" si="38"/>
        <v>0</v>
      </c>
      <c r="EA74" s="168">
        <f t="shared" si="38"/>
        <v>0</v>
      </c>
      <c r="EB74" s="168">
        <f t="shared" si="38"/>
        <v>0</v>
      </c>
    </row>
    <row r="75" spans="1:132" x14ac:dyDescent="0.25">
      <c r="A75" s="171" t="s">
        <v>1413</v>
      </c>
      <c r="F75" s="191">
        <f>IF(Protection!$AJ$8=0,0,SUM(G75:AD75))</f>
        <v>0</v>
      </c>
      <c r="G75" s="191">
        <f>IF(Protection!C195=0,0,[1]Protect!$B$9*Protection!C195*14)</f>
        <v>0</v>
      </c>
      <c r="H75" s="191">
        <f>IF(Protection!D195=0,0,[1]Protect!$B$9*Protection!D195*14)</f>
        <v>0</v>
      </c>
      <c r="I75" s="191">
        <f>IF(Protection!E195=0,0,[1]Protect!$B$9*Protection!E195*14)</f>
        <v>0</v>
      </c>
      <c r="J75" s="191">
        <f>IF(Protection!F195=0,0,[1]Protect!$B$9*Protection!F195*14)</f>
        <v>0</v>
      </c>
      <c r="K75" s="191">
        <f>IF(Protection!G195=0,0,[1]Protect!$B$9*Protection!G195*14)</f>
        <v>0</v>
      </c>
      <c r="L75" s="191">
        <f>IF(Protection!H195=0,0,[1]Protect!$B$9*Protection!H195*14)</f>
        <v>0</v>
      </c>
      <c r="M75" s="191">
        <f>IF(Protection!I195=0,0,[1]Protect!$B$9*Protection!I195*14)</f>
        <v>0</v>
      </c>
      <c r="N75" s="191">
        <f>IF(Protection!J195=0,0,[1]Protect!$B$9*Protection!J195*14)</f>
        <v>0</v>
      </c>
      <c r="O75" s="191">
        <f>IF(Protection!K195=0,0,[1]Protect!$B$9*Protection!K195*14)</f>
        <v>0</v>
      </c>
      <c r="P75" s="191">
        <f>IF(Protection!L195=0,0,[1]Protect!$B$9*Protection!L195*14)</f>
        <v>0</v>
      </c>
      <c r="Q75" s="191">
        <f>IF(Protection!M195=0,0,[1]Protect!$B$9*Protection!M195*14)</f>
        <v>0</v>
      </c>
      <c r="R75" s="191">
        <f>IF(Protection!N195=0,0,[1]Protect!$B$9*Protection!N195*14)</f>
        <v>0</v>
      </c>
      <c r="S75" s="191">
        <f>IF(Protection!O195=0,0,[1]Protect!$B$9*Protection!O195*14)</f>
        <v>0</v>
      </c>
      <c r="T75" s="191">
        <f>IF(Protection!P195=0,0,[1]Protect!$B$9*Protection!P195*14)</f>
        <v>0</v>
      </c>
      <c r="U75" s="191">
        <f>IF(Protection!Q195=0,0,[1]Protect!$B$9*Protection!Q195*14)</f>
        <v>0</v>
      </c>
      <c r="V75" s="191">
        <f>IF(Protection!R195=0,0,[1]Protect!$B$9*Protection!R195*14)</f>
        <v>0</v>
      </c>
      <c r="W75" s="191">
        <f>IF(Protection!S195=0,0,[1]Protect!$B$9*Protection!S195*14)</f>
        <v>0</v>
      </c>
      <c r="X75" s="191">
        <f>IF(Protection!T195=0,0,[1]Protect!$B$9*Protection!T195*14)</f>
        <v>0</v>
      </c>
      <c r="Y75" s="191">
        <f>IF(Protection!U195=0,0,[1]Protect!$B$9*Protection!U195*14)</f>
        <v>0</v>
      </c>
      <c r="Z75" s="191">
        <f>IF(Protection!V195=0,0,[1]Protect!$B$9*Protection!V195*14)</f>
        <v>0</v>
      </c>
      <c r="AA75" s="191">
        <f>IF(Protection!W195=0,0,[1]Protect!$B$9*Protection!W195*14)</f>
        <v>0</v>
      </c>
      <c r="AB75" s="191">
        <f>IF(Protection!X195=0,0,[1]Protect!$B$9*Protection!X195*14)</f>
        <v>0</v>
      </c>
      <c r="AC75" s="191">
        <f>IF(Protection!Y195=0,0,[1]Protect!$B$9*Protection!Y195*14)</f>
        <v>0</v>
      </c>
      <c r="AD75" s="191">
        <f>IF(Protection!Z195=0,0,[1]Protect!$B$9*Protection!Z195*14)</f>
        <v>0</v>
      </c>
      <c r="AF75" s="17"/>
      <c r="AG75" s="86"/>
      <c r="AH75" s="86"/>
      <c r="AI75" s="5"/>
      <c r="AJ75" s="5"/>
      <c r="AK75" s="5"/>
      <c r="AL75" s="5"/>
      <c r="AM75" s="5"/>
      <c r="AN75" s="5"/>
      <c r="AR75" s="181"/>
      <c r="AT75" s="182" t="str">
        <f t="shared" si="39"/>
        <v>génisses &lt; 1 an</v>
      </c>
      <c r="AV75" s="168">
        <f t="shared" si="36"/>
        <v>0</v>
      </c>
      <c r="AW75" s="168">
        <f t="shared" si="36"/>
        <v>0</v>
      </c>
      <c r="AX75" s="168">
        <f t="shared" si="36"/>
        <v>23</v>
      </c>
      <c r="AY75" s="168">
        <f t="shared" si="36"/>
        <v>23</v>
      </c>
      <c r="AZ75" s="168">
        <f t="shared" si="36"/>
        <v>23</v>
      </c>
      <c r="BA75" s="168">
        <f t="shared" si="36"/>
        <v>23</v>
      </c>
      <c r="BB75" s="168">
        <f t="shared" si="36"/>
        <v>23</v>
      </c>
      <c r="BC75" s="168">
        <f t="shared" si="36"/>
        <v>23</v>
      </c>
      <c r="BD75" s="168">
        <f t="shared" si="36"/>
        <v>23</v>
      </c>
      <c r="BE75" s="168">
        <f t="shared" si="36"/>
        <v>23</v>
      </c>
      <c r="BF75" s="168">
        <f t="shared" si="36"/>
        <v>23</v>
      </c>
      <c r="BG75" s="168">
        <f t="shared" si="36"/>
        <v>23</v>
      </c>
      <c r="BH75" s="168">
        <f t="shared" si="36"/>
        <v>23</v>
      </c>
      <c r="BI75" s="168">
        <f t="shared" si="36"/>
        <v>23</v>
      </c>
      <c r="BJ75" s="168">
        <f t="shared" si="36"/>
        <v>23</v>
      </c>
      <c r="BK75" s="168">
        <f t="shared" si="36"/>
        <v>23</v>
      </c>
      <c r="BL75" s="168">
        <f t="shared" si="36"/>
        <v>23</v>
      </c>
      <c r="BM75" s="168">
        <f t="shared" si="36"/>
        <v>23</v>
      </c>
      <c r="BN75" s="168">
        <f t="shared" si="36"/>
        <v>23</v>
      </c>
      <c r="BO75" s="168">
        <f t="shared" si="36"/>
        <v>23</v>
      </c>
      <c r="BP75" s="168">
        <f t="shared" si="36"/>
        <v>23</v>
      </c>
      <c r="BQ75" s="168">
        <f t="shared" si="36"/>
        <v>0</v>
      </c>
      <c r="BR75" s="168">
        <f t="shared" si="36"/>
        <v>0</v>
      </c>
      <c r="BS75" s="168">
        <f t="shared" si="36"/>
        <v>0</v>
      </c>
      <c r="BZ75" s="182" t="str">
        <f t="shared" si="40"/>
        <v>lot5</v>
      </c>
      <c r="CB75" s="168">
        <f t="shared" si="37"/>
        <v>0</v>
      </c>
      <c r="CC75" s="168">
        <f t="shared" si="37"/>
        <v>0</v>
      </c>
      <c r="CD75" s="168">
        <f t="shared" si="37"/>
        <v>0</v>
      </c>
      <c r="CE75" s="168">
        <f t="shared" si="37"/>
        <v>0</v>
      </c>
      <c r="CF75" s="168">
        <f t="shared" si="37"/>
        <v>0</v>
      </c>
      <c r="CG75" s="168">
        <f t="shared" si="37"/>
        <v>0</v>
      </c>
      <c r="CH75" s="168">
        <f t="shared" si="37"/>
        <v>0</v>
      </c>
      <c r="CI75" s="168">
        <f t="shared" si="37"/>
        <v>0</v>
      </c>
      <c r="CJ75" s="168">
        <f t="shared" si="37"/>
        <v>0</v>
      </c>
      <c r="CK75" s="168">
        <f t="shared" si="37"/>
        <v>0</v>
      </c>
      <c r="CL75" s="168">
        <f t="shared" si="37"/>
        <v>0</v>
      </c>
      <c r="CM75" s="168">
        <f t="shared" si="37"/>
        <v>0</v>
      </c>
      <c r="CN75" s="168">
        <f t="shared" si="37"/>
        <v>0</v>
      </c>
      <c r="CO75" s="168">
        <f t="shared" si="37"/>
        <v>0</v>
      </c>
      <c r="CP75" s="168">
        <f t="shared" si="37"/>
        <v>0</v>
      </c>
      <c r="CQ75" s="168">
        <f t="shared" si="37"/>
        <v>0</v>
      </c>
      <c r="CR75" s="168">
        <f t="shared" si="37"/>
        <v>0</v>
      </c>
      <c r="CS75" s="168">
        <f t="shared" si="37"/>
        <v>0</v>
      </c>
      <c r="CT75" s="168">
        <f t="shared" si="37"/>
        <v>0</v>
      </c>
      <c r="CU75" s="168">
        <f t="shared" si="37"/>
        <v>0</v>
      </c>
      <c r="CV75" s="168">
        <f t="shared" si="37"/>
        <v>0</v>
      </c>
      <c r="CW75" s="168">
        <f t="shared" si="37"/>
        <v>0</v>
      </c>
      <c r="CX75" s="168">
        <f t="shared" si="37"/>
        <v>0</v>
      </c>
      <c r="CY75" s="168">
        <f t="shared" si="37"/>
        <v>0</v>
      </c>
      <c r="DC75" s="182" t="str">
        <f t="shared" si="41"/>
        <v>lot5</v>
      </c>
      <c r="DE75" s="168">
        <f t="shared" si="38"/>
        <v>0</v>
      </c>
      <c r="DF75" s="168">
        <f t="shared" si="38"/>
        <v>0</v>
      </c>
      <c r="DG75" s="168">
        <f t="shared" si="38"/>
        <v>0</v>
      </c>
      <c r="DH75" s="168">
        <f t="shared" si="38"/>
        <v>0</v>
      </c>
      <c r="DI75" s="168">
        <f t="shared" si="38"/>
        <v>0</v>
      </c>
      <c r="DJ75" s="168">
        <f t="shared" si="38"/>
        <v>0</v>
      </c>
      <c r="DK75" s="168">
        <f t="shared" si="38"/>
        <v>0</v>
      </c>
      <c r="DL75" s="168">
        <f t="shared" si="38"/>
        <v>0</v>
      </c>
      <c r="DM75" s="168">
        <f t="shared" si="38"/>
        <v>0</v>
      </c>
      <c r="DN75" s="168">
        <f t="shared" si="38"/>
        <v>0</v>
      </c>
      <c r="DO75" s="168">
        <f t="shared" si="38"/>
        <v>0</v>
      </c>
      <c r="DP75" s="168">
        <f t="shared" si="38"/>
        <v>0</v>
      </c>
      <c r="DQ75" s="168">
        <f t="shared" si="38"/>
        <v>0</v>
      </c>
      <c r="DR75" s="168">
        <f t="shared" si="38"/>
        <v>0</v>
      </c>
      <c r="DS75" s="168">
        <f t="shared" si="38"/>
        <v>0</v>
      </c>
      <c r="DT75" s="168">
        <f t="shared" si="38"/>
        <v>0</v>
      </c>
      <c r="DU75" s="168">
        <f t="shared" si="38"/>
        <v>0</v>
      </c>
      <c r="DV75" s="168">
        <f t="shared" si="38"/>
        <v>0</v>
      </c>
      <c r="DW75" s="168">
        <f t="shared" si="38"/>
        <v>0</v>
      </c>
      <c r="DX75" s="168">
        <f t="shared" si="38"/>
        <v>0</v>
      </c>
      <c r="DY75" s="168">
        <f t="shared" si="38"/>
        <v>0</v>
      </c>
      <c r="DZ75" s="168">
        <f t="shared" si="38"/>
        <v>0</v>
      </c>
      <c r="EA75" s="168">
        <f t="shared" si="38"/>
        <v>0</v>
      </c>
      <c r="EB75" s="168">
        <f t="shared" si="38"/>
        <v>0</v>
      </c>
    </row>
    <row r="76" spans="1:132" x14ac:dyDescent="0.25">
      <c r="A76" s="171" t="s">
        <v>1414</v>
      </c>
      <c r="F76" s="191">
        <f>IF(Protection!$AJ$8=0,0,SUM(G76:AD76))</f>
        <v>0</v>
      </c>
      <c r="G76" s="191">
        <f>IF(Protection!C196=0,0,[1]Protect!$B$9*Protection!C196*14)</f>
        <v>0</v>
      </c>
      <c r="H76" s="191">
        <f>IF(Protection!D196=0,0,[1]Protect!$B$9*Protection!D196*14)</f>
        <v>0</v>
      </c>
      <c r="I76" s="191">
        <f>IF(Protection!E196=0,0,[1]Protect!$B$9*Protection!E196*14)</f>
        <v>0</v>
      </c>
      <c r="J76" s="191">
        <f>IF(Protection!F196=0,0,[1]Protect!$B$9*Protection!F196*14)</f>
        <v>0</v>
      </c>
      <c r="K76" s="191">
        <f>IF(Protection!G196=0,0,[1]Protect!$B$9*Protection!G196*14)</f>
        <v>0</v>
      </c>
      <c r="L76" s="191">
        <f>IF(Protection!H196=0,0,[1]Protect!$B$9*Protection!H196*14)</f>
        <v>0</v>
      </c>
      <c r="M76" s="191">
        <f>IF(Protection!I196=0,0,[1]Protect!$B$9*Protection!I196*14)</f>
        <v>0</v>
      </c>
      <c r="N76" s="191">
        <f>IF(Protection!J196=0,0,[1]Protect!$B$9*Protection!J196*14)</f>
        <v>0</v>
      </c>
      <c r="O76" s="191">
        <f>IF(Protection!K196=0,0,[1]Protect!$B$9*Protection!K196*14)</f>
        <v>0</v>
      </c>
      <c r="P76" s="191">
        <f>IF(Protection!L196=0,0,[1]Protect!$B$9*Protection!L196*14)</f>
        <v>0</v>
      </c>
      <c r="Q76" s="191">
        <f>IF(Protection!M196=0,0,[1]Protect!$B$9*Protection!M196*14)</f>
        <v>0</v>
      </c>
      <c r="R76" s="191">
        <f>IF(Protection!N196=0,0,[1]Protect!$B$9*Protection!N196*14)</f>
        <v>0</v>
      </c>
      <c r="S76" s="191">
        <f>IF(Protection!O196=0,0,[1]Protect!$B$9*Protection!O196*14)</f>
        <v>0</v>
      </c>
      <c r="T76" s="191">
        <f>IF(Protection!P196=0,0,[1]Protect!$B$9*Protection!P196*14)</f>
        <v>0</v>
      </c>
      <c r="U76" s="191">
        <f>IF(Protection!Q196=0,0,[1]Protect!$B$9*Protection!Q196*14)</f>
        <v>0</v>
      </c>
      <c r="V76" s="191">
        <f>IF(Protection!R196=0,0,[1]Protect!$B$9*Protection!R196*14)</f>
        <v>0</v>
      </c>
      <c r="W76" s="191">
        <f>IF(Protection!S196=0,0,[1]Protect!$B$9*Protection!S196*14)</f>
        <v>0</v>
      </c>
      <c r="X76" s="191">
        <f>IF(Protection!T196=0,0,[1]Protect!$B$9*Protection!T196*14)</f>
        <v>0</v>
      </c>
      <c r="Y76" s="191">
        <f>IF(Protection!U196=0,0,[1]Protect!$B$9*Protection!U196*14)</f>
        <v>0</v>
      </c>
      <c r="Z76" s="191">
        <f>IF(Protection!V196=0,0,[1]Protect!$B$9*Protection!V196*14)</f>
        <v>0</v>
      </c>
      <c r="AA76" s="191">
        <f>IF(Protection!W196=0,0,[1]Protect!$B$9*Protection!W196*14)</f>
        <v>0</v>
      </c>
      <c r="AB76" s="191">
        <f>IF(Protection!X196=0,0,[1]Protect!$B$9*Protection!X196*14)</f>
        <v>0</v>
      </c>
      <c r="AC76" s="191">
        <f>IF(Protection!Y196=0,0,[1]Protect!$B$9*Protection!Y196*14)</f>
        <v>0</v>
      </c>
      <c r="AD76" s="191">
        <f>IF(Protection!Z196=0,0,[1]Protect!$B$9*Protection!Z196*14)</f>
        <v>0</v>
      </c>
      <c r="AG76" s="5"/>
      <c r="AH76" s="5"/>
      <c r="AI76" s="5"/>
      <c r="AJ76" s="5"/>
      <c r="AK76" s="5"/>
      <c r="AL76" s="5"/>
      <c r="AM76" s="5"/>
      <c r="AN76" s="5"/>
      <c r="AR76" s="181" t="s">
        <v>730</v>
      </c>
      <c r="AT76" s="182" t="str">
        <f t="shared" si="39"/>
        <v>lot6</v>
      </c>
      <c r="AV76" s="168">
        <f t="shared" si="36"/>
        <v>0</v>
      </c>
      <c r="AW76" s="168">
        <f t="shared" si="36"/>
        <v>0</v>
      </c>
      <c r="AX76" s="168">
        <f t="shared" si="36"/>
        <v>0</v>
      </c>
      <c r="AY76" s="168">
        <f t="shared" si="36"/>
        <v>0</v>
      </c>
      <c r="AZ76" s="168">
        <f t="shared" si="36"/>
        <v>0</v>
      </c>
      <c r="BA76" s="168">
        <f t="shared" si="36"/>
        <v>0</v>
      </c>
      <c r="BB76" s="168">
        <f t="shared" si="36"/>
        <v>0</v>
      </c>
      <c r="BC76" s="168">
        <f t="shared" si="36"/>
        <v>0</v>
      </c>
      <c r="BD76" s="168">
        <f t="shared" si="36"/>
        <v>0</v>
      </c>
      <c r="BE76" s="168">
        <f t="shared" si="36"/>
        <v>0</v>
      </c>
      <c r="BF76" s="168">
        <f t="shared" si="36"/>
        <v>0</v>
      </c>
      <c r="BG76" s="168">
        <f t="shared" si="36"/>
        <v>0</v>
      </c>
      <c r="BH76" s="168">
        <f t="shared" si="36"/>
        <v>0</v>
      </c>
      <c r="BI76" s="168">
        <f t="shared" si="36"/>
        <v>0</v>
      </c>
      <c r="BJ76" s="168">
        <f t="shared" si="36"/>
        <v>0</v>
      </c>
      <c r="BK76" s="168">
        <f t="shared" si="36"/>
        <v>0</v>
      </c>
      <c r="BL76" s="168">
        <f t="shared" si="36"/>
        <v>0</v>
      </c>
      <c r="BM76" s="168">
        <f t="shared" si="36"/>
        <v>0</v>
      </c>
      <c r="BN76" s="168">
        <f t="shared" si="36"/>
        <v>0</v>
      </c>
      <c r="BO76" s="168">
        <f t="shared" si="36"/>
        <v>0</v>
      </c>
      <c r="BP76" s="168">
        <f t="shared" si="36"/>
        <v>0</v>
      </c>
      <c r="BQ76" s="168">
        <f t="shared" si="36"/>
        <v>0</v>
      </c>
      <c r="BR76" s="168">
        <f t="shared" si="36"/>
        <v>0</v>
      </c>
      <c r="BS76" s="168">
        <f t="shared" si="36"/>
        <v>0</v>
      </c>
      <c r="BZ76" s="182" t="str">
        <f t="shared" si="40"/>
        <v>lot6</v>
      </c>
      <c r="CB76" s="168">
        <f t="shared" si="37"/>
        <v>0</v>
      </c>
      <c r="CC76" s="168">
        <f t="shared" si="37"/>
        <v>0</v>
      </c>
      <c r="CD76" s="168">
        <f t="shared" si="37"/>
        <v>0</v>
      </c>
      <c r="CE76" s="168">
        <f t="shared" si="37"/>
        <v>0</v>
      </c>
      <c r="CF76" s="168">
        <f t="shared" si="37"/>
        <v>0</v>
      </c>
      <c r="CG76" s="168">
        <f t="shared" si="37"/>
        <v>0</v>
      </c>
      <c r="CH76" s="168">
        <f t="shared" si="37"/>
        <v>0</v>
      </c>
      <c r="CI76" s="168">
        <f t="shared" si="37"/>
        <v>0</v>
      </c>
      <c r="CJ76" s="168">
        <f t="shared" si="37"/>
        <v>0</v>
      </c>
      <c r="CK76" s="168">
        <f t="shared" si="37"/>
        <v>0</v>
      </c>
      <c r="CL76" s="168">
        <f t="shared" si="37"/>
        <v>0</v>
      </c>
      <c r="CM76" s="168">
        <f t="shared" si="37"/>
        <v>0</v>
      </c>
      <c r="CN76" s="168">
        <f t="shared" si="37"/>
        <v>0</v>
      </c>
      <c r="CO76" s="168">
        <f t="shared" si="37"/>
        <v>0</v>
      </c>
      <c r="CP76" s="168">
        <f t="shared" si="37"/>
        <v>0</v>
      </c>
      <c r="CQ76" s="168">
        <f t="shared" si="37"/>
        <v>0</v>
      </c>
      <c r="CR76" s="168">
        <f t="shared" si="37"/>
        <v>0</v>
      </c>
      <c r="CS76" s="168">
        <f t="shared" si="37"/>
        <v>0</v>
      </c>
      <c r="CT76" s="168">
        <f t="shared" si="37"/>
        <v>0</v>
      </c>
      <c r="CU76" s="168">
        <f t="shared" si="37"/>
        <v>0</v>
      </c>
      <c r="CV76" s="168">
        <f t="shared" si="37"/>
        <v>0</v>
      </c>
      <c r="CW76" s="168">
        <f t="shared" si="37"/>
        <v>0</v>
      </c>
      <c r="CX76" s="168">
        <f t="shared" si="37"/>
        <v>0</v>
      </c>
      <c r="CY76" s="168">
        <f t="shared" si="37"/>
        <v>0</v>
      </c>
      <c r="DC76" s="182" t="str">
        <f t="shared" si="41"/>
        <v>lot6</v>
      </c>
      <c r="DE76" s="168">
        <f t="shared" si="38"/>
        <v>0</v>
      </c>
      <c r="DF76" s="168">
        <f t="shared" si="38"/>
        <v>0</v>
      </c>
      <c r="DG76" s="168">
        <f t="shared" si="38"/>
        <v>0</v>
      </c>
      <c r="DH76" s="168">
        <f t="shared" si="38"/>
        <v>0</v>
      </c>
      <c r="DI76" s="168">
        <f t="shared" si="38"/>
        <v>0</v>
      </c>
      <c r="DJ76" s="168">
        <f t="shared" si="38"/>
        <v>0</v>
      </c>
      <c r="DK76" s="168">
        <f t="shared" si="38"/>
        <v>0</v>
      </c>
      <c r="DL76" s="168">
        <f t="shared" si="38"/>
        <v>0</v>
      </c>
      <c r="DM76" s="168">
        <f t="shared" si="38"/>
        <v>0</v>
      </c>
      <c r="DN76" s="168">
        <f t="shared" si="38"/>
        <v>0</v>
      </c>
      <c r="DO76" s="168">
        <f t="shared" si="38"/>
        <v>0</v>
      </c>
      <c r="DP76" s="168">
        <f t="shared" si="38"/>
        <v>0</v>
      </c>
      <c r="DQ76" s="168">
        <f t="shared" si="38"/>
        <v>0</v>
      </c>
      <c r="DR76" s="168">
        <f t="shared" si="38"/>
        <v>0</v>
      </c>
      <c r="DS76" s="168">
        <f t="shared" si="38"/>
        <v>0</v>
      </c>
      <c r="DT76" s="168">
        <f t="shared" si="38"/>
        <v>0</v>
      </c>
      <c r="DU76" s="168">
        <f t="shared" si="38"/>
        <v>0</v>
      </c>
      <c r="DV76" s="168">
        <f t="shared" si="38"/>
        <v>0</v>
      </c>
      <c r="DW76" s="168">
        <f t="shared" si="38"/>
        <v>0</v>
      </c>
      <c r="DX76" s="168">
        <f t="shared" si="38"/>
        <v>0</v>
      </c>
      <c r="DY76" s="168">
        <f t="shared" si="38"/>
        <v>0</v>
      </c>
      <c r="DZ76" s="168">
        <f t="shared" si="38"/>
        <v>0</v>
      </c>
      <c r="EA76" s="168">
        <f t="shared" si="38"/>
        <v>0</v>
      </c>
      <c r="EB76" s="168">
        <f t="shared" si="38"/>
        <v>0</v>
      </c>
    </row>
    <row r="77" spans="1:132" x14ac:dyDescent="0.25">
      <c r="F77" s="191">
        <f>IF(Protection!$AJ$8=0,0,SUM(G77:AD77))</f>
        <v>0</v>
      </c>
      <c r="G77" s="46">
        <f t="shared" ref="G77:AD77" si="43">+SUM(G69:G76)</f>
        <v>0</v>
      </c>
      <c r="H77" s="46">
        <f t="shared" si="43"/>
        <v>0</v>
      </c>
      <c r="I77" s="46">
        <f t="shared" si="43"/>
        <v>0</v>
      </c>
      <c r="J77" s="46">
        <f t="shared" si="43"/>
        <v>0</v>
      </c>
      <c r="K77" s="46">
        <f t="shared" si="43"/>
        <v>10</v>
      </c>
      <c r="L77" s="46">
        <f t="shared" si="43"/>
        <v>10</v>
      </c>
      <c r="M77" s="46">
        <f t="shared" si="43"/>
        <v>10</v>
      </c>
      <c r="N77" s="46">
        <f t="shared" si="43"/>
        <v>10</v>
      </c>
      <c r="O77" s="46">
        <f t="shared" si="43"/>
        <v>10</v>
      </c>
      <c r="P77" s="46">
        <f t="shared" si="43"/>
        <v>15</v>
      </c>
      <c r="Q77" s="46">
        <f t="shared" si="43"/>
        <v>15</v>
      </c>
      <c r="R77" s="46">
        <f t="shared" si="43"/>
        <v>15</v>
      </c>
      <c r="S77" s="46">
        <f t="shared" si="43"/>
        <v>15</v>
      </c>
      <c r="T77" s="46">
        <f t="shared" si="43"/>
        <v>15</v>
      </c>
      <c r="U77" s="46">
        <f t="shared" si="43"/>
        <v>15</v>
      </c>
      <c r="V77" s="46">
        <f t="shared" si="43"/>
        <v>15</v>
      </c>
      <c r="W77" s="46">
        <f t="shared" si="43"/>
        <v>15</v>
      </c>
      <c r="X77" s="46">
        <f t="shared" si="43"/>
        <v>15</v>
      </c>
      <c r="Y77" s="46">
        <f t="shared" si="43"/>
        <v>15</v>
      </c>
      <c r="Z77" s="46">
        <f t="shared" si="43"/>
        <v>15</v>
      </c>
      <c r="AA77" s="46">
        <f t="shared" si="43"/>
        <v>10</v>
      </c>
      <c r="AB77" s="46">
        <f t="shared" si="43"/>
        <v>0</v>
      </c>
      <c r="AC77" s="46">
        <f t="shared" si="43"/>
        <v>0</v>
      </c>
      <c r="AD77" s="46">
        <f t="shared" si="43"/>
        <v>0</v>
      </c>
      <c r="AG77" s="5"/>
      <c r="AH77" s="5"/>
      <c r="AI77" s="5"/>
      <c r="AJ77" s="5"/>
      <c r="AK77" s="5"/>
      <c r="AL77" s="5"/>
      <c r="AM77" s="5"/>
      <c r="AN77" s="5"/>
      <c r="AR77" s="181" t="s">
        <v>730</v>
      </c>
      <c r="AT77" s="182" t="str">
        <f t="shared" si="39"/>
        <v>lot7</v>
      </c>
      <c r="AV77" s="168">
        <f t="shared" si="36"/>
        <v>0</v>
      </c>
      <c r="AW77" s="168">
        <f t="shared" si="36"/>
        <v>0</v>
      </c>
      <c r="AX77" s="168">
        <f t="shared" si="36"/>
        <v>0</v>
      </c>
      <c r="AY77" s="168">
        <f t="shared" si="36"/>
        <v>0</v>
      </c>
      <c r="AZ77" s="168">
        <f t="shared" si="36"/>
        <v>0</v>
      </c>
      <c r="BA77" s="168">
        <f t="shared" si="36"/>
        <v>0</v>
      </c>
      <c r="BB77" s="168">
        <f t="shared" si="36"/>
        <v>0</v>
      </c>
      <c r="BC77" s="168">
        <f t="shared" si="36"/>
        <v>0</v>
      </c>
      <c r="BD77" s="168">
        <f t="shared" si="36"/>
        <v>0</v>
      </c>
      <c r="BE77" s="168">
        <f t="shared" si="36"/>
        <v>0</v>
      </c>
      <c r="BF77" s="168">
        <f t="shared" si="36"/>
        <v>0</v>
      </c>
      <c r="BG77" s="168">
        <f t="shared" si="36"/>
        <v>0</v>
      </c>
      <c r="BH77" s="168">
        <f t="shared" si="36"/>
        <v>0</v>
      </c>
      <c r="BI77" s="168">
        <f t="shared" si="36"/>
        <v>0</v>
      </c>
      <c r="BJ77" s="168">
        <f t="shared" si="36"/>
        <v>0</v>
      </c>
      <c r="BK77" s="168">
        <f t="shared" si="36"/>
        <v>0</v>
      </c>
      <c r="BL77" s="168">
        <f t="shared" si="36"/>
        <v>0</v>
      </c>
      <c r="BM77" s="168">
        <f t="shared" si="36"/>
        <v>0</v>
      </c>
      <c r="BN77" s="168">
        <f t="shared" si="36"/>
        <v>0</v>
      </c>
      <c r="BO77" s="168">
        <f t="shared" si="36"/>
        <v>0</v>
      </c>
      <c r="BP77" s="168">
        <f t="shared" si="36"/>
        <v>0</v>
      </c>
      <c r="BQ77" s="168">
        <f t="shared" si="36"/>
        <v>0</v>
      </c>
      <c r="BR77" s="168">
        <f t="shared" si="36"/>
        <v>0</v>
      </c>
      <c r="BS77" s="168">
        <f t="shared" si="36"/>
        <v>0</v>
      </c>
      <c r="BZ77" s="182" t="str">
        <f t="shared" si="40"/>
        <v>lot7</v>
      </c>
      <c r="CB77" s="168">
        <f t="shared" si="37"/>
        <v>0</v>
      </c>
      <c r="CC77" s="168">
        <f t="shared" si="37"/>
        <v>0</v>
      </c>
      <c r="CD77" s="168">
        <f t="shared" si="37"/>
        <v>0</v>
      </c>
      <c r="CE77" s="168">
        <f t="shared" si="37"/>
        <v>0</v>
      </c>
      <c r="CF77" s="168">
        <f t="shared" si="37"/>
        <v>0</v>
      </c>
      <c r="CG77" s="168">
        <f t="shared" si="37"/>
        <v>0</v>
      </c>
      <c r="CH77" s="168">
        <f t="shared" si="37"/>
        <v>0</v>
      </c>
      <c r="CI77" s="168">
        <f t="shared" si="37"/>
        <v>0</v>
      </c>
      <c r="CJ77" s="168">
        <f t="shared" si="37"/>
        <v>0</v>
      </c>
      <c r="CK77" s="168">
        <f t="shared" si="37"/>
        <v>0</v>
      </c>
      <c r="CL77" s="168">
        <f t="shared" si="37"/>
        <v>0</v>
      </c>
      <c r="CM77" s="168">
        <f t="shared" si="37"/>
        <v>0</v>
      </c>
      <c r="CN77" s="168">
        <f t="shared" si="37"/>
        <v>0</v>
      </c>
      <c r="CO77" s="168">
        <f t="shared" si="37"/>
        <v>0</v>
      </c>
      <c r="CP77" s="168">
        <f t="shared" si="37"/>
        <v>0</v>
      </c>
      <c r="CQ77" s="168">
        <f t="shared" si="37"/>
        <v>0</v>
      </c>
      <c r="CR77" s="168">
        <f t="shared" si="37"/>
        <v>0</v>
      </c>
      <c r="CS77" s="168">
        <f t="shared" si="37"/>
        <v>0</v>
      </c>
      <c r="CT77" s="168">
        <f t="shared" si="37"/>
        <v>0</v>
      </c>
      <c r="CU77" s="168">
        <f t="shared" si="37"/>
        <v>0</v>
      </c>
      <c r="CV77" s="168">
        <f t="shared" si="37"/>
        <v>0</v>
      </c>
      <c r="CW77" s="168">
        <f t="shared" si="37"/>
        <v>0</v>
      </c>
      <c r="CX77" s="168">
        <f t="shared" si="37"/>
        <v>0</v>
      </c>
      <c r="CY77" s="168">
        <f t="shared" si="37"/>
        <v>0</v>
      </c>
      <c r="DC77" s="182" t="str">
        <f t="shared" si="41"/>
        <v>lot7</v>
      </c>
      <c r="DE77" s="168">
        <f t="shared" si="38"/>
        <v>0</v>
      </c>
      <c r="DF77" s="168">
        <f t="shared" si="38"/>
        <v>0</v>
      </c>
      <c r="DG77" s="168">
        <f t="shared" si="38"/>
        <v>0</v>
      </c>
      <c r="DH77" s="168">
        <f t="shared" si="38"/>
        <v>0</v>
      </c>
      <c r="DI77" s="168">
        <f t="shared" si="38"/>
        <v>0</v>
      </c>
      <c r="DJ77" s="168">
        <f t="shared" si="38"/>
        <v>0</v>
      </c>
      <c r="DK77" s="168">
        <f t="shared" si="38"/>
        <v>0</v>
      </c>
      <c r="DL77" s="168">
        <f t="shared" si="38"/>
        <v>0</v>
      </c>
      <c r="DM77" s="168">
        <f t="shared" si="38"/>
        <v>0</v>
      </c>
      <c r="DN77" s="168">
        <f t="shared" si="38"/>
        <v>0</v>
      </c>
      <c r="DO77" s="168">
        <f t="shared" si="38"/>
        <v>0</v>
      </c>
      <c r="DP77" s="168">
        <f t="shared" si="38"/>
        <v>0</v>
      </c>
      <c r="DQ77" s="168">
        <f t="shared" si="38"/>
        <v>0</v>
      </c>
      <c r="DR77" s="168">
        <f t="shared" si="38"/>
        <v>0</v>
      </c>
      <c r="DS77" s="168">
        <f t="shared" si="38"/>
        <v>0</v>
      </c>
      <c r="DT77" s="168">
        <f t="shared" si="38"/>
        <v>0</v>
      </c>
      <c r="DU77" s="168">
        <f t="shared" si="38"/>
        <v>0</v>
      </c>
      <c r="DV77" s="168">
        <f t="shared" si="38"/>
        <v>0</v>
      </c>
      <c r="DW77" s="168">
        <f t="shared" si="38"/>
        <v>0</v>
      </c>
      <c r="DX77" s="168">
        <f t="shared" si="38"/>
        <v>0</v>
      </c>
      <c r="DY77" s="168">
        <f t="shared" si="38"/>
        <v>0</v>
      </c>
      <c r="DZ77" s="168">
        <f t="shared" si="38"/>
        <v>0</v>
      </c>
      <c r="EA77" s="168">
        <f t="shared" si="38"/>
        <v>0</v>
      </c>
      <c r="EB77" s="168">
        <f t="shared" si="38"/>
        <v>0</v>
      </c>
    </row>
    <row r="78" spans="1:132" x14ac:dyDescent="0.25">
      <c r="A78" s="165"/>
      <c r="B78" s="165"/>
      <c r="F78"/>
      <c r="AG78" s="192"/>
      <c r="AH78" s="5"/>
      <c r="AI78" s="5"/>
      <c r="AJ78" s="5"/>
      <c r="AK78" s="5"/>
      <c r="AL78" s="5"/>
      <c r="AM78" s="5"/>
      <c r="AN78" s="5"/>
      <c r="AR78" s="181" t="s">
        <v>730</v>
      </c>
      <c r="AT78" s="182" t="str">
        <f t="shared" si="39"/>
        <v>lot8</v>
      </c>
      <c r="AV78" s="168">
        <f t="shared" si="36"/>
        <v>0</v>
      </c>
      <c r="AW78" s="168">
        <f t="shared" si="36"/>
        <v>0</v>
      </c>
      <c r="AX78" s="168">
        <f t="shared" si="36"/>
        <v>0</v>
      </c>
      <c r="AY78" s="168">
        <f t="shared" si="36"/>
        <v>0</v>
      </c>
      <c r="AZ78" s="168">
        <f t="shared" si="36"/>
        <v>0</v>
      </c>
      <c r="BA78" s="168">
        <f t="shared" si="36"/>
        <v>0</v>
      </c>
      <c r="BB78" s="168">
        <f t="shared" si="36"/>
        <v>0</v>
      </c>
      <c r="BC78" s="168">
        <f t="shared" si="36"/>
        <v>0</v>
      </c>
      <c r="BD78" s="168">
        <f t="shared" si="36"/>
        <v>0</v>
      </c>
      <c r="BE78" s="168">
        <f t="shared" si="36"/>
        <v>0</v>
      </c>
      <c r="BF78" s="168">
        <f t="shared" si="36"/>
        <v>0</v>
      </c>
      <c r="BG78" s="168">
        <f t="shared" si="36"/>
        <v>0</v>
      </c>
      <c r="BH78" s="168">
        <f t="shared" si="36"/>
        <v>0</v>
      </c>
      <c r="BI78" s="168">
        <f t="shared" si="36"/>
        <v>0</v>
      </c>
      <c r="BJ78" s="168">
        <f t="shared" si="36"/>
        <v>0</v>
      </c>
      <c r="BK78" s="168">
        <f t="shared" si="36"/>
        <v>0</v>
      </c>
      <c r="BL78" s="168">
        <f t="shared" si="36"/>
        <v>0</v>
      </c>
      <c r="BM78" s="168">
        <f t="shared" si="36"/>
        <v>0</v>
      </c>
      <c r="BN78" s="168">
        <f t="shared" si="36"/>
        <v>0</v>
      </c>
      <c r="BO78" s="168">
        <f t="shared" si="36"/>
        <v>0</v>
      </c>
      <c r="BP78" s="168">
        <f t="shared" si="36"/>
        <v>0</v>
      </c>
      <c r="BQ78" s="168">
        <f t="shared" si="36"/>
        <v>0</v>
      </c>
      <c r="BR78" s="168">
        <f t="shared" si="36"/>
        <v>0</v>
      </c>
      <c r="BS78" s="168">
        <f t="shared" si="36"/>
        <v>0</v>
      </c>
      <c r="BZ78" s="182" t="str">
        <f t="shared" si="40"/>
        <v>lot8</v>
      </c>
      <c r="CB78" s="168">
        <f t="shared" si="37"/>
        <v>0</v>
      </c>
      <c r="CC78" s="168">
        <f t="shared" si="37"/>
        <v>0</v>
      </c>
      <c r="CD78" s="168">
        <f t="shared" si="37"/>
        <v>0</v>
      </c>
      <c r="CE78" s="168">
        <f t="shared" si="37"/>
        <v>0</v>
      </c>
      <c r="CF78" s="168">
        <f t="shared" si="37"/>
        <v>0</v>
      </c>
      <c r="CG78" s="168">
        <f t="shared" si="37"/>
        <v>0</v>
      </c>
      <c r="CH78" s="168">
        <f t="shared" si="37"/>
        <v>0</v>
      </c>
      <c r="CI78" s="168">
        <f t="shared" si="37"/>
        <v>0</v>
      </c>
      <c r="CJ78" s="168">
        <f t="shared" si="37"/>
        <v>0</v>
      </c>
      <c r="CK78" s="168">
        <f t="shared" si="37"/>
        <v>0</v>
      </c>
      <c r="CL78" s="168">
        <f t="shared" si="37"/>
        <v>0</v>
      </c>
      <c r="CM78" s="168">
        <f t="shared" si="37"/>
        <v>0</v>
      </c>
      <c r="CN78" s="168">
        <f t="shared" si="37"/>
        <v>0</v>
      </c>
      <c r="CO78" s="168">
        <f t="shared" si="37"/>
        <v>0</v>
      </c>
      <c r="CP78" s="168">
        <f t="shared" si="37"/>
        <v>0</v>
      </c>
      <c r="CQ78" s="168">
        <f t="shared" si="37"/>
        <v>0</v>
      </c>
      <c r="CR78" s="168">
        <f t="shared" si="37"/>
        <v>0</v>
      </c>
      <c r="CS78" s="168">
        <f t="shared" si="37"/>
        <v>0</v>
      </c>
      <c r="CT78" s="168">
        <f t="shared" si="37"/>
        <v>0</v>
      </c>
      <c r="CU78" s="168">
        <f t="shared" si="37"/>
        <v>0</v>
      </c>
      <c r="CV78" s="168">
        <f t="shared" si="37"/>
        <v>0</v>
      </c>
      <c r="CW78" s="168">
        <f t="shared" si="37"/>
        <v>0</v>
      </c>
      <c r="CX78" s="168">
        <f t="shared" si="37"/>
        <v>0</v>
      </c>
      <c r="CY78" s="168">
        <f t="shared" si="37"/>
        <v>0</v>
      </c>
      <c r="DC78" s="182" t="str">
        <f t="shared" si="41"/>
        <v>lot8</v>
      </c>
      <c r="DE78" s="168">
        <f t="shared" si="38"/>
        <v>0</v>
      </c>
      <c r="DF78" s="168">
        <f t="shared" si="38"/>
        <v>0</v>
      </c>
      <c r="DG78" s="168">
        <f t="shared" si="38"/>
        <v>0</v>
      </c>
      <c r="DH78" s="168">
        <f t="shared" si="38"/>
        <v>0</v>
      </c>
      <c r="DI78" s="168">
        <f t="shared" si="38"/>
        <v>0</v>
      </c>
      <c r="DJ78" s="168">
        <f t="shared" si="38"/>
        <v>0</v>
      </c>
      <c r="DK78" s="168">
        <f t="shared" si="38"/>
        <v>0</v>
      </c>
      <c r="DL78" s="168">
        <f t="shared" si="38"/>
        <v>0</v>
      </c>
      <c r="DM78" s="168">
        <f t="shared" si="38"/>
        <v>0</v>
      </c>
      <c r="DN78" s="168">
        <f t="shared" si="38"/>
        <v>0</v>
      </c>
      <c r="DO78" s="168">
        <f t="shared" si="38"/>
        <v>0</v>
      </c>
      <c r="DP78" s="168">
        <f t="shared" si="38"/>
        <v>0</v>
      </c>
      <c r="DQ78" s="168">
        <f t="shared" si="38"/>
        <v>0</v>
      </c>
      <c r="DR78" s="168">
        <f t="shared" si="38"/>
        <v>0</v>
      </c>
      <c r="DS78" s="168">
        <f t="shared" si="38"/>
        <v>0</v>
      </c>
      <c r="DT78" s="168">
        <f t="shared" si="38"/>
        <v>0</v>
      </c>
      <c r="DU78" s="168">
        <f t="shared" si="38"/>
        <v>0</v>
      </c>
      <c r="DV78" s="168">
        <f t="shared" si="38"/>
        <v>0</v>
      </c>
      <c r="DW78" s="168">
        <f t="shared" si="38"/>
        <v>0</v>
      </c>
      <c r="DX78" s="168">
        <f t="shared" si="38"/>
        <v>0</v>
      </c>
      <c r="DY78" s="168">
        <f t="shared" si="38"/>
        <v>0</v>
      </c>
      <c r="DZ78" s="168">
        <f t="shared" si="38"/>
        <v>0</v>
      </c>
      <c r="EA78" s="168">
        <f t="shared" si="38"/>
        <v>0</v>
      </c>
      <c r="EB78" s="168">
        <f t="shared" si="38"/>
        <v>0</v>
      </c>
    </row>
    <row r="79" spans="1:132" x14ac:dyDescent="0.25">
      <c r="A79" s="165"/>
      <c r="B79" s="165" t="s">
        <v>795</v>
      </c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G79" s="192"/>
      <c r="AH79" s="5"/>
      <c r="AI79" s="5"/>
      <c r="AJ79" s="5"/>
      <c r="AK79" s="5"/>
      <c r="AL79" s="5"/>
      <c r="AM79" s="5"/>
      <c r="AN79" s="5"/>
      <c r="AR79" s="181" t="s">
        <v>730</v>
      </c>
      <c r="AT79" s="182" t="str">
        <f t="shared" si="39"/>
        <v>lot9</v>
      </c>
      <c r="AV79" s="168">
        <f t="shared" si="36"/>
        <v>0</v>
      </c>
      <c r="AW79" s="168">
        <f t="shared" si="36"/>
        <v>0</v>
      </c>
      <c r="AX79" s="168">
        <f t="shared" si="36"/>
        <v>0</v>
      </c>
      <c r="AY79" s="168">
        <f t="shared" si="36"/>
        <v>0</v>
      </c>
      <c r="AZ79" s="168">
        <f t="shared" si="36"/>
        <v>0</v>
      </c>
      <c r="BA79" s="168">
        <f t="shared" si="36"/>
        <v>0</v>
      </c>
      <c r="BB79" s="168">
        <f t="shared" si="36"/>
        <v>0</v>
      </c>
      <c r="BC79" s="168">
        <f t="shared" si="36"/>
        <v>0</v>
      </c>
      <c r="BD79" s="168">
        <f t="shared" si="36"/>
        <v>0</v>
      </c>
      <c r="BE79" s="168">
        <f t="shared" si="36"/>
        <v>0</v>
      </c>
      <c r="BF79" s="168">
        <f t="shared" si="36"/>
        <v>0</v>
      </c>
      <c r="BG79" s="168">
        <f t="shared" si="36"/>
        <v>0</v>
      </c>
      <c r="BH79" s="168">
        <f t="shared" si="36"/>
        <v>0</v>
      </c>
      <c r="BI79" s="168">
        <f t="shared" si="36"/>
        <v>0</v>
      </c>
      <c r="BJ79" s="168">
        <f t="shared" si="36"/>
        <v>0</v>
      </c>
      <c r="BK79" s="168">
        <f t="shared" si="36"/>
        <v>0</v>
      </c>
      <c r="BL79" s="168">
        <f t="shared" si="36"/>
        <v>0</v>
      </c>
      <c r="BM79" s="168">
        <f t="shared" si="36"/>
        <v>0</v>
      </c>
      <c r="BN79" s="168">
        <f t="shared" si="36"/>
        <v>0</v>
      </c>
      <c r="BO79" s="168">
        <f t="shared" si="36"/>
        <v>0</v>
      </c>
      <c r="BP79" s="168">
        <f t="shared" si="36"/>
        <v>0</v>
      </c>
      <c r="BQ79" s="168">
        <f t="shared" si="36"/>
        <v>0</v>
      </c>
      <c r="BR79" s="168">
        <f t="shared" si="36"/>
        <v>0</v>
      </c>
      <c r="BS79" s="168">
        <f t="shared" si="36"/>
        <v>0</v>
      </c>
      <c r="BZ79" s="182" t="str">
        <f t="shared" si="40"/>
        <v>lot9</v>
      </c>
      <c r="CB79" s="168">
        <f t="shared" si="37"/>
        <v>0</v>
      </c>
      <c r="CC79" s="168">
        <f t="shared" si="37"/>
        <v>0</v>
      </c>
      <c r="CD79" s="168">
        <f t="shared" si="37"/>
        <v>0</v>
      </c>
      <c r="CE79" s="168">
        <f t="shared" si="37"/>
        <v>0</v>
      </c>
      <c r="CF79" s="168">
        <f t="shared" si="37"/>
        <v>0</v>
      </c>
      <c r="CG79" s="168">
        <f t="shared" si="37"/>
        <v>0</v>
      </c>
      <c r="CH79" s="168">
        <f t="shared" si="37"/>
        <v>0</v>
      </c>
      <c r="CI79" s="168">
        <f t="shared" si="37"/>
        <v>0</v>
      </c>
      <c r="CJ79" s="168">
        <f t="shared" si="37"/>
        <v>0</v>
      </c>
      <c r="CK79" s="168">
        <f t="shared" si="37"/>
        <v>0</v>
      </c>
      <c r="CL79" s="168">
        <f t="shared" si="37"/>
        <v>0</v>
      </c>
      <c r="CM79" s="168">
        <f t="shared" si="37"/>
        <v>0</v>
      </c>
      <c r="CN79" s="168">
        <f t="shared" si="37"/>
        <v>0</v>
      </c>
      <c r="CO79" s="168">
        <f t="shared" si="37"/>
        <v>0</v>
      </c>
      <c r="CP79" s="168">
        <f t="shared" si="37"/>
        <v>0</v>
      </c>
      <c r="CQ79" s="168">
        <f t="shared" si="37"/>
        <v>0</v>
      </c>
      <c r="CR79" s="168">
        <f t="shared" si="37"/>
        <v>0</v>
      </c>
      <c r="CS79" s="168">
        <f t="shared" si="37"/>
        <v>0</v>
      </c>
      <c r="CT79" s="168">
        <f t="shared" si="37"/>
        <v>0</v>
      </c>
      <c r="CU79" s="168">
        <f t="shared" si="37"/>
        <v>0</v>
      </c>
      <c r="CV79" s="168">
        <f t="shared" si="37"/>
        <v>0</v>
      </c>
      <c r="CW79" s="168">
        <f t="shared" si="37"/>
        <v>0</v>
      </c>
      <c r="CX79" s="168">
        <f t="shared" si="37"/>
        <v>0</v>
      </c>
      <c r="CY79" s="168">
        <f t="shared" si="37"/>
        <v>0</v>
      </c>
      <c r="DC79" s="182" t="str">
        <f t="shared" si="41"/>
        <v>lot9</v>
      </c>
      <c r="DE79" s="168">
        <f t="shared" si="38"/>
        <v>0</v>
      </c>
      <c r="DF79" s="168">
        <f t="shared" si="38"/>
        <v>0</v>
      </c>
      <c r="DG79" s="168">
        <f t="shared" si="38"/>
        <v>0</v>
      </c>
      <c r="DH79" s="168">
        <f t="shared" si="38"/>
        <v>0</v>
      </c>
      <c r="DI79" s="168">
        <f t="shared" si="38"/>
        <v>0</v>
      </c>
      <c r="DJ79" s="168">
        <f t="shared" si="38"/>
        <v>0</v>
      </c>
      <c r="DK79" s="168">
        <f t="shared" si="38"/>
        <v>0</v>
      </c>
      <c r="DL79" s="168">
        <f t="shared" si="38"/>
        <v>0</v>
      </c>
      <c r="DM79" s="168">
        <f t="shared" si="38"/>
        <v>0</v>
      </c>
      <c r="DN79" s="168">
        <f t="shared" si="38"/>
        <v>0</v>
      </c>
      <c r="DO79" s="168">
        <f t="shared" si="38"/>
        <v>0</v>
      </c>
      <c r="DP79" s="168">
        <f t="shared" si="38"/>
        <v>0</v>
      </c>
      <c r="DQ79" s="168">
        <f t="shared" si="38"/>
        <v>0</v>
      </c>
      <c r="DR79" s="168">
        <f t="shared" si="38"/>
        <v>0</v>
      </c>
      <c r="DS79" s="168">
        <f t="shared" si="38"/>
        <v>0</v>
      </c>
      <c r="DT79" s="168">
        <f t="shared" si="38"/>
        <v>0</v>
      </c>
      <c r="DU79" s="168">
        <f t="shared" si="38"/>
        <v>0</v>
      </c>
      <c r="DV79" s="168">
        <f t="shared" si="38"/>
        <v>0</v>
      </c>
      <c r="DW79" s="168">
        <f t="shared" si="38"/>
        <v>0</v>
      </c>
      <c r="DX79" s="168">
        <f t="shared" si="38"/>
        <v>0</v>
      </c>
      <c r="DY79" s="168">
        <f t="shared" si="38"/>
        <v>0</v>
      </c>
      <c r="DZ79" s="168">
        <f t="shared" si="38"/>
        <v>0</v>
      </c>
      <c r="EA79" s="168">
        <f t="shared" si="38"/>
        <v>0</v>
      </c>
      <c r="EB79" s="168">
        <f t="shared" si="38"/>
        <v>0</v>
      </c>
    </row>
    <row r="80" spans="1:132" x14ac:dyDescent="0.25">
      <c r="A80" s="23" t="s">
        <v>796</v>
      </c>
      <c r="B80" s="165" t="s">
        <v>797</v>
      </c>
      <c r="C80" s="165" t="s">
        <v>798</v>
      </c>
      <c r="D80" s="166"/>
      <c r="E80" s="166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G80" s="5"/>
      <c r="AH80" s="5"/>
      <c r="AI80" s="5"/>
      <c r="AJ80" s="5"/>
      <c r="AK80" s="5"/>
      <c r="AL80" s="5"/>
      <c r="AM80" s="5"/>
      <c r="AN80" s="5"/>
      <c r="AR80" s="181" t="s">
        <v>730</v>
      </c>
      <c r="AT80" s="182" t="str">
        <f t="shared" si="39"/>
        <v>lot10</v>
      </c>
      <c r="AV80" s="168">
        <f t="shared" si="36"/>
        <v>0</v>
      </c>
      <c r="AW80" s="168">
        <f t="shared" si="36"/>
        <v>0</v>
      </c>
      <c r="AX80" s="168">
        <f t="shared" si="36"/>
        <v>0</v>
      </c>
      <c r="AY80" s="168">
        <f t="shared" si="36"/>
        <v>0</v>
      </c>
      <c r="AZ80" s="168">
        <f t="shared" si="36"/>
        <v>0</v>
      </c>
      <c r="BA80" s="168">
        <f t="shared" si="36"/>
        <v>0</v>
      </c>
      <c r="BB80" s="168">
        <f t="shared" si="36"/>
        <v>0</v>
      </c>
      <c r="BC80" s="168">
        <f t="shared" si="36"/>
        <v>0</v>
      </c>
      <c r="BD80" s="168">
        <f t="shared" si="36"/>
        <v>0</v>
      </c>
      <c r="BE80" s="168">
        <f t="shared" si="36"/>
        <v>0</v>
      </c>
      <c r="BF80" s="168">
        <f t="shared" si="36"/>
        <v>0</v>
      </c>
      <c r="BG80" s="168">
        <f t="shared" si="36"/>
        <v>0</v>
      </c>
      <c r="BH80" s="168">
        <f t="shared" si="36"/>
        <v>0</v>
      </c>
      <c r="BI80" s="168">
        <f t="shared" si="36"/>
        <v>0</v>
      </c>
      <c r="BJ80" s="168">
        <f t="shared" si="36"/>
        <v>0</v>
      </c>
      <c r="BK80" s="168">
        <f t="shared" si="36"/>
        <v>0</v>
      </c>
      <c r="BL80" s="168">
        <f t="shared" si="36"/>
        <v>0</v>
      </c>
      <c r="BM80" s="168">
        <f t="shared" si="36"/>
        <v>0</v>
      </c>
      <c r="BN80" s="168">
        <f t="shared" si="36"/>
        <v>0</v>
      </c>
      <c r="BO80" s="168">
        <f t="shared" si="36"/>
        <v>0</v>
      </c>
      <c r="BP80" s="168">
        <f t="shared" si="36"/>
        <v>0</v>
      </c>
      <c r="BQ80" s="168">
        <f t="shared" si="36"/>
        <v>0</v>
      </c>
      <c r="BR80" s="168">
        <f t="shared" si="36"/>
        <v>0</v>
      </c>
      <c r="BS80" s="168">
        <f t="shared" si="36"/>
        <v>0</v>
      </c>
      <c r="BZ80" s="182" t="str">
        <f t="shared" si="40"/>
        <v>lot10</v>
      </c>
      <c r="CB80" s="168">
        <f t="shared" si="37"/>
        <v>0</v>
      </c>
      <c r="CC80" s="168">
        <f t="shared" si="37"/>
        <v>0</v>
      </c>
      <c r="CD80" s="168">
        <f t="shared" si="37"/>
        <v>0</v>
      </c>
      <c r="CE80" s="168">
        <f t="shared" si="37"/>
        <v>0</v>
      </c>
      <c r="CF80" s="168">
        <f t="shared" si="37"/>
        <v>0</v>
      </c>
      <c r="CG80" s="168">
        <f t="shared" si="37"/>
        <v>0</v>
      </c>
      <c r="CH80" s="168">
        <f t="shared" si="37"/>
        <v>0</v>
      </c>
      <c r="CI80" s="168">
        <f t="shared" si="37"/>
        <v>0</v>
      </c>
      <c r="CJ80" s="168">
        <f t="shared" si="37"/>
        <v>0</v>
      </c>
      <c r="CK80" s="168">
        <f t="shared" si="37"/>
        <v>0</v>
      </c>
      <c r="CL80" s="168">
        <f t="shared" si="37"/>
        <v>0</v>
      </c>
      <c r="CM80" s="168">
        <f t="shared" si="37"/>
        <v>0</v>
      </c>
      <c r="CN80" s="168">
        <f t="shared" si="37"/>
        <v>0</v>
      </c>
      <c r="CO80" s="168">
        <f t="shared" si="37"/>
        <v>0</v>
      </c>
      <c r="CP80" s="168">
        <f t="shared" si="37"/>
        <v>0</v>
      </c>
      <c r="CQ80" s="168">
        <f t="shared" si="37"/>
        <v>0</v>
      </c>
      <c r="CR80" s="168">
        <f t="shared" si="37"/>
        <v>0</v>
      </c>
      <c r="CS80" s="168">
        <f t="shared" si="37"/>
        <v>0</v>
      </c>
      <c r="CT80" s="168">
        <f t="shared" si="37"/>
        <v>0</v>
      </c>
      <c r="CU80" s="168">
        <f t="shared" si="37"/>
        <v>0</v>
      </c>
      <c r="CV80" s="168">
        <f t="shared" si="37"/>
        <v>0</v>
      </c>
      <c r="CW80" s="168">
        <f t="shared" si="37"/>
        <v>0</v>
      </c>
      <c r="CX80" s="168">
        <f t="shared" si="37"/>
        <v>0</v>
      </c>
      <c r="CY80" s="168">
        <f t="shared" si="37"/>
        <v>0</v>
      </c>
      <c r="DC80" s="182" t="str">
        <f t="shared" si="41"/>
        <v>lot10</v>
      </c>
      <c r="DE80" s="168">
        <f t="shared" si="38"/>
        <v>0</v>
      </c>
      <c r="DF80" s="168">
        <f t="shared" si="38"/>
        <v>0</v>
      </c>
      <c r="DG80" s="168">
        <f t="shared" si="38"/>
        <v>0</v>
      </c>
      <c r="DH80" s="168">
        <f t="shared" si="38"/>
        <v>0</v>
      </c>
      <c r="DI80" s="168">
        <f t="shared" si="38"/>
        <v>0</v>
      </c>
      <c r="DJ80" s="168">
        <f t="shared" si="38"/>
        <v>0</v>
      </c>
      <c r="DK80" s="168">
        <f t="shared" si="38"/>
        <v>0</v>
      </c>
      <c r="DL80" s="168">
        <f t="shared" si="38"/>
        <v>0</v>
      </c>
      <c r="DM80" s="168">
        <f t="shared" si="38"/>
        <v>0</v>
      </c>
      <c r="DN80" s="168">
        <f t="shared" si="38"/>
        <v>0</v>
      </c>
      <c r="DO80" s="168">
        <f t="shared" si="38"/>
        <v>0</v>
      </c>
      <c r="DP80" s="168">
        <f t="shared" si="38"/>
        <v>0</v>
      </c>
      <c r="DQ80" s="168">
        <f t="shared" si="38"/>
        <v>0</v>
      </c>
      <c r="DR80" s="168">
        <f t="shared" si="38"/>
        <v>0</v>
      </c>
      <c r="DS80" s="168">
        <f t="shared" si="38"/>
        <v>0</v>
      </c>
      <c r="DT80" s="168">
        <f t="shared" si="38"/>
        <v>0</v>
      </c>
      <c r="DU80" s="168">
        <f t="shared" si="38"/>
        <v>0</v>
      </c>
      <c r="DV80" s="168">
        <f t="shared" si="38"/>
        <v>0</v>
      </c>
      <c r="DW80" s="168">
        <f t="shared" si="38"/>
        <v>0</v>
      </c>
      <c r="DX80" s="168">
        <f t="shared" si="38"/>
        <v>0</v>
      </c>
      <c r="DY80" s="168">
        <f t="shared" si="38"/>
        <v>0</v>
      </c>
      <c r="DZ80" s="168">
        <f t="shared" si="38"/>
        <v>0</v>
      </c>
      <c r="EA80" s="168">
        <f t="shared" si="38"/>
        <v>0</v>
      </c>
      <c r="EB80" s="168">
        <f t="shared" si="38"/>
        <v>0</v>
      </c>
    </row>
    <row r="81" spans="1:132" x14ac:dyDescent="0.25">
      <c r="A81" s="5" t="s">
        <v>799</v>
      </c>
      <c r="B81" s="172">
        <f>ROUND(Protection!AJ8/[1]Protect!$B$11,2)</f>
        <v>0</v>
      </c>
      <c r="C81" s="183">
        <f>[1]Protect!$B$10</f>
        <v>4</v>
      </c>
      <c r="D81" s="166"/>
      <c r="E81" s="166"/>
      <c r="F81" s="168">
        <f>ROUND(C81*B81*8,0)</f>
        <v>0</v>
      </c>
      <c r="G81" s="86"/>
      <c r="H81" s="8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G81" s="5"/>
      <c r="AH81" s="5"/>
      <c r="AI81" s="5"/>
      <c r="AJ81" s="5"/>
      <c r="AK81" s="5"/>
      <c r="AL81" s="5"/>
      <c r="AM81" s="5"/>
      <c r="AN81" s="5"/>
      <c r="AR81" s="181" t="s">
        <v>730</v>
      </c>
      <c r="AT81" s="19" t="s">
        <v>800</v>
      </c>
      <c r="AV81" s="168">
        <f>COUNTIF(AV$71:AV$80,23)</f>
        <v>2</v>
      </c>
      <c r="AW81" s="168">
        <f t="shared" ref="AW81:BS81" si="44">COUNTIF(AW$71:AW$80,23)</f>
        <v>2</v>
      </c>
      <c r="AX81" s="168">
        <f t="shared" si="44"/>
        <v>3</v>
      </c>
      <c r="AY81" s="168">
        <f t="shared" si="44"/>
        <v>3</v>
      </c>
      <c r="AZ81" s="168">
        <f t="shared" si="44"/>
        <v>2</v>
      </c>
      <c r="BA81" s="168">
        <f t="shared" si="44"/>
        <v>2</v>
      </c>
      <c r="BB81" s="168">
        <f t="shared" si="44"/>
        <v>1</v>
      </c>
      <c r="BC81" s="168">
        <f t="shared" si="44"/>
        <v>1</v>
      </c>
      <c r="BD81" s="168">
        <f t="shared" si="44"/>
        <v>1</v>
      </c>
      <c r="BE81" s="168">
        <f t="shared" si="44"/>
        <v>1</v>
      </c>
      <c r="BF81" s="168">
        <f t="shared" si="44"/>
        <v>1</v>
      </c>
      <c r="BG81" s="168">
        <f t="shared" si="44"/>
        <v>1</v>
      </c>
      <c r="BH81" s="168">
        <f t="shared" si="44"/>
        <v>1</v>
      </c>
      <c r="BI81" s="168">
        <f t="shared" si="44"/>
        <v>1</v>
      </c>
      <c r="BJ81" s="168">
        <f t="shared" si="44"/>
        <v>1</v>
      </c>
      <c r="BK81" s="168">
        <f t="shared" si="44"/>
        <v>1</v>
      </c>
      <c r="BL81" s="168">
        <f t="shared" si="44"/>
        <v>1</v>
      </c>
      <c r="BM81" s="168">
        <f t="shared" si="44"/>
        <v>1</v>
      </c>
      <c r="BN81" s="168">
        <f t="shared" si="44"/>
        <v>1</v>
      </c>
      <c r="BO81" s="168">
        <f t="shared" si="44"/>
        <v>2</v>
      </c>
      <c r="BP81" s="168">
        <f t="shared" si="44"/>
        <v>3</v>
      </c>
      <c r="BQ81" s="168">
        <f t="shared" si="44"/>
        <v>2</v>
      </c>
      <c r="BR81" s="168">
        <f t="shared" si="44"/>
        <v>2</v>
      </c>
      <c r="BS81" s="168">
        <f t="shared" si="44"/>
        <v>2</v>
      </c>
      <c r="BZ81" s="19" t="s">
        <v>800</v>
      </c>
      <c r="CB81" s="168">
        <f>COUNTIF(CB$71:CB$80,23)</f>
        <v>0</v>
      </c>
      <c r="CC81" s="168">
        <f>COUNTIF(CC$71:CC$80,23)</f>
        <v>0</v>
      </c>
      <c r="CD81" s="168">
        <f t="shared" ref="CD81:CY81" si="45">COUNTIF(CD$71:CD$80,23)</f>
        <v>0</v>
      </c>
      <c r="CE81" s="168">
        <f t="shared" si="45"/>
        <v>0</v>
      </c>
      <c r="CF81" s="168">
        <f t="shared" si="45"/>
        <v>0</v>
      </c>
      <c r="CG81" s="168">
        <f t="shared" si="45"/>
        <v>0</v>
      </c>
      <c r="CH81" s="168">
        <f t="shared" si="45"/>
        <v>0</v>
      </c>
      <c r="CI81" s="168">
        <f t="shared" si="45"/>
        <v>0</v>
      </c>
      <c r="CJ81" s="168">
        <f t="shared" si="45"/>
        <v>0</v>
      </c>
      <c r="CK81" s="168">
        <f t="shared" si="45"/>
        <v>0</v>
      </c>
      <c r="CL81" s="168">
        <f t="shared" si="45"/>
        <v>0</v>
      </c>
      <c r="CM81" s="168">
        <f t="shared" si="45"/>
        <v>0</v>
      </c>
      <c r="CN81" s="168">
        <f t="shared" si="45"/>
        <v>0</v>
      </c>
      <c r="CO81" s="168">
        <f t="shared" si="45"/>
        <v>0</v>
      </c>
      <c r="CP81" s="168">
        <f t="shared" si="45"/>
        <v>0</v>
      </c>
      <c r="CQ81" s="168">
        <f t="shared" si="45"/>
        <v>0</v>
      </c>
      <c r="CR81" s="168">
        <f t="shared" si="45"/>
        <v>0</v>
      </c>
      <c r="CS81" s="168">
        <f t="shared" si="45"/>
        <v>0</v>
      </c>
      <c r="CT81" s="168">
        <f t="shared" si="45"/>
        <v>0</v>
      </c>
      <c r="CU81" s="168">
        <f t="shared" si="45"/>
        <v>0</v>
      </c>
      <c r="CV81" s="168">
        <f t="shared" si="45"/>
        <v>0</v>
      </c>
      <c r="CW81" s="168">
        <f t="shared" si="45"/>
        <v>0</v>
      </c>
      <c r="CX81" s="168">
        <f t="shared" si="45"/>
        <v>0</v>
      </c>
      <c r="CY81" s="168">
        <f t="shared" si="45"/>
        <v>0</v>
      </c>
      <c r="DC81" s="19" t="s">
        <v>800</v>
      </c>
      <c r="DE81" s="168">
        <f>COUNTIF(DE$71:DE$80,23)</f>
        <v>0</v>
      </c>
      <c r="DF81" s="168">
        <f>COUNTIF(DF$71:DF$80,23)</f>
        <v>0</v>
      </c>
      <c r="DG81" s="168">
        <f t="shared" ref="DG81:EB81" si="46">COUNTIF(DG$71:DG$80,23)</f>
        <v>0</v>
      </c>
      <c r="DH81" s="168">
        <f t="shared" si="46"/>
        <v>0</v>
      </c>
      <c r="DI81" s="168">
        <f t="shared" si="46"/>
        <v>0</v>
      </c>
      <c r="DJ81" s="168">
        <f t="shared" si="46"/>
        <v>0</v>
      </c>
      <c r="DK81" s="168">
        <f t="shared" si="46"/>
        <v>0</v>
      </c>
      <c r="DL81" s="168">
        <f t="shared" si="46"/>
        <v>0</v>
      </c>
      <c r="DM81" s="168">
        <f t="shared" si="46"/>
        <v>0</v>
      </c>
      <c r="DN81" s="168">
        <f t="shared" si="46"/>
        <v>0</v>
      </c>
      <c r="DO81" s="168">
        <f t="shared" si="46"/>
        <v>0</v>
      </c>
      <c r="DP81" s="168">
        <f t="shared" si="46"/>
        <v>0</v>
      </c>
      <c r="DQ81" s="168">
        <f t="shared" si="46"/>
        <v>0</v>
      </c>
      <c r="DR81" s="168">
        <f t="shared" si="46"/>
        <v>0</v>
      </c>
      <c r="DS81" s="168">
        <f t="shared" si="46"/>
        <v>0</v>
      </c>
      <c r="DT81" s="168">
        <f t="shared" si="46"/>
        <v>0</v>
      </c>
      <c r="DU81" s="168">
        <f t="shared" si="46"/>
        <v>0</v>
      </c>
      <c r="DV81" s="168">
        <f t="shared" si="46"/>
        <v>0</v>
      </c>
      <c r="DW81" s="168">
        <f t="shared" si="46"/>
        <v>0</v>
      </c>
      <c r="DX81" s="168">
        <f t="shared" si="46"/>
        <v>0</v>
      </c>
      <c r="DY81" s="168">
        <f t="shared" si="46"/>
        <v>0</v>
      </c>
      <c r="DZ81" s="168">
        <f t="shared" si="46"/>
        <v>0</v>
      </c>
      <c r="EA81" s="168">
        <f t="shared" si="46"/>
        <v>0</v>
      </c>
      <c r="EB81" s="168">
        <f t="shared" si="46"/>
        <v>0</v>
      </c>
    </row>
    <row r="82" spans="1:132" x14ac:dyDescent="0.25">
      <c r="B82" t="s">
        <v>801</v>
      </c>
      <c r="C82" t="s">
        <v>802</v>
      </c>
      <c r="G82" s="192"/>
      <c r="H82" s="19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G82" s="5"/>
      <c r="AH82" s="5"/>
      <c r="AI82" s="5"/>
      <c r="AJ82" s="5"/>
      <c r="AK82" s="5"/>
      <c r="AL82" s="5"/>
      <c r="AM82" s="5"/>
      <c r="AN82" s="5"/>
      <c r="AR82" s="181" t="s">
        <v>730</v>
      </c>
      <c r="AT82" s="19" t="s">
        <v>803</v>
      </c>
      <c r="AV82" s="168">
        <f>COUNTIF(AV$71:AV$80,13)</f>
        <v>2</v>
      </c>
      <c r="AW82" s="168">
        <f t="shared" ref="AW82:BS82" si="47">COUNTIF(AW$71:AW$80,13)</f>
        <v>2</v>
      </c>
      <c r="AX82" s="168">
        <f t="shared" si="47"/>
        <v>2</v>
      </c>
      <c r="AY82" s="168">
        <f t="shared" si="47"/>
        <v>2</v>
      </c>
      <c r="AZ82" s="168">
        <f t="shared" si="47"/>
        <v>1</v>
      </c>
      <c r="BA82" s="168">
        <f t="shared" si="47"/>
        <v>1</v>
      </c>
      <c r="BB82" s="168">
        <f t="shared" si="47"/>
        <v>1</v>
      </c>
      <c r="BC82" s="168">
        <f t="shared" si="47"/>
        <v>1</v>
      </c>
      <c r="BD82" s="168">
        <f t="shared" si="47"/>
        <v>1</v>
      </c>
      <c r="BE82" s="168">
        <f t="shared" si="47"/>
        <v>0</v>
      </c>
      <c r="BF82" s="168">
        <f t="shared" si="47"/>
        <v>0</v>
      </c>
      <c r="BG82" s="168">
        <f t="shared" si="47"/>
        <v>0</v>
      </c>
      <c r="BH82" s="168">
        <f t="shared" si="47"/>
        <v>0</v>
      </c>
      <c r="BI82" s="168">
        <f t="shared" si="47"/>
        <v>0</v>
      </c>
      <c r="BJ82" s="168">
        <f t="shared" si="47"/>
        <v>0</v>
      </c>
      <c r="BK82" s="168">
        <f t="shared" si="47"/>
        <v>0</v>
      </c>
      <c r="BL82" s="168">
        <f t="shared" si="47"/>
        <v>0</v>
      </c>
      <c r="BM82" s="168">
        <f t="shared" si="47"/>
        <v>0</v>
      </c>
      <c r="BN82" s="168">
        <f t="shared" si="47"/>
        <v>0</v>
      </c>
      <c r="BO82" s="168">
        <f t="shared" si="47"/>
        <v>0</v>
      </c>
      <c r="BP82" s="168">
        <f t="shared" si="47"/>
        <v>0</v>
      </c>
      <c r="BQ82" s="168">
        <f t="shared" si="47"/>
        <v>2</v>
      </c>
      <c r="BR82" s="168">
        <f t="shared" si="47"/>
        <v>2</v>
      </c>
      <c r="BS82" s="168">
        <f t="shared" si="47"/>
        <v>2</v>
      </c>
      <c r="BZ82" s="19" t="s">
        <v>803</v>
      </c>
      <c r="CB82" s="168">
        <f>COUNTIF(CB$71:CB$80,13)</f>
        <v>0</v>
      </c>
      <c r="CC82" s="168">
        <f t="shared" ref="CC82:CY82" si="48">COUNTIF(CC$71:CC$80,13)</f>
        <v>0</v>
      </c>
      <c r="CD82" s="168">
        <f t="shared" si="48"/>
        <v>0</v>
      </c>
      <c r="CE82" s="168">
        <f t="shared" si="48"/>
        <v>0</v>
      </c>
      <c r="CF82" s="168">
        <f t="shared" si="48"/>
        <v>0</v>
      </c>
      <c r="CG82" s="168">
        <f t="shared" si="48"/>
        <v>0</v>
      </c>
      <c r="CH82" s="168">
        <f t="shared" si="48"/>
        <v>0</v>
      </c>
      <c r="CI82" s="168">
        <f t="shared" si="48"/>
        <v>0</v>
      </c>
      <c r="CJ82" s="168">
        <f t="shared" si="48"/>
        <v>0</v>
      </c>
      <c r="CK82" s="168">
        <f t="shared" si="48"/>
        <v>0</v>
      </c>
      <c r="CL82" s="168">
        <f t="shared" si="48"/>
        <v>0</v>
      </c>
      <c r="CM82" s="168">
        <f t="shared" si="48"/>
        <v>0</v>
      </c>
      <c r="CN82" s="168">
        <f t="shared" si="48"/>
        <v>0</v>
      </c>
      <c r="CO82" s="168">
        <f t="shared" si="48"/>
        <v>0</v>
      </c>
      <c r="CP82" s="168">
        <f t="shared" si="48"/>
        <v>0</v>
      </c>
      <c r="CQ82" s="168">
        <f t="shared" si="48"/>
        <v>0</v>
      </c>
      <c r="CR82" s="168">
        <f t="shared" si="48"/>
        <v>0</v>
      </c>
      <c r="CS82" s="168">
        <f t="shared" si="48"/>
        <v>0</v>
      </c>
      <c r="CT82" s="168">
        <f t="shared" si="48"/>
        <v>0</v>
      </c>
      <c r="CU82" s="168">
        <f t="shared" si="48"/>
        <v>0</v>
      </c>
      <c r="CV82" s="168">
        <f t="shared" si="48"/>
        <v>0</v>
      </c>
      <c r="CW82" s="168">
        <f t="shared" si="48"/>
        <v>0</v>
      </c>
      <c r="CX82" s="168">
        <f t="shared" si="48"/>
        <v>0</v>
      </c>
      <c r="CY82" s="168">
        <f t="shared" si="48"/>
        <v>0</v>
      </c>
      <c r="DC82" s="19" t="s">
        <v>803</v>
      </c>
      <c r="DE82" s="168">
        <f>COUNTIF(DE$71:DE$80,13)</f>
        <v>0</v>
      </c>
      <c r="DF82" s="168">
        <f t="shared" ref="DF82:EB82" si="49">COUNTIF(DF$71:DF$80,13)</f>
        <v>0</v>
      </c>
      <c r="DG82" s="168">
        <f t="shared" si="49"/>
        <v>0</v>
      </c>
      <c r="DH82" s="168">
        <f t="shared" si="49"/>
        <v>0</v>
      </c>
      <c r="DI82" s="168">
        <f t="shared" si="49"/>
        <v>0</v>
      </c>
      <c r="DJ82" s="168">
        <f t="shared" si="49"/>
        <v>0</v>
      </c>
      <c r="DK82" s="168">
        <f t="shared" si="49"/>
        <v>0</v>
      </c>
      <c r="DL82" s="168">
        <f t="shared" si="49"/>
        <v>0</v>
      </c>
      <c r="DM82" s="168">
        <f t="shared" si="49"/>
        <v>0</v>
      </c>
      <c r="DN82" s="168">
        <f t="shared" si="49"/>
        <v>0</v>
      </c>
      <c r="DO82" s="168">
        <f t="shared" si="49"/>
        <v>0</v>
      </c>
      <c r="DP82" s="168">
        <f t="shared" si="49"/>
        <v>0</v>
      </c>
      <c r="DQ82" s="168">
        <f t="shared" si="49"/>
        <v>0</v>
      </c>
      <c r="DR82" s="168">
        <f t="shared" si="49"/>
        <v>0</v>
      </c>
      <c r="DS82" s="168">
        <f t="shared" si="49"/>
        <v>0</v>
      </c>
      <c r="DT82" s="168">
        <f t="shared" si="49"/>
        <v>0</v>
      </c>
      <c r="DU82" s="168">
        <f t="shared" si="49"/>
        <v>0</v>
      </c>
      <c r="DV82" s="168">
        <f t="shared" si="49"/>
        <v>0</v>
      </c>
      <c r="DW82" s="168">
        <f t="shared" si="49"/>
        <v>0</v>
      </c>
      <c r="DX82" s="168">
        <f t="shared" si="49"/>
        <v>0</v>
      </c>
      <c r="DY82" s="168">
        <f t="shared" si="49"/>
        <v>0</v>
      </c>
      <c r="DZ82" s="168">
        <f t="shared" si="49"/>
        <v>0</v>
      </c>
      <c r="EA82" s="168">
        <f t="shared" si="49"/>
        <v>0</v>
      </c>
      <c r="EB82" s="168">
        <f t="shared" si="49"/>
        <v>0</v>
      </c>
    </row>
    <row r="83" spans="1:132" x14ac:dyDescent="0.25">
      <c r="A83" s="5" t="s">
        <v>804</v>
      </c>
      <c r="B83" s="172">
        <f>Protection!AK25/1000</f>
        <v>0</v>
      </c>
      <c r="C83" s="183">
        <f>[1]Protect!$B$24+[1]Protect!$B$26</f>
        <v>0.33</v>
      </c>
      <c r="D83" s="166"/>
      <c r="E83" s="166"/>
      <c r="F83" s="168">
        <f>ROUND(B83*C83,1)</f>
        <v>0</v>
      </c>
      <c r="G83" s="5"/>
      <c r="H83" s="5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G83" s="5"/>
      <c r="AH83" s="5"/>
      <c r="AI83" s="5"/>
      <c r="AJ83" s="5"/>
      <c r="AK83" s="5"/>
      <c r="AL83" s="5"/>
      <c r="AM83" s="5"/>
      <c r="AN83" s="5"/>
      <c r="AR83" s="181" t="s">
        <v>730</v>
      </c>
      <c r="AT83" s="19" t="s">
        <v>805</v>
      </c>
      <c r="AV83" s="168">
        <f>COUNTIF(AV$71:AV$80,22)</f>
        <v>0</v>
      </c>
      <c r="AW83" s="168">
        <f t="shared" ref="AW83:BS83" si="50">COUNTIF(AW$71:AW$80,22)</f>
        <v>0</v>
      </c>
      <c r="AX83" s="168">
        <f t="shared" si="50"/>
        <v>0</v>
      </c>
      <c r="AY83" s="168">
        <f t="shared" si="50"/>
        <v>0</v>
      </c>
      <c r="AZ83" s="168">
        <f t="shared" si="50"/>
        <v>0</v>
      </c>
      <c r="BA83" s="168">
        <f t="shared" si="50"/>
        <v>0</v>
      </c>
      <c r="BB83" s="168">
        <f t="shared" si="50"/>
        <v>0</v>
      </c>
      <c r="BC83" s="168">
        <f t="shared" si="50"/>
        <v>0</v>
      </c>
      <c r="BD83" s="168">
        <f t="shared" si="50"/>
        <v>0</v>
      </c>
      <c r="BE83" s="168">
        <f t="shared" si="50"/>
        <v>0</v>
      </c>
      <c r="BF83" s="168">
        <f t="shared" si="50"/>
        <v>0</v>
      </c>
      <c r="BG83" s="168">
        <f t="shared" si="50"/>
        <v>0</v>
      </c>
      <c r="BH83" s="168">
        <f t="shared" si="50"/>
        <v>0</v>
      </c>
      <c r="BI83" s="168">
        <f t="shared" si="50"/>
        <v>0</v>
      </c>
      <c r="BJ83" s="168">
        <f t="shared" si="50"/>
        <v>0</v>
      </c>
      <c r="BK83" s="168">
        <f t="shared" si="50"/>
        <v>0</v>
      </c>
      <c r="BL83" s="168">
        <f t="shared" si="50"/>
        <v>0</v>
      </c>
      <c r="BM83" s="168">
        <f t="shared" si="50"/>
        <v>0</v>
      </c>
      <c r="BN83" s="168">
        <f t="shared" si="50"/>
        <v>0</v>
      </c>
      <c r="BO83" s="168">
        <f t="shared" si="50"/>
        <v>0</v>
      </c>
      <c r="BP83" s="168">
        <f t="shared" si="50"/>
        <v>0</v>
      </c>
      <c r="BQ83" s="168">
        <f t="shared" si="50"/>
        <v>0</v>
      </c>
      <c r="BR83" s="168">
        <f t="shared" si="50"/>
        <v>0</v>
      </c>
      <c r="BS83" s="168">
        <f t="shared" si="50"/>
        <v>0</v>
      </c>
      <c r="BZ83" s="19" t="s">
        <v>805</v>
      </c>
      <c r="CB83" s="168">
        <f>COUNTIF(CB$71:CB$80,22)</f>
        <v>0</v>
      </c>
      <c r="CC83" s="168">
        <f t="shared" ref="CC83:CY83" si="51">COUNTIF(CC$71:CC$80,22)</f>
        <v>0</v>
      </c>
      <c r="CD83" s="168">
        <f t="shared" si="51"/>
        <v>0</v>
      </c>
      <c r="CE83" s="168">
        <f t="shared" si="51"/>
        <v>0</v>
      </c>
      <c r="CF83" s="168">
        <f t="shared" si="51"/>
        <v>0</v>
      </c>
      <c r="CG83" s="168">
        <f t="shared" si="51"/>
        <v>0</v>
      </c>
      <c r="CH83" s="168">
        <f t="shared" si="51"/>
        <v>0</v>
      </c>
      <c r="CI83" s="168">
        <f t="shared" si="51"/>
        <v>0</v>
      </c>
      <c r="CJ83" s="168">
        <f t="shared" si="51"/>
        <v>0</v>
      </c>
      <c r="CK83" s="168">
        <f t="shared" si="51"/>
        <v>0</v>
      </c>
      <c r="CL83" s="168">
        <f t="shared" si="51"/>
        <v>0</v>
      </c>
      <c r="CM83" s="168">
        <f t="shared" si="51"/>
        <v>0</v>
      </c>
      <c r="CN83" s="168">
        <f t="shared" si="51"/>
        <v>0</v>
      </c>
      <c r="CO83" s="168">
        <f t="shared" si="51"/>
        <v>0</v>
      </c>
      <c r="CP83" s="168">
        <f t="shared" si="51"/>
        <v>0</v>
      </c>
      <c r="CQ83" s="168">
        <f t="shared" si="51"/>
        <v>0</v>
      </c>
      <c r="CR83" s="168">
        <f t="shared" si="51"/>
        <v>0</v>
      </c>
      <c r="CS83" s="168">
        <f t="shared" si="51"/>
        <v>0</v>
      </c>
      <c r="CT83" s="168">
        <f t="shared" si="51"/>
        <v>0</v>
      </c>
      <c r="CU83" s="168">
        <f t="shared" si="51"/>
        <v>0</v>
      </c>
      <c r="CV83" s="168">
        <f t="shared" si="51"/>
        <v>0</v>
      </c>
      <c r="CW83" s="168">
        <f t="shared" si="51"/>
        <v>0</v>
      </c>
      <c r="CX83" s="168">
        <f t="shared" si="51"/>
        <v>0</v>
      </c>
      <c r="CY83" s="168">
        <f t="shared" si="51"/>
        <v>0</v>
      </c>
      <c r="DC83" s="19" t="s">
        <v>805</v>
      </c>
      <c r="DE83" s="168">
        <f>COUNTIF(DE$71:DE$80,22)</f>
        <v>0</v>
      </c>
      <c r="DF83" s="168">
        <f t="shared" ref="DF83:EB83" si="52">COUNTIF(DF$71:DF$80,22)</f>
        <v>0</v>
      </c>
      <c r="DG83" s="168">
        <f t="shared" si="52"/>
        <v>0</v>
      </c>
      <c r="DH83" s="168">
        <f t="shared" si="52"/>
        <v>0</v>
      </c>
      <c r="DI83" s="168">
        <f t="shared" si="52"/>
        <v>0</v>
      </c>
      <c r="DJ83" s="168">
        <f t="shared" si="52"/>
        <v>0</v>
      </c>
      <c r="DK83" s="168">
        <f t="shared" si="52"/>
        <v>0</v>
      </c>
      <c r="DL83" s="168">
        <f t="shared" si="52"/>
        <v>0</v>
      </c>
      <c r="DM83" s="168">
        <f t="shared" si="52"/>
        <v>0</v>
      </c>
      <c r="DN83" s="168">
        <f t="shared" si="52"/>
        <v>0</v>
      </c>
      <c r="DO83" s="168">
        <f t="shared" si="52"/>
        <v>0</v>
      </c>
      <c r="DP83" s="168">
        <f t="shared" si="52"/>
        <v>0</v>
      </c>
      <c r="DQ83" s="168">
        <f t="shared" si="52"/>
        <v>0</v>
      </c>
      <c r="DR83" s="168">
        <f t="shared" si="52"/>
        <v>0</v>
      </c>
      <c r="DS83" s="168">
        <f t="shared" si="52"/>
        <v>0</v>
      </c>
      <c r="DT83" s="168">
        <f t="shared" si="52"/>
        <v>0</v>
      </c>
      <c r="DU83" s="168">
        <f t="shared" si="52"/>
        <v>0</v>
      </c>
      <c r="DV83" s="168">
        <f t="shared" si="52"/>
        <v>0</v>
      </c>
      <c r="DW83" s="168">
        <f t="shared" si="52"/>
        <v>0</v>
      </c>
      <c r="DX83" s="168">
        <f t="shared" si="52"/>
        <v>0</v>
      </c>
      <c r="DY83" s="168">
        <f t="shared" si="52"/>
        <v>0</v>
      </c>
      <c r="DZ83" s="168">
        <f t="shared" si="52"/>
        <v>0</v>
      </c>
      <c r="EA83" s="168">
        <f>COUNTIF(EA$71:EA$80,22)</f>
        <v>0</v>
      </c>
      <c r="EB83" s="168">
        <f t="shared" si="52"/>
        <v>0</v>
      </c>
    </row>
    <row r="84" spans="1:132" x14ac:dyDescent="0.25">
      <c r="A84" s="5" t="s">
        <v>806</v>
      </c>
      <c r="B84" s="5"/>
      <c r="C84" s="183">
        <f>[1]Protect!$B$25*8</f>
        <v>8</v>
      </c>
      <c r="D84" s="166"/>
      <c r="E84" s="166"/>
      <c r="F84" s="168">
        <f>ROUND(B83*C84/10,1)</f>
        <v>0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G84" s="5"/>
      <c r="AH84" s="5"/>
      <c r="AI84" s="5"/>
      <c r="AJ84" s="5"/>
      <c r="AK84" s="5"/>
      <c r="AL84" s="5"/>
      <c r="AM84" s="5"/>
      <c r="AN84" s="5"/>
      <c r="AR84" s="181" t="s">
        <v>730</v>
      </c>
      <c r="AT84" s="19" t="s">
        <v>807</v>
      </c>
      <c r="AV84" s="168">
        <f>COUNTIF(AV$71:AV$80,12)</f>
        <v>0</v>
      </c>
      <c r="AW84" s="168">
        <f t="shared" ref="AW84:BS84" si="53">COUNTIF(AW$71:AW$80,12)</f>
        <v>0</v>
      </c>
      <c r="AX84" s="168">
        <f t="shared" si="53"/>
        <v>0</v>
      </c>
      <c r="AY84" s="168">
        <f t="shared" si="53"/>
        <v>0</v>
      </c>
      <c r="AZ84" s="168">
        <f t="shared" si="53"/>
        <v>1</v>
      </c>
      <c r="BA84" s="168">
        <f t="shared" si="53"/>
        <v>1</v>
      </c>
      <c r="BB84" s="168">
        <f t="shared" si="53"/>
        <v>0</v>
      </c>
      <c r="BC84" s="168">
        <f t="shared" si="53"/>
        <v>0</v>
      </c>
      <c r="BD84" s="168">
        <f t="shared" si="53"/>
        <v>0</v>
      </c>
      <c r="BE84" s="168">
        <f t="shared" si="53"/>
        <v>1</v>
      </c>
      <c r="BF84" s="168">
        <f t="shared" si="53"/>
        <v>1</v>
      </c>
      <c r="BG84" s="168">
        <f t="shared" si="53"/>
        <v>1</v>
      </c>
      <c r="BH84" s="168">
        <f t="shared" si="53"/>
        <v>1</v>
      </c>
      <c r="BI84" s="168">
        <f t="shared" si="53"/>
        <v>1</v>
      </c>
      <c r="BJ84" s="168">
        <f t="shared" si="53"/>
        <v>1</v>
      </c>
      <c r="BK84" s="168">
        <f t="shared" si="53"/>
        <v>1</v>
      </c>
      <c r="BL84" s="168">
        <f t="shared" si="53"/>
        <v>1</v>
      </c>
      <c r="BM84" s="168">
        <f t="shared" si="53"/>
        <v>1</v>
      </c>
      <c r="BN84" s="168">
        <f t="shared" si="53"/>
        <v>1</v>
      </c>
      <c r="BO84" s="168">
        <f t="shared" si="53"/>
        <v>1</v>
      </c>
      <c r="BP84" s="168">
        <f t="shared" si="53"/>
        <v>2</v>
      </c>
      <c r="BQ84" s="168">
        <f t="shared" si="53"/>
        <v>0</v>
      </c>
      <c r="BR84" s="168">
        <f t="shared" si="53"/>
        <v>0</v>
      </c>
      <c r="BS84" s="168">
        <f t="shared" si="53"/>
        <v>0</v>
      </c>
      <c r="BZ84" s="19" t="s">
        <v>807</v>
      </c>
      <c r="CB84" s="168">
        <f>COUNTIF(CB$71:CB$80,12)</f>
        <v>0</v>
      </c>
      <c r="CC84" s="168">
        <f t="shared" ref="CC84:CY84" si="54">COUNTIF(CC$71:CC$80,12)</f>
        <v>0</v>
      </c>
      <c r="CD84" s="168">
        <f t="shared" si="54"/>
        <v>0</v>
      </c>
      <c r="CE84" s="168">
        <f t="shared" si="54"/>
        <v>0</v>
      </c>
      <c r="CF84" s="168">
        <f t="shared" si="54"/>
        <v>0</v>
      </c>
      <c r="CG84" s="168">
        <f t="shared" si="54"/>
        <v>0</v>
      </c>
      <c r="CH84" s="168">
        <f t="shared" si="54"/>
        <v>0</v>
      </c>
      <c r="CI84" s="168">
        <f t="shared" si="54"/>
        <v>0</v>
      </c>
      <c r="CJ84" s="168">
        <f t="shared" si="54"/>
        <v>0</v>
      </c>
      <c r="CK84" s="168">
        <f t="shared" si="54"/>
        <v>0</v>
      </c>
      <c r="CL84" s="168">
        <f t="shared" si="54"/>
        <v>0</v>
      </c>
      <c r="CM84" s="168">
        <f t="shared" si="54"/>
        <v>0</v>
      </c>
      <c r="CN84" s="168">
        <f t="shared" si="54"/>
        <v>0</v>
      </c>
      <c r="CO84" s="168">
        <f t="shared" si="54"/>
        <v>0</v>
      </c>
      <c r="CP84" s="168">
        <f t="shared" si="54"/>
        <v>0</v>
      </c>
      <c r="CQ84" s="168">
        <f t="shared" si="54"/>
        <v>0</v>
      </c>
      <c r="CR84" s="168">
        <f t="shared" si="54"/>
        <v>0</v>
      </c>
      <c r="CS84" s="168">
        <f t="shared" si="54"/>
        <v>0</v>
      </c>
      <c r="CT84" s="168">
        <f t="shared" si="54"/>
        <v>0</v>
      </c>
      <c r="CU84" s="168">
        <f t="shared" si="54"/>
        <v>0</v>
      </c>
      <c r="CV84" s="168">
        <f t="shared" si="54"/>
        <v>0</v>
      </c>
      <c r="CW84" s="168">
        <f t="shared" si="54"/>
        <v>0</v>
      </c>
      <c r="CX84" s="168">
        <f t="shared" si="54"/>
        <v>0</v>
      </c>
      <c r="CY84" s="168">
        <f t="shared" si="54"/>
        <v>0</v>
      </c>
      <c r="DC84" s="19" t="s">
        <v>807</v>
      </c>
      <c r="DE84" s="168">
        <f>COUNTIF(DE$71:DE$80,12)</f>
        <v>0</v>
      </c>
      <c r="DF84" s="168">
        <f t="shared" ref="DF84:EB84" si="55">COUNTIF(DF$71:DF$80,12)</f>
        <v>0</v>
      </c>
      <c r="DG84" s="168">
        <f t="shared" si="55"/>
        <v>0</v>
      </c>
      <c r="DH84" s="168">
        <f t="shared" si="55"/>
        <v>0</v>
      </c>
      <c r="DI84" s="168">
        <f t="shared" si="55"/>
        <v>0</v>
      </c>
      <c r="DJ84" s="168">
        <f t="shared" si="55"/>
        <v>0</v>
      </c>
      <c r="DK84" s="168">
        <f t="shared" si="55"/>
        <v>0</v>
      </c>
      <c r="DL84" s="168">
        <f t="shared" si="55"/>
        <v>0</v>
      </c>
      <c r="DM84" s="168">
        <f t="shared" si="55"/>
        <v>0</v>
      </c>
      <c r="DN84" s="168">
        <f t="shared" si="55"/>
        <v>0</v>
      </c>
      <c r="DO84" s="168">
        <f t="shared" si="55"/>
        <v>0</v>
      </c>
      <c r="DP84" s="168">
        <f t="shared" si="55"/>
        <v>0</v>
      </c>
      <c r="DQ84" s="168">
        <f t="shared" si="55"/>
        <v>0</v>
      </c>
      <c r="DR84" s="168">
        <f t="shared" si="55"/>
        <v>0</v>
      </c>
      <c r="DS84" s="168">
        <f t="shared" si="55"/>
        <v>0</v>
      </c>
      <c r="DT84" s="168">
        <f t="shared" si="55"/>
        <v>0</v>
      </c>
      <c r="DU84" s="168">
        <f t="shared" si="55"/>
        <v>0</v>
      </c>
      <c r="DV84" s="168">
        <f t="shared" si="55"/>
        <v>0</v>
      </c>
      <c r="DW84" s="168">
        <f t="shared" si="55"/>
        <v>0</v>
      </c>
      <c r="DX84" s="168">
        <f t="shared" si="55"/>
        <v>0</v>
      </c>
      <c r="DY84" s="168">
        <f t="shared" si="55"/>
        <v>0</v>
      </c>
      <c r="DZ84" s="168">
        <f t="shared" si="55"/>
        <v>0</v>
      </c>
      <c r="EA84" s="168">
        <f t="shared" si="55"/>
        <v>0</v>
      </c>
      <c r="EB84" s="168">
        <f t="shared" si="55"/>
        <v>0</v>
      </c>
    </row>
    <row r="85" spans="1:132" x14ac:dyDescent="0.25">
      <c r="A85" s="23"/>
      <c r="B85" s="171" t="s">
        <v>808</v>
      </c>
      <c r="C85" s="23"/>
      <c r="D85" s="23"/>
      <c r="E85" s="23"/>
      <c r="F85" s="23"/>
      <c r="G85" s="86"/>
      <c r="H85" s="8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G85" s="5"/>
      <c r="AH85" s="5"/>
      <c r="AI85" s="5"/>
      <c r="AJ85" s="5"/>
      <c r="AK85" s="5"/>
      <c r="AL85" s="5"/>
      <c r="AM85" s="5"/>
      <c r="AN85" s="5"/>
      <c r="AR85" s="181" t="s">
        <v>730</v>
      </c>
      <c r="AT85" s="40" t="s">
        <v>809</v>
      </c>
      <c r="AV85" s="62">
        <f>IF(AV81&gt;0,23,IF(AV82&gt;0,13,IF(AV83&gt;0,22,IF(AV84&gt;0,12,0))))</f>
        <v>23</v>
      </c>
      <c r="AW85" s="62">
        <f t="shared" ref="AW85:BS85" si="56">IF(AW81&gt;0,23,IF(AW82&gt;0,13,IF(AW83&gt;0,22,IF(AW84&gt;0,12,0))))</f>
        <v>23</v>
      </c>
      <c r="AX85" s="62">
        <f t="shared" si="56"/>
        <v>23</v>
      </c>
      <c r="AY85" s="62">
        <f t="shared" si="56"/>
        <v>23</v>
      </c>
      <c r="AZ85" s="62">
        <f t="shared" si="56"/>
        <v>23</v>
      </c>
      <c r="BA85" s="62">
        <f t="shared" si="56"/>
        <v>23</v>
      </c>
      <c r="BB85" s="62">
        <f t="shared" si="56"/>
        <v>23</v>
      </c>
      <c r="BC85" s="62">
        <f t="shared" si="56"/>
        <v>23</v>
      </c>
      <c r="BD85" s="62">
        <f t="shared" si="56"/>
        <v>23</v>
      </c>
      <c r="BE85" s="62">
        <f t="shared" si="56"/>
        <v>23</v>
      </c>
      <c r="BF85" s="62">
        <f t="shared" si="56"/>
        <v>23</v>
      </c>
      <c r="BG85" s="62">
        <f t="shared" si="56"/>
        <v>23</v>
      </c>
      <c r="BH85" s="62">
        <f t="shared" si="56"/>
        <v>23</v>
      </c>
      <c r="BI85" s="62">
        <f t="shared" si="56"/>
        <v>23</v>
      </c>
      <c r="BJ85" s="62">
        <f t="shared" si="56"/>
        <v>23</v>
      </c>
      <c r="BK85" s="62">
        <f t="shared" si="56"/>
        <v>23</v>
      </c>
      <c r="BL85" s="62">
        <f t="shared" si="56"/>
        <v>23</v>
      </c>
      <c r="BM85" s="62">
        <f t="shared" si="56"/>
        <v>23</v>
      </c>
      <c r="BN85" s="62">
        <f t="shared" si="56"/>
        <v>23</v>
      </c>
      <c r="BO85" s="62">
        <f t="shared" si="56"/>
        <v>23</v>
      </c>
      <c r="BP85" s="62">
        <f t="shared" si="56"/>
        <v>23</v>
      </c>
      <c r="BQ85" s="62">
        <f t="shared" si="56"/>
        <v>23</v>
      </c>
      <c r="BR85" s="62">
        <f t="shared" si="56"/>
        <v>23</v>
      </c>
      <c r="BS85" s="62">
        <f t="shared" si="56"/>
        <v>23</v>
      </c>
      <c r="BZ85" s="40" t="s">
        <v>809</v>
      </c>
      <c r="CB85" s="62">
        <f>IF(CB81&gt;0,23,IF(CB82&gt;0,13,IF(CB83&gt;0,22,IF(CB84&gt;0,12,0))))</f>
        <v>0</v>
      </c>
      <c r="CC85" s="62">
        <f t="shared" ref="CC85:CY85" si="57">IF(CC81&gt;0,23,IF(CC82&gt;0,13,IF(CC83&gt;0,22,IF(CC84&gt;0,12,0))))</f>
        <v>0</v>
      </c>
      <c r="CD85" s="62">
        <f t="shared" si="57"/>
        <v>0</v>
      </c>
      <c r="CE85" s="62">
        <f t="shared" si="57"/>
        <v>0</v>
      </c>
      <c r="CF85" s="62">
        <f t="shared" si="57"/>
        <v>0</v>
      </c>
      <c r="CG85" s="62">
        <f t="shared" si="57"/>
        <v>0</v>
      </c>
      <c r="CH85" s="62">
        <f t="shared" si="57"/>
        <v>0</v>
      </c>
      <c r="CI85" s="62">
        <f t="shared" si="57"/>
        <v>0</v>
      </c>
      <c r="CJ85" s="62">
        <f t="shared" si="57"/>
        <v>0</v>
      </c>
      <c r="CK85" s="62">
        <f t="shared" si="57"/>
        <v>0</v>
      </c>
      <c r="CL85" s="62">
        <f t="shared" si="57"/>
        <v>0</v>
      </c>
      <c r="CM85" s="62">
        <f t="shared" si="57"/>
        <v>0</v>
      </c>
      <c r="CN85" s="62">
        <f t="shared" si="57"/>
        <v>0</v>
      </c>
      <c r="CO85" s="62">
        <f t="shared" si="57"/>
        <v>0</v>
      </c>
      <c r="CP85" s="62">
        <f t="shared" si="57"/>
        <v>0</v>
      </c>
      <c r="CQ85" s="62">
        <f t="shared" si="57"/>
        <v>0</v>
      </c>
      <c r="CR85" s="62">
        <f t="shared" si="57"/>
        <v>0</v>
      </c>
      <c r="CS85" s="62">
        <f t="shared" si="57"/>
        <v>0</v>
      </c>
      <c r="CT85" s="62">
        <f t="shared" si="57"/>
        <v>0</v>
      </c>
      <c r="CU85" s="62">
        <f t="shared" si="57"/>
        <v>0</v>
      </c>
      <c r="CV85" s="62">
        <f t="shared" si="57"/>
        <v>0</v>
      </c>
      <c r="CW85" s="62">
        <f t="shared" si="57"/>
        <v>0</v>
      </c>
      <c r="CX85" s="62">
        <f t="shared" si="57"/>
        <v>0</v>
      </c>
      <c r="CY85" s="62">
        <f t="shared" si="57"/>
        <v>0</v>
      </c>
      <c r="DC85" s="40" t="s">
        <v>809</v>
      </c>
      <c r="DE85" s="62">
        <f>IF(DE81&gt;0,23,IF(DE82&gt;0,13,IF(DE83&gt;0,22,IF(DE84&gt;0,12,0))))</f>
        <v>0</v>
      </c>
      <c r="DF85" s="62">
        <f t="shared" ref="DF85:EB85" si="58">IF(DF81&gt;0,23,IF(DF82&gt;0,13,IF(DF83&gt;0,22,IF(DF84&gt;0,12,0))))</f>
        <v>0</v>
      </c>
      <c r="DG85" s="62">
        <f t="shared" si="58"/>
        <v>0</v>
      </c>
      <c r="DH85" s="62">
        <f t="shared" si="58"/>
        <v>0</v>
      </c>
      <c r="DI85" s="62">
        <f t="shared" si="58"/>
        <v>0</v>
      </c>
      <c r="DJ85" s="62">
        <f t="shared" si="58"/>
        <v>0</v>
      </c>
      <c r="DK85" s="62">
        <f t="shared" si="58"/>
        <v>0</v>
      </c>
      <c r="DL85" s="62">
        <f t="shared" si="58"/>
        <v>0</v>
      </c>
      <c r="DM85" s="62">
        <f t="shared" si="58"/>
        <v>0</v>
      </c>
      <c r="DN85" s="62">
        <f t="shared" si="58"/>
        <v>0</v>
      </c>
      <c r="DO85" s="62">
        <f t="shared" si="58"/>
        <v>0</v>
      </c>
      <c r="DP85" s="62">
        <f t="shared" si="58"/>
        <v>0</v>
      </c>
      <c r="DQ85" s="62">
        <f t="shared" si="58"/>
        <v>0</v>
      </c>
      <c r="DR85" s="62">
        <f t="shared" si="58"/>
        <v>0</v>
      </c>
      <c r="DS85" s="62">
        <f t="shared" si="58"/>
        <v>0</v>
      </c>
      <c r="DT85" s="62">
        <f t="shared" si="58"/>
        <v>0</v>
      </c>
      <c r="DU85" s="62">
        <f t="shared" si="58"/>
        <v>0</v>
      </c>
      <c r="DV85" s="62">
        <f t="shared" si="58"/>
        <v>0</v>
      </c>
      <c r="DW85" s="62">
        <f t="shared" si="58"/>
        <v>0</v>
      </c>
      <c r="DX85" s="62">
        <f t="shared" si="58"/>
        <v>0</v>
      </c>
      <c r="DY85" s="62">
        <f t="shared" si="58"/>
        <v>0</v>
      </c>
      <c r="DZ85" s="62">
        <f t="shared" si="58"/>
        <v>0</v>
      </c>
      <c r="EA85" s="62">
        <f t="shared" si="58"/>
        <v>0</v>
      </c>
      <c r="EB85" s="62">
        <f t="shared" si="58"/>
        <v>0</v>
      </c>
    </row>
    <row r="86" spans="1:132" x14ac:dyDescent="0.25">
      <c r="A86" s="171" t="s">
        <v>810</v>
      </c>
      <c r="B86" s="172">
        <f>IF(Scénario!K94=0,0,Scénario!K94/Scénario!K56*Scénario!K54)</f>
        <v>0</v>
      </c>
      <c r="C86" s="171"/>
      <c r="D86" s="171"/>
      <c r="E86" s="171"/>
      <c r="F86" s="168">
        <f>B86*[1]Eco!$B$108*[1]Eco!$B$109</f>
        <v>0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R86" s="181" t="s">
        <v>730</v>
      </c>
      <c r="AT86" s="40" t="s">
        <v>811</v>
      </c>
      <c r="AV86" s="183">
        <f>IF(AV85=0,0,HLOOKUP(AV85,[1]Trav!$C$39:$G$59,$AU$105))</f>
        <v>42</v>
      </c>
      <c r="AW86" s="183">
        <f>IF(AW85=0,0,HLOOKUP(AW85,[1]Trav!$C$39:$G$59,$AU$105))</f>
        <v>42</v>
      </c>
      <c r="AX86" s="183">
        <f>IF(AX85=0,0,HLOOKUP(AX85,[1]Trav!$C$39:$G$59,$AU$105))</f>
        <v>42</v>
      </c>
      <c r="AY86" s="183">
        <f>IF(AY85=0,0,HLOOKUP(AY85,[1]Trav!$C$39:$G$59,$AU$105))</f>
        <v>42</v>
      </c>
      <c r="AZ86" s="183">
        <f>IF(AZ85=0,0,HLOOKUP(AZ85,[1]Trav!$C$39:$G$59,$AU$105))</f>
        <v>42</v>
      </c>
      <c r="BA86" s="183">
        <f>IF(BA85=0,0,HLOOKUP(BA85,[1]Trav!$C$39:$G$59,$AU$105))</f>
        <v>42</v>
      </c>
      <c r="BB86" s="183">
        <f>IF(BB85=0,0,HLOOKUP(BB85,[1]Trav!$C$39:$G$59,$AU$105))</f>
        <v>42</v>
      </c>
      <c r="BC86" s="183">
        <f>IF(BC85=0,0,HLOOKUP(BC85,[1]Trav!$C$39:$G$59,$AU$105))</f>
        <v>42</v>
      </c>
      <c r="BD86" s="183">
        <f>IF(BD85=0,0,HLOOKUP(BD85,[1]Trav!$C$39:$G$59,$AU$105))</f>
        <v>42</v>
      </c>
      <c r="BE86" s="183">
        <f>IF(BE85=0,0,HLOOKUP(BE85,[1]Trav!$C$39:$G$59,$AU$105))</f>
        <v>42</v>
      </c>
      <c r="BF86" s="183">
        <f>IF(BF85=0,0,HLOOKUP(BF85,[1]Trav!$C$39:$G$59,$AU$105))</f>
        <v>42</v>
      </c>
      <c r="BG86" s="183">
        <f>IF(BG85=0,0,HLOOKUP(BG85,[1]Trav!$C$39:$G$59,$AU$105))</f>
        <v>42</v>
      </c>
      <c r="BH86" s="183">
        <f>IF(BH85=0,0,HLOOKUP(BH85,[1]Trav!$C$39:$G$59,$AU$105))</f>
        <v>42</v>
      </c>
      <c r="BI86" s="183">
        <f>IF(BI85=0,0,HLOOKUP(BI85,[1]Trav!$C$39:$G$59,$AU$105))</f>
        <v>42</v>
      </c>
      <c r="BJ86" s="183">
        <f>IF(BJ85=0,0,HLOOKUP(BJ85,[1]Trav!$C$39:$G$59,$AU$105))</f>
        <v>42</v>
      </c>
      <c r="BK86" s="183">
        <f>IF(BK85=0,0,HLOOKUP(BK85,[1]Trav!$C$39:$G$59,$AU$105))</f>
        <v>42</v>
      </c>
      <c r="BL86" s="183">
        <f>IF(BL85=0,0,HLOOKUP(BL85,[1]Trav!$C$39:$G$59,$AU$105))</f>
        <v>42</v>
      </c>
      <c r="BM86" s="183">
        <f>IF(BM85=0,0,HLOOKUP(BM85,[1]Trav!$C$39:$G$59,$AU$105))</f>
        <v>42</v>
      </c>
      <c r="BN86" s="183">
        <f>IF(BN85=0,0,HLOOKUP(BN85,[1]Trav!$C$39:$G$59,$AU$105))</f>
        <v>42</v>
      </c>
      <c r="BO86" s="183">
        <f>IF(BO85=0,0,HLOOKUP(BO85,[1]Trav!$C$39:$G$59,$AU$105))</f>
        <v>42</v>
      </c>
      <c r="BP86" s="183">
        <f>IF(BP85=0,0,HLOOKUP(BP85,[1]Trav!$C$39:$G$59,$AU$105))</f>
        <v>42</v>
      </c>
      <c r="BQ86" s="183">
        <f>IF(BQ85=0,0,HLOOKUP(BQ85,[1]Trav!$C$39:$G$59,$AU$105))</f>
        <v>42</v>
      </c>
      <c r="BR86" s="183">
        <f>IF(BR85=0,0,HLOOKUP(BR85,[1]Trav!$C$39:$G$59,$AU$105))</f>
        <v>42</v>
      </c>
      <c r="BS86" s="183">
        <f>IF(BS85=0,0,HLOOKUP(BS85,[1]Trav!$C$39:$G$59,$AU$105))</f>
        <v>42</v>
      </c>
      <c r="BZ86" s="40" t="s">
        <v>811</v>
      </c>
      <c r="CB86" s="183">
        <f>IF(CB85=0,0,HLOOKUP(CB85,[1]Trav!$C$39:$G$59,$AU$105))</f>
        <v>0</v>
      </c>
      <c r="CC86" s="183">
        <f>IF(CC85=0,0,HLOOKUP(CC85,[1]Trav!$C$39:$G$59,$AU$105))</f>
        <v>0</v>
      </c>
      <c r="CD86" s="183">
        <f>IF(CD85=0,0,HLOOKUP(CD85,[1]Trav!$C$39:$G$59,$AU$105))</f>
        <v>0</v>
      </c>
      <c r="CE86" s="183">
        <f>IF(CE85=0,0,HLOOKUP(CE85,[1]Trav!$C$39:$G$59,$AU$105))</f>
        <v>0</v>
      </c>
      <c r="CF86" s="183">
        <f>IF(CF85=0,0,HLOOKUP(CF85,[1]Trav!$C$39:$G$59,$AU$105))</f>
        <v>0</v>
      </c>
      <c r="CG86" s="183">
        <f>IF(CG85=0,0,HLOOKUP(CG85,[1]Trav!$C$39:$G$59,$AU$105))</f>
        <v>0</v>
      </c>
      <c r="CH86" s="183">
        <f>IF(CH85=0,0,HLOOKUP(CH85,[1]Trav!$C$39:$G$59,$AU$105))</f>
        <v>0</v>
      </c>
      <c r="CI86" s="183">
        <f>IF(CI85=0,0,HLOOKUP(CI85,[1]Trav!$C$39:$G$59,$AU$105))</f>
        <v>0</v>
      </c>
      <c r="CJ86" s="183">
        <f>IF(CJ85=0,0,HLOOKUP(CJ85,[1]Trav!$C$39:$G$59,$AU$105))</f>
        <v>0</v>
      </c>
      <c r="CK86" s="183">
        <f>IF(CK85=0,0,HLOOKUP(CK85,[1]Trav!$C$39:$G$59,$AU$105))</f>
        <v>0</v>
      </c>
      <c r="CL86" s="183">
        <f>IF(CL85=0,0,HLOOKUP(CL85,[1]Trav!$C$39:$G$59,$AU$105))</f>
        <v>0</v>
      </c>
      <c r="CM86" s="183">
        <f>IF(CM85=0,0,HLOOKUP(CM85,[1]Trav!$C$39:$G$59,$AU$105))</f>
        <v>0</v>
      </c>
      <c r="CN86" s="183">
        <f>IF(CN85=0,0,HLOOKUP(CN85,[1]Trav!$C$39:$G$59,$AU$105))</f>
        <v>0</v>
      </c>
      <c r="CO86" s="183">
        <f>IF(CO85=0,0,HLOOKUP(CO85,[1]Trav!$C$39:$G$59,$AU$105))</f>
        <v>0</v>
      </c>
      <c r="CP86" s="183">
        <f>IF(CP85=0,0,HLOOKUP(CP85,[1]Trav!$C$39:$G$59,$AU$105))</f>
        <v>0</v>
      </c>
      <c r="CQ86" s="183">
        <f>IF(CQ85=0,0,HLOOKUP(CQ85,[1]Trav!$C$39:$G$59,$AU$105))</f>
        <v>0</v>
      </c>
      <c r="CR86" s="183">
        <f>IF(CR85=0,0,HLOOKUP(CR85,[1]Trav!$C$39:$G$59,$AU$105))</f>
        <v>0</v>
      </c>
      <c r="CS86" s="183">
        <f>IF(CS85=0,0,HLOOKUP(CS85,[1]Trav!$C$39:$G$59,$AU$105))</f>
        <v>0</v>
      </c>
      <c r="CT86" s="183">
        <f>IF(CT85=0,0,HLOOKUP(CT85,[1]Trav!$C$39:$G$59,$AU$105))</f>
        <v>0</v>
      </c>
      <c r="CU86" s="183">
        <f>IF(CU85=0,0,HLOOKUP(CU85,[1]Trav!$C$39:$G$59,$AU$105))</f>
        <v>0</v>
      </c>
      <c r="CV86" s="183">
        <f>IF(CV85=0,0,HLOOKUP(CV85,[1]Trav!$C$39:$G$59,$AU$105))</f>
        <v>0</v>
      </c>
      <c r="CW86" s="183">
        <f>IF(CW85=0,0,HLOOKUP(CW85,[1]Trav!$C$39:$G$59,$AU$105))</f>
        <v>0</v>
      </c>
      <c r="CX86" s="183">
        <f>IF(CX85=0,0,HLOOKUP(CX85,[1]Trav!$C$39:$G$59,$AU$105))</f>
        <v>0</v>
      </c>
      <c r="CY86" s="183">
        <f>IF(CY85=0,0,HLOOKUP(CY85,[1]Trav!$C$39:$G$59,$AU$105))</f>
        <v>0</v>
      </c>
      <c r="DC86" s="40" t="s">
        <v>811</v>
      </c>
      <c r="DE86" s="183">
        <f>IF(DE85=0,0,HLOOKUP(DE85,[1]Trav!$C$39:$G$59,$AU$105))</f>
        <v>0</v>
      </c>
      <c r="DF86" s="183">
        <f>IF(DF85=0,0,HLOOKUP(DF85,[1]Trav!$C$39:$G$59,$AU$105))</f>
        <v>0</v>
      </c>
      <c r="DG86" s="183">
        <f>IF(DG85=0,0,HLOOKUP(DG85,[1]Trav!$C$39:$G$59,$AU$105))</f>
        <v>0</v>
      </c>
      <c r="DH86" s="183">
        <f>IF(DH85=0,0,HLOOKUP(DH85,[1]Trav!$C$39:$G$59,$AU$105))</f>
        <v>0</v>
      </c>
      <c r="DI86" s="183">
        <f>IF(DI85=0,0,HLOOKUP(DI85,[1]Trav!$C$39:$G$59,$AU$105))</f>
        <v>0</v>
      </c>
      <c r="DJ86" s="183">
        <f>IF(DJ85=0,0,HLOOKUP(DJ85,[1]Trav!$C$39:$G$59,$AU$105))</f>
        <v>0</v>
      </c>
      <c r="DK86" s="183">
        <f>IF(DK85=0,0,HLOOKUP(DK85,[1]Trav!$C$39:$G$59,$AU$105))</f>
        <v>0</v>
      </c>
      <c r="DL86" s="183">
        <f>IF(DL85=0,0,HLOOKUP(DL85,[1]Trav!$C$39:$G$59,$AU$105))</f>
        <v>0</v>
      </c>
      <c r="DM86" s="183">
        <f>IF(DM85=0,0,HLOOKUP(DM85,[1]Trav!$C$39:$G$59,$AU$105))</f>
        <v>0</v>
      </c>
      <c r="DN86" s="183">
        <f>IF(DN85=0,0,HLOOKUP(DN85,[1]Trav!$C$39:$G$59,$AU$105))</f>
        <v>0</v>
      </c>
      <c r="DO86" s="183">
        <f>IF(DO85=0,0,HLOOKUP(DO85,[1]Trav!$C$39:$G$59,$AU$105))</f>
        <v>0</v>
      </c>
      <c r="DP86" s="183">
        <f>IF(DP85=0,0,HLOOKUP(DP85,[1]Trav!$C$39:$G$59,$AU$105))</f>
        <v>0</v>
      </c>
      <c r="DQ86" s="183">
        <f>IF(DQ85=0,0,HLOOKUP(DQ85,[1]Trav!$C$39:$G$59,$AU$105))</f>
        <v>0</v>
      </c>
      <c r="DR86" s="183">
        <f>IF(DR85=0,0,HLOOKUP(DR85,[1]Trav!$C$39:$G$59,$AU$105))</f>
        <v>0</v>
      </c>
      <c r="DS86" s="183">
        <f>IF(DS85=0,0,HLOOKUP(DS85,[1]Trav!$C$39:$G$59,$AU$105))</f>
        <v>0</v>
      </c>
      <c r="DT86" s="183">
        <f>IF(DT85=0,0,HLOOKUP(DT85,[1]Trav!$C$39:$G$59,$AU$105))</f>
        <v>0</v>
      </c>
      <c r="DU86" s="183">
        <f>IF(DU85=0,0,HLOOKUP(DU85,[1]Trav!$C$39:$G$59,$AU$105))</f>
        <v>0</v>
      </c>
      <c r="DV86" s="183">
        <f>IF(DV85=0,0,HLOOKUP(DV85,[1]Trav!$C$39:$G$59,$AU$105))</f>
        <v>0</v>
      </c>
      <c r="DW86" s="183">
        <f>IF(DW85=0,0,HLOOKUP(DW85,[1]Trav!$C$39:$G$59,$AU$105))</f>
        <v>0</v>
      </c>
      <c r="DX86" s="183">
        <f>IF(DX85=0,0,HLOOKUP(DX85,[1]Trav!$C$39:$G$59,$AU$105))</f>
        <v>0</v>
      </c>
      <c r="DY86" s="183">
        <f>IF(DY85=0,0,HLOOKUP(DY85,[1]Trav!$C$39:$G$59,$AU$105))</f>
        <v>0</v>
      </c>
      <c r="DZ86" s="183">
        <f>IF(DZ85=0,0,HLOOKUP(DZ85,[1]Trav!$C$39:$G$59,$AU$105))</f>
        <v>0</v>
      </c>
      <c r="EA86" s="183">
        <f>IF(EA85=0,0,HLOOKUP(EA85,[1]Trav!$C$39:$G$59,$AU$105))</f>
        <v>0</v>
      </c>
      <c r="EB86" s="183">
        <f>IF(EB85=0,0,HLOOKUP(EB85,[1]Trav!$C$39:$G$59,$AU$105))</f>
        <v>0</v>
      </c>
    </row>
    <row r="87" spans="1:132" x14ac:dyDescent="0.25">
      <c r="A87" s="171" t="s">
        <v>1374</v>
      </c>
      <c r="B87" s="168">
        <f>Scénario!K76</f>
        <v>0</v>
      </c>
      <c r="C87" s="5"/>
      <c r="F87" s="168">
        <f>B87*[1]Eco!$B$108*[1]Eco!$B$109</f>
        <v>0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R87" s="181" t="s">
        <v>730</v>
      </c>
      <c r="AT87" s="40" t="s">
        <v>812</v>
      </c>
      <c r="AV87" s="183">
        <f>IF(AV85=0,0,HLOOKUP(AV85,[1]Trav!$C$62:$G$82,$AU$105))</f>
        <v>2.3380000000000001</v>
      </c>
      <c r="AW87" s="183">
        <f>IF(AW85=0,0,HLOOKUP(AW85,[1]Trav!$C$62:$G$82,$AU$105))</f>
        <v>2.3380000000000001</v>
      </c>
      <c r="AX87" s="183">
        <f>IF(AX85=0,0,HLOOKUP(AX85,[1]Trav!$C$62:$G$82,$AU$105))</f>
        <v>2.3380000000000001</v>
      </c>
      <c r="AY87" s="183">
        <f>IF(AY85=0,0,HLOOKUP(AY85,[1]Trav!$C$62:$G$82,$AU$105))</f>
        <v>2.3380000000000001</v>
      </c>
      <c r="AZ87" s="183">
        <f>IF(AZ85=0,0,HLOOKUP(AZ85,[1]Trav!$C$62:$G$82,$AU$105))</f>
        <v>2.3380000000000001</v>
      </c>
      <c r="BA87" s="183">
        <f>IF(BA85=0,0,HLOOKUP(BA85,[1]Trav!$C$62:$G$82,$AU$105))</f>
        <v>2.3380000000000001</v>
      </c>
      <c r="BB87" s="183">
        <f>IF(BB85=0,0,HLOOKUP(BB85,[1]Trav!$C$62:$G$82,$AU$105))</f>
        <v>2.3380000000000001</v>
      </c>
      <c r="BC87" s="183">
        <f>IF(BC85=0,0,HLOOKUP(BC85,[1]Trav!$C$62:$G$82,$AU$105))</f>
        <v>2.3380000000000001</v>
      </c>
      <c r="BD87" s="183">
        <f>IF(BD85=0,0,HLOOKUP(BD85,[1]Trav!$C$62:$G$82,$AU$105))</f>
        <v>2.3380000000000001</v>
      </c>
      <c r="BE87" s="183">
        <f>IF(BE85=0,0,HLOOKUP(BE85,[1]Trav!$C$62:$G$82,$AU$105))</f>
        <v>2.3380000000000001</v>
      </c>
      <c r="BF87" s="183">
        <f>IF(BF85=0,0,HLOOKUP(BF85,[1]Trav!$C$62:$G$82,$AU$105))</f>
        <v>2.3380000000000001</v>
      </c>
      <c r="BG87" s="183">
        <f>IF(BG85=0,0,HLOOKUP(BG85,[1]Trav!$C$62:$G$82,$AU$105))</f>
        <v>2.3380000000000001</v>
      </c>
      <c r="BH87" s="183">
        <f>IF(BH85=0,0,HLOOKUP(BH85,[1]Trav!$C$62:$G$82,$AU$105))</f>
        <v>2.3380000000000001</v>
      </c>
      <c r="BI87" s="183">
        <f>IF(BI85=0,0,HLOOKUP(BI85,[1]Trav!$C$62:$G$82,$AU$105))</f>
        <v>2.3380000000000001</v>
      </c>
      <c r="BJ87" s="183">
        <f>IF(BJ85=0,0,HLOOKUP(BJ85,[1]Trav!$C$62:$G$82,$AU$105))</f>
        <v>2.3380000000000001</v>
      </c>
      <c r="BK87" s="183">
        <f>IF(BK85=0,0,HLOOKUP(BK85,[1]Trav!$C$62:$G$82,$AU$105))</f>
        <v>2.3380000000000001</v>
      </c>
      <c r="BL87" s="183">
        <f>IF(BL85=0,0,HLOOKUP(BL85,[1]Trav!$C$62:$G$82,$AU$105))</f>
        <v>2.3380000000000001</v>
      </c>
      <c r="BM87" s="183">
        <f>IF(BM85=0,0,HLOOKUP(BM85,[1]Trav!$C$62:$G$82,$AU$105))</f>
        <v>2.3380000000000001</v>
      </c>
      <c r="BN87" s="183">
        <f>IF(BN85=0,0,HLOOKUP(BN85,[1]Trav!$C$62:$G$82,$AU$105))</f>
        <v>2.3380000000000001</v>
      </c>
      <c r="BO87" s="183">
        <f>IF(BO85=0,0,HLOOKUP(BO85,[1]Trav!$C$62:$G$82,$AU$105))</f>
        <v>2.3380000000000001</v>
      </c>
      <c r="BP87" s="183">
        <f>IF(BP85=0,0,HLOOKUP(BP85,[1]Trav!$C$62:$G$82,$AU$105))</f>
        <v>2.3380000000000001</v>
      </c>
      <c r="BQ87" s="183">
        <f>IF(BQ85=0,0,HLOOKUP(BQ85,[1]Trav!$C$62:$G$82,$AU$105))</f>
        <v>2.3380000000000001</v>
      </c>
      <c r="BR87" s="183">
        <f>IF(BR85=0,0,HLOOKUP(BR85,[1]Trav!$C$62:$G$82,$AU$105))</f>
        <v>2.3380000000000001</v>
      </c>
      <c r="BS87" s="183">
        <f>IF(BS85=0,0,HLOOKUP(BS85,[1]Trav!$C$62:$G$82,$AU$105))</f>
        <v>2.3380000000000001</v>
      </c>
      <c r="BZ87" s="40" t="s">
        <v>812</v>
      </c>
      <c r="CB87" s="183">
        <f>IF(CB85=0,0,HLOOKUP(CB85,[1]Trav!$C$62:$G$82,$AU$105))</f>
        <v>0</v>
      </c>
      <c r="CC87" s="183">
        <f>IF(CC85=0,0,HLOOKUP(CC85,[1]Trav!$C$62:$G$82,$AU$105))</f>
        <v>0</v>
      </c>
      <c r="CD87" s="183">
        <f>IF(CD85=0,0,HLOOKUP(CD85,[1]Trav!$C$62:$G$82,$AU$105))</f>
        <v>0</v>
      </c>
      <c r="CE87" s="183">
        <f>IF(CE85=0,0,HLOOKUP(CE85,[1]Trav!$C$62:$G$82,$AU$105))</f>
        <v>0</v>
      </c>
      <c r="CF87" s="183">
        <f>IF(CF85=0,0,HLOOKUP(CF85,[1]Trav!$C$62:$G$82,$AU$105))</f>
        <v>0</v>
      </c>
      <c r="CG87" s="183">
        <f>IF(CG85=0,0,HLOOKUP(CG85,[1]Trav!$C$62:$G$82,$AU$105))</f>
        <v>0</v>
      </c>
      <c r="CH87" s="183">
        <f>IF(CH85=0,0,HLOOKUP(CH85,[1]Trav!$C$62:$G$82,$AU$105))</f>
        <v>0</v>
      </c>
      <c r="CI87" s="183">
        <f>IF(CI85=0,0,HLOOKUP(CI85,[1]Trav!$C$62:$G$82,$AU$105))</f>
        <v>0</v>
      </c>
      <c r="CJ87" s="183">
        <f>IF(CJ85=0,0,HLOOKUP(CJ85,[1]Trav!$C$62:$G$82,$AU$105))</f>
        <v>0</v>
      </c>
      <c r="CK87" s="183">
        <f>IF(CK85=0,0,HLOOKUP(CK85,[1]Trav!$C$62:$G$82,$AU$105))</f>
        <v>0</v>
      </c>
      <c r="CL87" s="183">
        <f>IF(CL85=0,0,HLOOKUP(CL85,[1]Trav!$C$62:$G$82,$AU$105))</f>
        <v>0</v>
      </c>
      <c r="CM87" s="183">
        <f>IF(CM85=0,0,HLOOKUP(CM85,[1]Trav!$C$62:$G$82,$AU$105))</f>
        <v>0</v>
      </c>
      <c r="CN87" s="183">
        <f>IF(CN85=0,0,HLOOKUP(CN85,[1]Trav!$C$62:$G$82,$AU$105))</f>
        <v>0</v>
      </c>
      <c r="CO87" s="183">
        <f>IF(CO85=0,0,HLOOKUP(CO85,[1]Trav!$C$62:$G$82,$AU$105))</f>
        <v>0</v>
      </c>
      <c r="CP87" s="183">
        <f>IF(CP85=0,0,HLOOKUP(CP85,[1]Trav!$C$62:$G$82,$AU$105))</f>
        <v>0</v>
      </c>
      <c r="CQ87" s="183">
        <f>IF(CQ85=0,0,HLOOKUP(CQ85,[1]Trav!$C$62:$G$82,$AU$105))</f>
        <v>0</v>
      </c>
      <c r="CR87" s="183">
        <f>IF(CR85=0,0,HLOOKUP(CR85,[1]Trav!$C$62:$G$82,$AU$105))</f>
        <v>0</v>
      </c>
      <c r="CS87" s="183">
        <f>IF(CS85=0,0,HLOOKUP(CS85,[1]Trav!$C$62:$G$82,$AU$105))</f>
        <v>0</v>
      </c>
      <c r="CT87" s="183">
        <f>IF(CT85=0,0,HLOOKUP(CT85,[1]Trav!$C$62:$G$82,$AU$105))</f>
        <v>0</v>
      </c>
      <c r="CU87" s="183">
        <f>IF(CU85=0,0,HLOOKUP(CU85,[1]Trav!$C$62:$G$82,$AU$105))</f>
        <v>0</v>
      </c>
      <c r="CV87" s="183">
        <f>IF(CV85=0,0,HLOOKUP(CV85,[1]Trav!$C$62:$G$82,$AU$105))</f>
        <v>0</v>
      </c>
      <c r="CW87" s="183">
        <f>IF(CW85=0,0,HLOOKUP(CW85,[1]Trav!$C$62:$G$82,$AU$105))</f>
        <v>0</v>
      </c>
      <c r="CX87" s="183">
        <f>IF(CX85=0,0,HLOOKUP(CX85,[1]Trav!$C$62:$G$82,$AU$105))</f>
        <v>0</v>
      </c>
      <c r="CY87" s="183">
        <f>IF(CY85=0,0,HLOOKUP(CY85,[1]Trav!$C$62:$G$82,$AU$105))</f>
        <v>0</v>
      </c>
      <c r="DC87" s="40" t="s">
        <v>812</v>
      </c>
      <c r="DE87" s="183">
        <f>IF(DE85=0,0,HLOOKUP(DE85,[1]Trav!$C$62:$G$82,$AU$105))</f>
        <v>0</v>
      </c>
      <c r="DF87" s="183">
        <f>IF(DF85=0,0,HLOOKUP(DF85,[1]Trav!$C$62:$G$82,$AU$105))</f>
        <v>0</v>
      </c>
      <c r="DG87" s="183">
        <f>IF(DG85=0,0,HLOOKUP(DG85,[1]Trav!$C$62:$G$82,$AU$105))</f>
        <v>0</v>
      </c>
      <c r="DH87" s="183">
        <f>IF(DH85=0,0,HLOOKUP(DH85,[1]Trav!$C$62:$G$82,$AU$105))</f>
        <v>0</v>
      </c>
      <c r="DI87" s="183">
        <f>IF(DI85=0,0,HLOOKUP(DI85,[1]Trav!$C$62:$G$82,$AU$105))</f>
        <v>0</v>
      </c>
      <c r="DJ87" s="183">
        <f>IF(DJ85=0,0,HLOOKUP(DJ85,[1]Trav!$C$62:$G$82,$AU$105))</f>
        <v>0</v>
      </c>
      <c r="DK87" s="183">
        <f>IF(DK85=0,0,HLOOKUP(DK85,[1]Trav!$C$62:$G$82,$AU$105))</f>
        <v>0</v>
      </c>
      <c r="DL87" s="183">
        <f>IF(DL85=0,0,HLOOKUP(DL85,[1]Trav!$C$62:$G$82,$AU$105))</f>
        <v>0</v>
      </c>
      <c r="DM87" s="183">
        <f>IF(DM85=0,0,HLOOKUP(DM85,[1]Trav!$C$62:$G$82,$AU$105))</f>
        <v>0</v>
      </c>
      <c r="DN87" s="183">
        <f>IF(DN85=0,0,HLOOKUP(DN85,[1]Trav!$C$62:$G$82,$AU$105))</f>
        <v>0</v>
      </c>
      <c r="DO87" s="183">
        <f>IF(DO85=0,0,HLOOKUP(DO85,[1]Trav!$C$62:$G$82,$AU$105))</f>
        <v>0</v>
      </c>
      <c r="DP87" s="183">
        <f>IF(DP85=0,0,HLOOKUP(DP85,[1]Trav!$C$62:$G$82,$AU$105))</f>
        <v>0</v>
      </c>
      <c r="DQ87" s="183">
        <f>IF(DQ85=0,0,HLOOKUP(DQ85,[1]Trav!$C$62:$G$82,$AU$105))</f>
        <v>0</v>
      </c>
      <c r="DR87" s="183">
        <f>IF(DR85=0,0,HLOOKUP(DR85,[1]Trav!$C$62:$G$82,$AU$105))</f>
        <v>0</v>
      </c>
      <c r="DS87" s="183">
        <f>IF(DS85=0,0,HLOOKUP(DS85,[1]Trav!$C$62:$G$82,$AU$105))</f>
        <v>0</v>
      </c>
      <c r="DT87" s="183">
        <f>IF(DT85=0,0,HLOOKUP(DT85,[1]Trav!$C$62:$G$82,$AU$105))</f>
        <v>0</v>
      </c>
      <c r="DU87" s="183">
        <f>IF(DU85=0,0,HLOOKUP(DU85,[1]Trav!$C$62:$G$82,$AU$105))</f>
        <v>0</v>
      </c>
      <c r="DV87" s="183">
        <f>IF(DV85=0,0,HLOOKUP(DV85,[1]Trav!$C$62:$G$82,$AU$105))</f>
        <v>0</v>
      </c>
      <c r="DW87" s="183">
        <f>IF(DW85=0,0,HLOOKUP(DW85,[1]Trav!$C$62:$G$82,$AU$105))</f>
        <v>0</v>
      </c>
      <c r="DX87" s="183">
        <f>IF(DX85=0,0,HLOOKUP(DX85,[1]Trav!$C$62:$G$82,$AU$105))</f>
        <v>0</v>
      </c>
      <c r="DY87" s="183">
        <f>IF(DY85=0,0,HLOOKUP(DY85,[1]Trav!$C$62:$G$82,$AU$105))</f>
        <v>0</v>
      </c>
      <c r="DZ87" s="183">
        <f>IF(DZ85=0,0,HLOOKUP(DZ85,[1]Trav!$C$62:$G$82,$AU$105))</f>
        <v>0</v>
      </c>
      <c r="EA87" s="183">
        <f>IF(EA85=0,0,HLOOKUP(EA85,[1]Trav!$C$62:$G$82,$AU$105))</f>
        <v>0</v>
      </c>
      <c r="EB87" s="183">
        <f>IF(EB85=0,0,HLOOKUP(EB85,[1]Trav!$C$62:$G$82,$AU$105))</f>
        <v>0</v>
      </c>
    </row>
    <row r="88" spans="1:132" x14ac:dyDescent="0.25">
      <c r="A88" s="5"/>
      <c r="B88" s="5"/>
      <c r="C88" s="5"/>
      <c r="F88" s="166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BY88" s="2"/>
      <c r="BZ88" s="40" t="s">
        <v>813</v>
      </c>
      <c r="CB88" s="165"/>
      <c r="CC88" s="165"/>
      <c r="CD88" s="165"/>
      <c r="CE88" s="165"/>
      <c r="CF88" s="165"/>
      <c r="CG88" s="165"/>
      <c r="CH88" s="165"/>
      <c r="CI88" s="165"/>
      <c r="CJ88" s="165"/>
      <c r="CK88" s="165"/>
      <c r="CL88" s="165"/>
      <c r="CM88" s="165"/>
      <c r="CN88" s="165"/>
      <c r="CO88" s="165"/>
      <c r="CP88" s="165"/>
      <c r="CQ88" s="165"/>
      <c r="CR88" s="165"/>
      <c r="CS88" s="165"/>
      <c r="CT88" s="165"/>
      <c r="CU88" s="165"/>
      <c r="CV88" s="165"/>
      <c r="CW88" s="165"/>
      <c r="CX88" s="165"/>
      <c r="CY88" s="165"/>
      <c r="DB88" s="2"/>
      <c r="DE88" s="165"/>
      <c r="DF88" s="165"/>
      <c r="DG88" s="165"/>
      <c r="DH88" s="165"/>
      <c r="DI88" s="165"/>
      <c r="DJ88" s="165"/>
      <c r="DK88" s="165"/>
      <c r="DL88" s="165"/>
      <c r="DM88" s="165"/>
      <c r="DN88" s="165"/>
      <c r="DO88" s="165"/>
      <c r="DP88" s="165"/>
      <c r="DQ88" s="165"/>
      <c r="DR88" s="165"/>
      <c r="DS88" s="165"/>
      <c r="DT88" s="165"/>
      <c r="DU88" s="165"/>
      <c r="DV88" s="165"/>
      <c r="DW88" s="165"/>
      <c r="DX88" s="165"/>
      <c r="DY88" s="165"/>
      <c r="DZ88" s="165"/>
      <c r="EA88" s="165"/>
      <c r="EB88" s="165"/>
    </row>
    <row r="89" spans="1:132" x14ac:dyDescent="0.25">
      <c r="A89" s="5"/>
      <c r="B89" s="5"/>
      <c r="C89" s="5"/>
      <c r="F89" s="166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T89" s="40" t="s">
        <v>813</v>
      </c>
      <c r="BY89" s="2"/>
      <c r="BZ89" s="40"/>
      <c r="CB89" s="165"/>
      <c r="CC89" s="165"/>
      <c r="CD89" s="165"/>
      <c r="CE89" s="165"/>
      <c r="CF89" s="165"/>
      <c r="CG89" s="165"/>
      <c r="CH89" s="165"/>
      <c r="CI89" s="165"/>
      <c r="CJ89" s="165"/>
      <c r="CK89" s="165"/>
      <c r="CL89" s="165"/>
      <c r="CM89" s="165"/>
      <c r="CN89" s="165"/>
      <c r="CO89" s="165"/>
      <c r="CP89" s="165"/>
      <c r="CQ89" s="165"/>
      <c r="CR89" s="165"/>
      <c r="CS89" s="165"/>
      <c r="CT89" s="165"/>
      <c r="CU89" s="165"/>
      <c r="CV89" s="165"/>
      <c r="CW89" s="165"/>
      <c r="CX89" s="165"/>
      <c r="CY89" s="165"/>
      <c r="DB89" s="2"/>
      <c r="DC89" s="40" t="s">
        <v>813</v>
      </c>
      <c r="DE89" s="165"/>
      <c r="DF89" s="165"/>
      <c r="DG89" s="165"/>
      <c r="DH89" s="165"/>
      <c r="DI89" s="165"/>
      <c r="DJ89" s="165"/>
      <c r="DK89" s="165"/>
      <c r="DL89" s="165"/>
      <c r="DM89" s="165"/>
      <c r="DN89" s="165"/>
      <c r="DO89" s="165"/>
      <c r="DP89" s="165"/>
      <c r="DQ89" s="165"/>
      <c r="DR89" s="165"/>
      <c r="DS89" s="165"/>
      <c r="DT89" s="165"/>
      <c r="DU89" s="165"/>
      <c r="DV89" s="165"/>
      <c r="DW89" s="165"/>
      <c r="DX89" s="165"/>
      <c r="DY89" s="165"/>
      <c r="DZ89" s="165"/>
      <c r="EA89" s="165"/>
      <c r="EB89" s="165"/>
    </row>
    <row r="90" spans="1:132" x14ac:dyDescent="0.25">
      <c r="A90" s="23" t="s">
        <v>814</v>
      </c>
      <c r="B90" s="5" t="s">
        <v>815</v>
      </c>
      <c r="C90" s="5"/>
      <c r="D90" s="5" t="s">
        <v>816</v>
      </c>
      <c r="F90" s="166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T90" s="182" t="str">
        <f t="shared" ref="AT90:AT93" si="59">AT26</f>
        <v xml:space="preserve">Vaches </v>
      </c>
      <c r="AV90" s="168">
        <f t="shared" ref="AV90:BS95" si="60">IF(AV37&gt;1,AV4,0)</f>
        <v>32.799999999999997</v>
      </c>
      <c r="AW90" s="168">
        <f t="shared" si="60"/>
        <v>32.799999999999997</v>
      </c>
      <c r="AX90" s="168">
        <f t="shared" si="60"/>
        <v>32.799999999999997</v>
      </c>
      <c r="AY90" s="168">
        <f t="shared" si="60"/>
        <v>32.799999999999997</v>
      </c>
      <c r="AZ90" s="168">
        <f t="shared" si="60"/>
        <v>0</v>
      </c>
      <c r="BA90" s="168">
        <f t="shared" si="60"/>
        <v>0</v>
      </c>
      <c r="BB90" s="168">
        <f t="shared" si="60"/>
        <v>0</v>
      </c>
      <c r="BC90" s="168">
        <f t="shared" si="60"/>
        <v>0</v>
      </c>
      <c r="BD90" s="168">
        <f t="shared" si="60"/>
        <v>0</v>
      </c>
      <c r="BE90" s="168">
        <f t="shared" si="60"/>
        <v>0</v>
      </c>
      <c r="BF90" s="168">
        <f t="shared" si="60"/>
        <v>0</v>
      </c>
      <c r="BG90" s="168">
        <f t="shared" si="60"/>
        <v>0</v>
      </c>
      <c r="BH90" s="168">
        <f t="shared" si="60"/>
        <v>0</v>
      </c>
      <c r="BI90" s="168">
        <f t="shared" si="60"/>
        <v>0</v>
      </c>
      <c r="BJ90" s="168">
        <f t="shared" si="60"/>
        <v>0</v>
      </c>
      <c r="BK90" s="168">
        <f t="shared" si="60"/>
        <v>0</v>
      </c>
      <c r="BL90" s="168">
        <f t="shared" si="60"/>
        <v>0</v>
      </c>
      <c r="BM90" s="168">
        <f t="shared" si="60"/>
        <v>0</v>
      </c>
      <c r="BN90" s="168">
        <f t="shared" si="60"/>
        <v>0</v>
      </c>
      <c r="BO90" s="168">
        <f t="shared" si="60"/>
        <v>0</v>
      </c>
      <c r="BP90" s="168">
        <f t="shared" si="60"/>
        <v>30.4</v>
      </c>
      <c r="BQ90" s="168">
        <f t="shared" si="60"/>
        <v>32.799999999999997</v>
      </c>
      <c r="BR90" s="168">
        <f t="shared" si="60"/>
        <v>32.799999999999997</v>
      </c>
      <c r="BS90" s="168">
        <f t="shared" si="60"/>
        <v>32.799999999999997</v>
      </c>
      <c r="BY90" s="2"/>
      <c r="BZ90" s="182" t="str">
        <f t="shared" ref="BZ90:BZ93" si="61">BZ26</f>
        <v>lot1</v>
      </c>
      <c r="CB90" s="168">
        <f t="shared" ref="CB90:CY95" si="62">IF(CB37&gt;1,CB4,0)</f>
        <v>0</v>
      </c>
      <c r="CC90" s="168">
        <f t="shared" si="62"/>
        <v>0</v>
      </c>
      <c r="CD90" s="168">
        <f t="shared" si="62"/>
        <v>0</v>
      </c>
      <c r="CE90" s="168">
        <f t="shared" si="62"/>
        <v>0</v>
      </c>
      <c r="CF90" s="168">
        <f t="shared" si="62"/>
        <v>0</v>
      </c>
      <c r="CG90" s="168">
        <f t="shared" si="62"/>
        <v>0</v>
      </c>
      <c r="CH90" s="168">
        <f t="shared" si="62"/>
        <v>0</v>
      </c>
      <c r="CI90" s="168">
        <f t="shared" si="62"/>
        <v>0</v>
      </c>
      <c r="CJ90" s="168">
        <f t="shared" si="62"/>
        <v>0</v>
      </c>
      <c r="CK90" s="168">
        <f t="shared" si="62"/>
        <v>0</v>
      </c>
      <c r="CL90" s="168">
        <f t="shared" si="62"/>
        <v>0</v>
      </c>
      <c r="CM90" s="168">
        <f t="shared" si="62"/>
        <v>0</v>
      </c>
      <c r="CN90" s="168">
        <f t="shared" si="62"/>
        <v>0</v>
      </c>
      <c r="CO90" s="168">
        <f t="shared" si="62"/>
        <v>0</v>
      </c>
      <c r="CP90" s="168">
        <f t="shared" si="62"/>
        <v>0</v>
      </c>
      <c r="CQ90" s="168">
        <f t="shared" si="62"/>
        <v>0</v>
      </c>
      <c r="CR90" s="168">
        <f t="shared" si="62"/>
        <v>0</v>
      </c>
      <c r="CS90" s="168">
        <f t="shared" si="62"/>
        <v>0</v>
      </c>
      <c r="CT90" s="168">
        <f t="shared" si="62"/>
        <v>0</v>
      </c>
      <c r="CU90" s="168">
        <f t="shared" si="62"/>
        <v>0</v>
      </c>
      <c r="CV90" s="168">
        <f t="shared" si="62"/>
        <v>0</v>
      </c>
      <c r="CW90" s="168">
        <f t="shared" si="62"/>
        <v>0</v>
      </c>
      <c r="CX90" s="168">
        <f t="shared" si="62"/>
        <v>0</v>
      </c>
      <c r="CY90" s="168">
        <f t="shared" si="62"/>
        <v>0</v>
      </c>
      <c r="DB90" s="2"/>
      <c r="DC90" s="182" t="str">
        <f t="shared" ref="DC90:DC93" si="63">DC26</f>
        <v>lot1</v>
      </c>
      <c r="DE90" s="168">
        <f t="shared" ref="DE90:EB95" si="64">IF(DE37&gt;1,DE4,0)</f>
        <v>0</v>
      </c>
      <c r="DF90" s="168">
        <f t="shared" si="64"/>
        <v>0</v>
      </c>
      <c r="DG90" s="168">
        <f t="shared" si="64"/>
        <v>0</v>
      </c>
      <c r="DH90" s="168">
        <f t="shared" si="64"/>
        <v>0</v>
      </c>
      <c r="DI90" s="168">
        <f t="shared" si="64"/>
        <v>0</v>
      </c>
      <c r="DJ90" s="168">
        <f t="shared" si="64"/>
        <v>0</v>
      </c>
      <c r="DK90" s="168">
        <f t="shared" si="64"/>
        <v>0</v>
      </c>
      <c r="DL90" s="168">
        <f t="shared" si="64"/>
        <v>0</v>
      </c>
      <c r="DM90" s="168">
        <f t="shared" si="64"/>
        <v>0</v>
      </c>
      <c r="DN90" s="168">
        <f t="shared" si="64"/>
        <v>0</v>
      </c>
      <c r="DO90" s="168">
        <f t="shared" si="64"/>
        <v>0</v>
      </c>
      <c r="DP90" s="168">
        <f t="shared" si="64"/>
        <v>0</v>
      </c>
      <c r="DQ90" s="168">
        <f t="shared" si="64"/>
        <v>0</v>
      </c>
      <c r="DR90" s="168">
        <f t="shared" si="64"/>
        <v>0</v>
      </c>
      <c r="DS90" s="168">
        <f t="shared" si="64"/>
        <v>0</v>
      </c>
      <c r="DT90" s="168">
        <f t="shared" si="64"/>
        <v>0</v>
      </c>
      <c r="DU90" s="168">
        <f t="shared" si="64"/>
        <v>0</v>
      </c>
      <c r="DV90" s="168">
        <f t="shared" si="64"/>
        <v>0</v>
      </c>
      <c r="DW90" s="168">
        <f t="shared" si="64"/>
        <v>0</v>
      </c>
      <c r="DX90" s="168">
        <f t="shared" si="64"/>
        <v>0</v>
      </c>
      <c r="DY90" s="168">
        <f t="shared" si="64"/>
        <v>0</v>
      </c>
      <c r="DZ90" s="168">
        <f t="shared" si="64"/>
        <v>0</v>
      </c>
      <c r="EA90" s="168">
        <f t="shared" si="64"/>
        <v>0</v>
      </c>
      <c r="EB90" s="168">
        <f t="shared" si="64"/>
        <v>0</v>
      </c>
    </row>
    <row r="91" spans="1:132" x14ac:dyDescent="0.25">
      <c r="A91" s="5" t="s">
        <v>817</v>
      </c>
      <c r="B91" s="194">
        <f>F5+F9</f>
        <v>1467.4531199999992</v>
      </c>
      <c r="C91" s="5"/>
      <c r="D91" s="195">
        <f>B91/Troupeau!$B$17</f>
        <v>36.686327999999982</v>
      </c>
      <c r="F91" s="166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T91" s="182" t="str">
        <f t="shared" si="59"/>
        <v>Génisses 24 mois</v>
      </c>
      <c r="AV91" s="168">
        <f t="shared" si="60"/>
        <v>9.6</v>
      </c>
      <c r="AW91" s="168">
        <f t="shared" si="60"/>
        <v>9.6</v>
      </c>
      <c r="AX91" s="168">
        <f t="shared" si="60"/>
        <v>9.6</v>
      </c>
      <c r="AY91" s="168">
        <f t="shared" si="60"/>
        <v>9.6</v>
      </c>
      <c r="AZ91" s="168">
        <f t="shared" si="60"/>
        <v>9.6</v>
      </c>
      <c r="BA91" s="168">
        <f t="shared" si="60"/>
        <v>9.6</v>
      </c>
      <c r="BB91" s="168">
        <f t="shared" si="60"/>
        <v>0</v>
      </c>
      <c r="BC91" s="168">
        <f t="shared" si="60"/>
        <v>0</v>
      </c>
      <c r="BD91" s="168">
        <f t="shared" si="60"/>
        <v>0</v>
      </c>
      <c r="BE91" s="168">
        <f t="shared" si="60"/>
        <v>0</v>
      </c>
      <c r="BF91" s="168">
        <f t="shared" si="60"/>
        <v>0</v>
      </c>
      <c r="BG91" s="168">
        <f t="shared" si="60"/>
        <v>0</v>
      </c>
      <c r="BH91" s="168">
        <f t="shared" si="60"/>
        <v>0</v>
      </c>
      <c r="BI91" s="168">
        <f t="shared" si="60"/>
        <v>0</v>
      </c>
      <c r="BJ91" s="168">
        <f t="shared" si="60"/>
        <v>0</v>
      </c>
      <c r="BK91" s="168">
        <f t="shared" si="60"/>
        <v>0</v>
      </c>
      <c r="BL91" s="168">
        <f t="shared" si="60"/>
        <v>0</v>
      </c>
      <c r="BM91" s="168">
        <f t="shared" si="60"/>
        <v>0</v>
      </c>
      <c r="BN91" s="168">
        <f t="shared" si="60"/>
        <v>0</v>
      </c>
      <c r="BO91" s="168">
        <f t="shared" si="60"/>
        <v>0</v>
      </c>
      <c r="BP91" s="168">
        <f t="shared" si="60"/>
        <v>9.6</v>
      </c>
      <c r="BQ91" s="168">
        <f t="shared" si="60"/>
        <v>9.6</v>
      </c>
      <c r="BR91" s="168">
        <f t="shared" si="60"/>
        <v>9.6</v>
      </c>
      <c r="BS91" s="168">
        <f t="shared" si="60"/>
        <v>9.6</v>
      </c>
      <c r="BY91" s="2"/>
      <c r="BZ91" s="182" t="str">
        <f t="shared" si="61"/>
        <v>lot2</v>
      </c>
      <c r="CB91" s="168">
        <f t="shared" si="62"/>
        <v>0</v>
      </c>
      <c r="CC91" s="168">
        <f t="shared" si="62"/>
        <v>0</v>
      </c>
      <c r="CD91" s="168">
        <f t="shared" si="62"/>
        <v>0</v>
      </c>
      <c r="CE91" s="168">
        <f t="shared" si="62"/>
        <v>0</v>
      </c>
      <c r="CF91" s="168">
        <f t="shared" si="62"/>
        <v>0</v>
      </c>
      <c r="CG91" s="168">
        <f t="shared" si="62"/>
        <v>0</v>
      </c>
      <c r="CH91" s="168">
        <f t="shared" si="62"/>
        <v>0</v>
      </c>
      <c r="CI91" s="168">
        <f t="shared" si="62"/>
        <v>0</v>
      </c>
      <c r="CJ91" s="168">
        <f t="shared" si="62"/>
        <v>0</v>
      </c>
      <c r="CK91" s="168">
        <f t="shared" si="62"/>
        <v>0</v>
      </c>
      <c r="CL91" s="168">
        <f t="shared" si="62"/>
        <v>0</v>
      </c>
      <c r="CM91" s="168">
        <f t="shared" si="62"/>
        <v>0</v>
      </c>
      <c r="CN91" s="168">
        <f t="shared" si="62"/>
        <v>0</v>
      </c>
      <c r="CO91" s="168">
        <f t="shared" si="62"/>
        <v>0</v>
      </c>
      <c r="CP91" s="168">
        <f t="shared" si="62"/>
        <v>0</v>
      </c>
      <c r="CQ91" s="168">
        <f t="shared" si="62"/>
        <v>0</v>
      </c>
      <c r="CR91" s="168">
        <f t="shared" si="62"/>
        <v>0</v>
      </c>
      <c r="CS91" s="168">
        <f t="shared" si="62"/>
        <v>0</v>
      </c>
      <c r="CT91" s="168">
        <f t="shared" si="62"/>
        <v>0</v>
      </c>
      <c r="CU91" s="168">
        <f t="shared" si="62"/>
        <v>0</v>
      </c>
      <c r="CV91" s="168">
        <f t="shared" si="62"/>
        <v>0</v>
      </c>
      <c r="CW91" s="168">
        <f t="shared" si="62"/>
        <v>0</v>
      </c>
      <c r="CX91" s="168">
        <f t="shared" si="62"/>
        <v>0</v>
      </c>
      <c r="CY91" s="168">
        <f t="shared" si="62"/>
        <v>0</v>
      </c>
      <c r="DB91" s="2"/>
      <c r="DC91" s="182" t="str">
        <f t="shared" si="63"/>
        <v>lot2</v>
      </c>
      <c r="DE91" s="168">
        <f t="shared" si="64"/>
        <v>0</v>
      </c>
      <c r="DF91" s="168">
        <f t="shared" si="64"/>
        <v>0</v>
      </c>
      <c r="DG91" s="168">
        <f t="shared" si="64"/>
        <v>0</v>
      </c>
      <c r="DH91" s="168">
        <f t="shared" si="64"/>
        <v>0</v>
      </c>
      <c r="DI91" s="168">
        <f t="shared" si="64"/>
        <v>0</v>
      </c>
      <c r="DJ91" s="168">
        <f t="shared" si="64"/>
        <v>0</v>
      </c>
      <c r="DK91" s="168">
        <f t="shared" si="64"/>
        <v>0</v>
      </c>
      <c r="DL91" s="168">
        <f t="shared" si="64"/>
        <v>0</v>
      </c>
      <c r="DM91" s="168">
        <f t="shared" si="64"/>
        <v>0</v>
      </c>
      <c r="DN91" s="168">
        <f t="shared" si="64"/>
        <v>0</v>
      </c>
      <c r="DO91" s="168">
        <f t="shared" si="64"/>
        <v>0</v>
      </c>
      <c r="DP91" s="168">
        <f t="shared" si="64"/>
        <v>0</v>
      </c>
      <c r="DQ91" s="168">
        <f t="shared" si="64"/>
        <v>0</v>
      </c>
      <c r="DR91" s="168">
        <f t="shared" si="64"/>
        <v>0</v>
      </c>
      <c r="DS91" s="168">
        <f t="shared" si="64"/>
        <v>0</v>
      </c>
      <c r="DT91" s="168">
        <f t="shared" si="64"/>
        <v>0</v>
      </c>
      <c r="DU91" s="168">
        <f t="shared" si="64"/>
        <v>0</v>
      </c>
      <c r="DV91" s="168">
        <f t="shared" si="64"/>
        <v>0</v>
      </c>
      <c r="DW91" s="168">
        <f t="shared" si="64"/>
        <v>0</v>
      </c>
      <c r="DX91" s="168">
        <f t="shared" si="64"/>
        <v>0</v>
      </c>
      <c r="DY91" s="168">
        <f t="shared" si="64"/>
        <v>0</v>
      </c>
      <c r="DZ91" s="168">
        <f t="shared" si="64"/>
        <v>0</v>
      </c>
      <c r="EA91" s="168">
        <f t="shared" si="64"/>
        <v>0</v>
      </c>
      <c r="EB91" s="168">
        <f t="shared" si="64"/>
        <v>0</v>
      </c>
    </row>
    <row r="92" spans="1:132" x14ac:dyDescent="0.25">
      <c r="A92" s="5" t="s">
        <v>818</v>
      </c>
      <c r="B92" s="194">
        <f>F6+F10</f>
        <v>0</v>
      </c>
      <c r="C92" s="5"/>
      <c r="D92" s="195">
        <f>IF(B92=0,0,B92/Troupeau!$C$17)</f>
        <v>0</v>
      </c>
      <c r="F92" s="166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T92" s="182" t="str">
        <f t="shared" si="59"/>
        <v>Génisses jeunes</v>
      </c>
      <c r="AV92" s="168">
        <f t="shared" si="60"/>
        <v>9.6</v>
      </c>
      <c r="AW92" s="168">
        <f t="shared" si="60"/>
        <v>9.6</v>
      </c>
      <c r="AX92" s="168">
        <f t="shared" si="60"/>
        <v>9.6</v>
      </c>
      <c r="AY92" s="168">
        <f t="shared" si="60"/>
        <v>9.6</v>
      </c>
      <c r="AZ92" s="168">
        <f t="shared" si="60"/>
        <v>9.6</v>
      </c>
      <c r="BA92" s="168">
        <f t="shared" si="60"/>
        <v>9.6</v>
      </c>
      <c r="BB92" s="168">
        <f t="shared" si="60"/>
        <v>9.6</v>
      </c>
      <c r="BC92" s="168">
        <f t="shared" si="60"/>
        <v>9.6</v>
      </c>
      <c r="BD92" s="168">
        <f t="shared" si="60"/>
        <v>9.6</v>
      </c>
      <c r="BE92" s="168">
        <f t="shared" si="60"/>
        <v>9.6</v>
      </c>
      <c r="BF92" s="168">
        <f t="shared" si="60"/>
        <v>9.6</v>
      </c>
      <c r="BG92" s="168">
        <f t="shared" si="60"/>
        <v>9.6</v>
      </c>
      <c r="BH92" s="168">
        <f t="shared" si="60"/>
        <v>9.6</v>
      </c>
      <c r="BI92" s="168">
        <f t="shared" si="60"/>
        <v>9.6</v>
      </c>
      <c r="BJ92" s="168">
        <f t="shared" si="60"/>
        <v>9.6</v>
      </c>
      <c r="BK92" s="168">
        <f t="shared" si="60"/>
        <v>9.6</v>
      </c>
      <c r="BL92" s="168">
        <f t="shared" si="60"/>
        <v>9.6</v>
      </c>
      <c r="BM92" s="168">
        <f t="shared" si="60"/>
        <v>9.6</v>
      </c>
      <c r="BN92" s="168">
        <f t="shared" si="60"/>
        <v>9.6</v>
      </c>
      <c r="BO92" s="168">
        <f t="shared" si="60"/>
        <v>9.6</v>
      </c>
      <c r="BP92" s="168">
        <f t="shared" si="60"/>
        <v>9.6</v>
      </c>
      <c r="BQ92" s="168">
        <f t="shared" si="60"/>
        <v>9.6</v>
      </c>
      <c r="BR92" s="168">
        <f t="shared" si="60"/>
        <v>9.6</v>
      </c>
      <c r="BS92" s="168">
        <f t="shared" si="60"/>
        <v>9.6</v>
      </c>
      <c r="BY92" s="2"/>
      <c r="BZ92" s="182" t="str">
        <f t="shared" si="61"/>
        <v>lot3</v>
      </c>
      <c r="CB92" s="168">
        <f t="shared" si="62"/>
        <v>0</v>
      </c>
      <c r="CC92" s="168">
        <f t="shared" si="62"/>
        <v>0</v>
      </c>
      <c r="CD92" s="168">
        <f t="shared" si="62"/>
        <v>0</v>
      </c>
      <c r="CE92" s="168">
        <f t="shared" si="62"/>
        <v>0</v>
      </c>
      <c r="CF92" s="168">
        <f t="shared" si="62"/>
        <v>0</v>
      </c>
      <c r="CG92" s="168">
        <f t="shared" si="62"/>
        <v>0</v>
      </c>
      <c r="CH92" s="168">
        <f t="shared" si="62"/>
        <v>0</v>
      </c>
      <c r="CI92" s="168">
        <f t="shared" si="62"/>
        <v>0</v>
      </c>
      <c r="CJ92" s="168">
        <f t="shared" si="62"/>
        <v>0</v>
      </c>
      <c r="CK92" s="168">
        <f t="shared" si="62"/>
        <v>0</v>
      </c>
      <c r="CL92" s="168">
        <f t="shared" si="62"/>
        <v>0</v>
      </c>
      <c r="CM92" s="168">
        <f t="shared" si="62"/>
        <v>0</v>
      </c>
      <c r="CN92" s="168">
        <f t="shared" si="62"/>
        <v>0</v>
      </c>
      <c r="CO92" s="168">
        <f t="shared" si="62"/>
        <v>0</v>
      </c>
      <c r="CP92" s="168">
        <f t="shared" si="62"/>
        <v>0</v>
      </c>
      <c r="CQ92" s="168">
        <f t="shared" si="62"/>
        <v>0</v>
      </c>
      <c r="CR92" s="168">
        <f t="shared" si="62"/>
        <v>0</v>
      </c>
      <c r="CS92" s="168">
        <f t="shared" si="62"/>
        <v>0</v>
      </c>
      <c r="CT92" s="168">
        <f t="shared" si="62"/>
        <v>0</v>
      </c>
      <c r="CU92" s="168">
        <f t="shared" si="62"/>
        <v>0</v>
      </c>
      <c r="CV92" s="168">
        <f t="shared" si="62"/>
        <v>0</v>
      </c>
      <c r="CW92" s="168">
        <f t="shared" si="62"/>
        <v>0</v>
      </c>
      <c r="CX92" s="168">
        <f t="shared" si="62"/>
        <v>0</v>
      </c>
      <c r="CY92" s="168">
        <f t="shared" si="62"/>
        <v>0</v>
      </c>
      <c r="DB92" s="2"/>
      <c r="DC92" s="182" t="str">
        <f t="shared" si="63"/>
        <v>lot3</v>
      </c>
      <c r="DE92" s="168">
        <f t="shared" si="64"/>
        <v>0</v>
      </c>
      <c r="DF92" s="168">
        <f t="shared" si="64"/>
        <v>0</v>
      </c>
      <c r="DG92" s="168">
        <f t="shared" si="64"/>
        <v>0</v>
      </c>
      <c r="DH92" s="168">
        <f t="shared" si="64"/>
        <v>0</v>
      </c>
      <c r="DI92" s="168">
        <f t="shared" si="64"/>
        <v>0</v>
      </c>
      <c r="DJ92" s="168">
        <f t="shared" si="64"/>
        <v>0</v>
      </c>
      <c r="DK92" s="168">
        <f t="shared" si="64"/>
        <v>0</v>
      </c>
      <c r="DL92" s="168">
        <f t="shared" si="64"/>
        <v>0</v>
      </c>
      <c r="DM92" s="168">
        <f t="shared" si="64"/>
        <v>0</v>
      </c>
      <c r="DN92" s="168">
        <f t="shared" si="64"/>
        <v>0</v>
      </c>
      <c r="DO92" s="168">
        <f t="shared" si="64"/>
        <v>0</v>
      </c>
      <c r="DP92" s="168">
        <f t="shared" si="64"/>
        <v>0</v>
      </c>
      <c r="DQ92" s="168">
        <f t="shared" si="64"/>
        <v>0</v>
      </c>
      <c r="DR92" s="168">
        <f t="shared" si="64"/>
        <v>0</v>
      </c>
      <c r="DS92" s="168">
        <f t="shared" si="64"/>
        <v>0</v>
      </c>
      <c r="DT92" s="168">
        <f t="shared" si="64"/>
        <v>0</v>
      </c>
      <c r="DU92" s="168">
        <f t="shared" si="64"/>
        <v>0</v>
      </c>
      <c r="DV92" s="168">
        <f t="shared" si="64"/>
        <v>0</v>
      </c>
      <c r="DW92" s="168">
        <f t="shared" si="64"/>
        <v>0</v>
      </c>
      <c r="DX92" s="168">
        <f t="shared" si="64"/>
        <v>0</v>
      </c>
      <c r="DY92" s="168">
        <f t="shared" si="64"/>
        <v>0</v>
      </c>
      <c r="DZ92" s="168">
        <f t="shared" si="64"/>
        <v>0</v>
      </c>
      <c r="EA92" s="168">
        <f t="shared" si="64"/>
        <v>0</v>
      </c>
      <c r="EB92" s="168">
        <f t="shared" si="64"/>
        <v>0</v>
      </c>
    </row>
    <row r="93" spans="1:132" x14ac:dyDescent="0.25">
      <c r="A93" s="5" t="s">
        <v>819</v>
      </c>
      <c r="B93" s="194">
        <f>F7+F11</f>
        <v>0</v>
      </c>
      <c r="C93" s="23"/>
      <c r="D93" s="195">
        <f>IF(B93=0,0,B93/Troupeau!$D$17)</f>
        <v>0</v>
      </c>
      <c r="F93" s="166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T93" s="182" t="str">
        <f t="shared" si="59"/>
        <v>broutards</v>
      </c>
      <c r="AV93" s="168">
        <f t="shared" si="60"/>
        <v>32.799999999999997</v>
      </c>
      <c r="AW93" s="168">
        <f t="shared" si="60"/>
        <v>32.799999999999997</v>
      </c>
      <c r="AX93" s="168">
        <f t="shared" si="60"/>
        <v>32.799999999999997</v>
      </c>
      <c r="AY93" s="168">
        <f t="shared" si="60"/>
        <v>32.799999999999997</v>
      </c>
      <c r="AZ93" s="168">
        <f t="shared" si="60"/>
        <v>32.799999999999997</v>
      </c>
      <c r="BA93" s="168">
        <f t="shared" si="60"/>
        <v>32.799999999999997</v>
      </c>
      <c r="BB93" s="168">
        <f t="shared" si="60"/>
        <v>0</v>
      </c>
      <c r="BC93" s="168">
        <f t="shared" si="60"/>
        <v>0</v>
      </c>
      <c r="BD93" s="168">
        <f t="shared" si="60"/>
        <v>0</v>
      </c>
      <c r="BE93" s="168">
        <f t="shared" si="60"/>
        <v>0</v>
      </c>
      <c r="BF93" s="168">
        <f t="shared" si="60"/>
        <v>0</v>
      </c>
      <c r="BG93" s="168">
        <f t="shared" si="60"/>
        <v>0</v>
      </c>
      <c r="BH93" s="168">
        <f t="shared" si="60"/>
        <v>0</v>
      </c>
      <c r="BI93" s="168">
        <f t="shared" si="60"/>
        <v>0</v>
      </c>
      <c r="BJ93" s="168">
        <f t="shared" si="60"/>
        <v>0</v>
      </c>
      <c r="BK93" s="168">
        <f t="shared" si="60"/>
        <v>0</v>
      </c>
      <c r="BL93" s="168">
        <f t="shared" si="60"/>
        <v>0</v>
      </c>
      <c r="BM93" s="168">
        <f t="shared" si="60"/>
        <v>0</v>
      </c>
      <c r="BN93" s="168">
        <f t="shared" si="60"/>
        <v>0</v>
      </c>
      <c r="BO93" s="168">
        <f t="shared" si="60"/>
        <v>29.6</v>
      </c>
      <c r="BP93" s="168">
        <f t="shared" si="60"/>
        <v>30.4</v>
      </c>
      <c r="BQ93" s="168">
        <f t="shared" si="60"/>
        <v>32.799999999999997</v>
      </c>
      <c r="BR93" s="168">
        <f t="shared" si="60"/>
        <v>32.799999999999997</v>
      </c>
      <c r="BS93" s="168">
        <f t="shared" si="60"/>
        <v>32.799999999999997</v>
      </c>
      <c r="BY93" s="2"/>
      <c r="BZ93" s="182" t="str">
        <f t="shared" si="61"/>
        <v>lot4</v>
      </c>
      <c r="CB93" s="168">
        <f t="shared" si="62"/>
        <v>0</v>
      </c>
      <c r="CC93" s="168">
        <f t="shared" si="62"/>
        <v>0</v>
      </c>
      <c r="CD93" s="168">
        <f t="shared" si="62"/>
        <v>0</v>
      </c>
      <c r="CE93" s="168">
        <f t="shared" si="62"/>
        <v>0</v>
      </c>
      <c r="CF93" s="168">
        <f t="shared" si="62"/>
        <v>0</v>
      </c>
      <c r="CG93" s="168">
        <f t="shared" si="62"/>
        <v>0</v>
      </c>
      <c r="CH93" s="168">
        <f t="shared" si="62"/>
        <v>0</v>
      </c>
      <c r="CI93" s="168">
        <f t="shared" si="62"/>
        <v>0</v>
      </c>
      <c r="CJ93" s="168">
        <f t="shared" si="62"/>
        <v>0</v>
      </c>
      <c r="CK93" s="168">
        <f t="shared" si="62"/>
        <v>0</v>
      </c>
      <c r="CL93" s="168">
        <f t="shared" si="62"/>
        <v>0</v>
      </c>
      <c r="CM93" s="168">
        <f t="shared" si="62"/>
        <v>0</v>
      </c>
      <c r="CN93" s="168">
        <f t="shared" si="62"/>
        <v>0</v>
      </c>
      <c r="CO93" s="168">
        <f t="shared" si="62"/>
        <v>0</v>
      </c>
      <c r="CP93" s="168">
        <f t="shared" si="62"/>
        <v>0</v>
      </c>
      <c r="CQ93" s="168">
        <f t="shared" si="62"/>
        <v>0</v>
      </c>
      <c r="CR93" s="168">
        <f t="shared" si="62"/>
        <v>0</v>
      </c>
      <c r="CS93" s="168">
        <f t="shared" si="62"/>
        <v>0</v>
      </c>
      <c r="CT93" s="168">
        <f t="shared" si="62"/>
        <v>0</v>
      </c>
      <c r="CU93" s="168">
        <f t="shared" si="62"/>
        <v>0</v>
      </c>
      <c r="CV93" s="168">
        <f t="shared" si="62"/>
        <v>0</v>
      </c>
      <c r="CW93" s="168">
        <f t="shared" si="62"/>
        <v>0</v>
      </c>
      <c r="CX93" s="168">
        <f t="shared" si="62"/>
        <v>0</v>
      </c>
      <c r="CY93" s="168">
        <f t="shared" si="62"/>
        <v>0</v>
      </c>
      <c r="DB93" s="2"/>
      <c r="DC93" s="182" t="str">
        <f t="shared" si="63"/>
        <v>lot4</v>
      </c>
      <c r="DE93" s="168">
        <f t="shared" si="64"/>
        <v>0</v>
      </c>
      <c r="DF93" s="168">
        <f t="shared" si="64"/>
        <v>0</v>
      </c>
      <c r="DG93" s="168">
        <f t="shared" si="64"/>
        <v>0</v>
      </c>
      <c r="DH93" s="168">
        <f t="shared" si="64"/>
        <v>0</v>
      </c>
      <c r="DI93" s="168">
        <f t="shared" si="64"/>
        <v>0</v>
      </c>
      <c r="DJ93" s="168">
        <f t="shared" si="64"/>
        <v>0</v>
      </c>
      <c r="DK93" s="168">
        <f t="shared" si="64"/>
        <v>0</v>
      </c>
      <c r="DL93" s="168">
        <f t="shared" si="64"/>
        <v>0</v>
      </c>
      <c r="DM93" s="168">
        <f t="shared" si="64"/>
        <v>0</v>
      </c>
      <c r="DN93" s="168">
        <f t="shared" si="64"/>
        <v>0</v>
      </c>
      <c r="DO93" s="168">
        <f t="shared" si="64"/>
        <v>0</v>
      </c>
      <c r="DP93" s="168">
        <f t="shared" si="64"/>
        <v>0</v>
      </c>
      <c r="DQ93" s="168">
        <f t="shared" si="64"/>
        <v>0</v>
      </c>
      <c r="DR93" s="168">
        <f t="shared" si="64"/>
        <v>0</v>
      </c>
      <c r="DS93" s="168">
        <f t="shared" si="64"/>
        <v>0</v>
      </c>
      <c r="DT93" s="168">
        <f t="shared" si="64"/>
        <v>0</v>
      </c>
      <c r="DU93" s="168">
        <f t="shared" si="64"/>
        <v>0</v>
      </c>
      <c r="DV93" s="168">
        <f t="shared" si="64"/>
        <v>0</v>
      </c>
      <c r="DW93" s="168">
        <f t="shared" si="64"/>
        <v>0</v>
      </c>
      <c r="DX93" s="168">
        <f t="shared" si="64"/>
        <v>0</v>
      </c>
      <c r="DY93" s="168">
        <f t="shared" si="64"/>
        <v>0</v>
      </c>
      <c r="DZ93" s="168">
        <f t="shared" si="64"/>
        <v>0</v>
      </c>
      <c r="EA93" s="168">
        <f t="shared" si="64"/>
        <v>0</v>
      </c>
      <c r="EB93" s="168">
        <f t="shared" si="64"/>
        <v>0</v>
      </c>
    </row>
    <row r="94" spans="1:132" x14ac:dyDescent="0.25">
      <c r="A94" s="23" t="s">
        <v>820</v>
      </c>
      <c r="B94" s="196">
        <f>SUM(B91:B93)</f>
        <v>1467.4531199999992</v>
      </c>
      <c r="C94" s="5"/>
      <c r="D94" s="190"/>
      <c r="F94" s="16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T94" s="182" t="str">
        <f>AT30</f>
        <v>génisses &lt; 1 an</v>
      </c>
      <c r="AV94" s="168">
        <f>IF(AV41&gt;1,AV8,0)</f>
        <v>0</v>
      </c>
      <c r="AW94" s="168">
        <f t="shared" si="60"/>
        <v>0</v>
      </c>
      <c r="AX94" s="168">
        <f t="shared" si="60"/>
        <v>1.5999999999999996</v>
      </c>
      <c r="AY94" s="168">
        <f t="shared" si="60"/>
        <v>2.4000000000000004</v>
      </c>
      <c r="AZ94" s="168">
        <f t="shared" si="60"/>
        <v>4</v>
      </c>
      <c r="BA94" s="168">
        <f t="shared" si="60"/>
        <v>6.4</v>
      </c>
      <c r="BB94" s="168">
        <f t="shared" si="60"/>
        <v>7.2000000000000011</v>
      </c>
      <c r="BC94" s="168">
        <f t="shared" si="60"/>
        <v>8.7999999999999989</v>
      </c>
      <c r="BD94" s="168">
        <f t="shared" si="60"/>
        <v>9.6</v>
      </c>
      <c r="BE94" s="168">
        <f t="shared" si="60"/>
        <v>9.6</v>
      </c>
      <c r="BF94" s="168">
        <f t="shared" si="60"/>
        <v>9.6</v>
      </c>
      <c r="BG94" s="168">
        <f t="shared" si="60"/>
        <v>9.6</v>
      </c>
      <c r="BH94" s="168">
        <f t="shared" si="60"/>
        <v>9.6</v>
      </c>
      <c r="BI94" s="168">
        <f t="shared" si="60"/>
        <v>9.6</v>
      </c>
      <c r="BJ94" s="168">
        <f t="shared" si="60"/>
        <v>9.6</v>
      </c>
      <c r="BK94" s="168">
        <f t="shared" si="60"/>
        <v>9.6</v>
      </c>
      <c r="BL94" s="168">
        <f t="shared" si="60"/>
        <v>9.6</v>
      </c>
      <c r="BM94" s="168">
        <f t="shared" si="60"/>
        <v>9.6</v>
      </c>
      <c r="BN94" s="168">
        <f t="shared" si="60"/>
        <v>7.2000000000000011</v>
      </c>
      <c r="BO94" s="168">
        <f t="shared" si="60"/>
        <v>4.8000000000000007</v>
      </c>
      <c r="BP94" s="168">
        <f t="shared" si="60"/>
        <v>2.4000000000000004</v>
      </c>
      <c r="BQ94" s="168">
        <f t="shared" si="60"/>
        <v>0</v>
      </c>
      <c r="BR94" s="168">
        <f t="shared" si="60"/>
        <v>0</v>
      </c>
      <c r="BS94" s="168">
        <f t="shared" si="60"/>
        <v>0</v>
      </c>
      <c r="BZ94" s="182" t="str">
        <f>BZ30</f>
        <v>lot5</v>
      </c>
      <c r="CB94" s="168">
        <f>IF(CB41&gt;1,CB8,0)</f>
        <v>0</v>
      </c>
      <c r="CC94" s="168">
        <f t="shared" si="62"/>
        <v>0</v>
      </c>
      <c r="CD94" s="168">
        <f t="shared" si="62"/>
        <v>0</v>
      </c>
      <c r="CE94" s="168">
        <f t="shared" si="62"/>
        <v>0</v>
      </c>
      <c r="CF94" s="168">
        <f t="shared" si="62"/>
        <v>0</v>
      </c>
      <c r="CG94" s="168">
        <f t="shared" si="62"/>
        <v>0</v>
      </c>
      <c r="CH94" s="168">
        <f t="shared" si="62"/>
        <v>0</v>
      </c>
      <c r="CI94" s="168">
        <f t="shared" si="62"/>
        <v>0</v>
      </c>
      <c r="CJ94" s="168">
        <f t="shared" si="62"/>
        <v>0</v>
      </c>
      <c r="CK94" s="168">
        <f t="shared" si="62"/>
        <v>0</v>
      </c>
      <c r="CL94" s="168">
        <f t="shared" si="62"/>
        <v>0</v>
      </c>
      <c r="CM94" s="168">
        <f t="shared" si="62"/>
        <v>0</v>
      </c>
      <c r="CN94" s="168">
        <f t="shared" si="62"/>
        <v>0</v>
      </c>
      <c r="CO94" s="168">
        <f t="shared" si="62"/>
        <v>0</v>
      </c>
      <c r="CP94" s="168">
        <f t="shared" si="62"/>
        <v>0</v>
      </c>
      <c r="CQ94" s="168">
        <f t="shared" si="62"/>
        <v>0</v>
      </c>
      <c r="CR94" s="168">
        <f t="shared" si="62"/>
        <v>0</v>
      </c>
      <c r="CS94" s="168">
        <f t="shared" si="62"/>
        <v>0</v>
      </c>
      <c r="CT94" s="168">
        <f t="shared" si="62"/>
        <v>0</v>
      </c>
      <c r="CU94" s="168">
        <f t="shared" si="62"/>
        <v>0</v>
      </c>
      <c r="CV94" s="168">
        <f t="shared" si="62"/>
        <v>0</v>
      </c>
      <c r="CW94" s="168">
        <f t="shared" si="62"/>
        <v>0</v>
      </c>
      <c r="CX94" s="168">
        <f t="shared" si="62"/>
        <v>0</v>
      </c>
      <c r="CY94" s="168">
        <f t="shared" si="62"/>
        <v>0</v>
      </c>
      <c r="DC94" s="182" t="str">
        <f>DC30</f>
        <v>lot5</v>
      </c>
      <c r="DE94" s="168">
        <f t="shared" si="64"/>
        <v>0</v>
      </c>
      <c r="DF94" s="168">
        <f t="shared" si="64"/>
        <v>0</v>
      </c>
      <c r="DG94" s="168">
        <f t="shared" si="64"/>
        <v>0</v>
      </c>
      <c r="DH94" s="168">
        <f t="shared" si="64"/>
        <v>0</v>
      </c>
      <c r="DI94" s="168">
        <f t="shared" si="64"/>
        <v>0</v>
      </c>
      <c r="DJ94" s="168">
        <f t="shared" si="64"/>
        <v>0</v>
      </c>
      <c r="DK94" s="168">
        <f t="shared" si="64"/>
        <v>0</v>
      </c>
      <c r="DL94" s="168">
        <f t="shared" si="64"/>
        <v>0</v>
      </c>
      <c r="DM94" s="168">
        <f t="shared" si="64"/>
        <v>0</v>
      </c>
      <c r="DN94" s="168">
        <f t="shared" si="64"/>
        <v>0</v>
      </c>
      <c r="DO94" s="168">
        <f t="shared" si="64"/>
        <v>0</v>
      </c>
      <c r="DP94" s="168">
        <f t="shared" si="64"/>
        <v>0</v>
      </c>
      <c r="DQ94" s="168">
        <f t="shared" si="64"/>
        <v>0</v>
      </c>
      <c r="DR94" s="168">
        <f t="shared" si="64"/>
        <v>0</v>
      </c>
      <c r="DS94" s="168">
        <f t="shared" si="64"/>
        <v>0</v>
      </c>
      <c r="DT94" s="168">
        <f t="shared" si="64"/>
        <v>0</v>
      </c>
      <c r="DU94" s="168">
        <f t="shared" si="64"/>
        <v>0</v>
      </c>
      <c r="DV94" s="168">
        <f t="shared" si="64"/>
        <v>0</v>
      </c>
      <c r="DW94" s="168">
        <f t="shared" si="64"/>
        <v>0</v>
      </c>
      <c r="DX94" s="168">
        <f t="shared" si="64"/>
        <v>0</v>
      </c>
      <c r="DY94" s="168">
        <f t="shared" si="64"/>
        <v>0</v>
      </c>
      <c r="DZ94" s="168">
        <f t="shared" si="64"/>
        <v>0</v>
      </c>
      <c r="EA94" s="168">
        <f t="shared" si="64"/>
        <v>0</v>
      </c>
      <c r="EB94" s="168">
        <f t="shared" si="64"/>
        <v>0</v>
      </c>
    </row>
    <row r="95" spans="1:132" x14ac:dyDescent="0.25">
      <c r="A95" s="5" t="s">
        <v>821</v>
      </c>
      <c r="B95" s="30">
        <f>F16+F20</f>
        <v>0</v>
      </c>
      <c r="C95" s="5"/>
      <c r="D95" s="195">
        <f>B95/Troupeau!$B$17</f>
        <v>0</v>
      </c>
      <c r="F95" s="166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T95" s="182" t="str">
        <f>AT31</f>
        <v>lot6</v>
      </c>
      <c r="AV95" s="168">
        <f>IF(AV42&gt;1,AV9,0)</f>
        <v>0</v>
      </c>
      <c r="AW95" s="168">
        <f t="shared" si="60"/>
        <v>0</v>
      </c>
      <c r="AX95" s="168">
        <f t="shared" si="60"/>
        <v>0</v>
      </c>
      <c r="AY95" s="168">
        <f t="shared" si="60"/>
        <v>0</v>
      </c>
      <c r="AZ95" s="168">
        <f t="shared" si="60"/>
        <v>0</v>
      </c>
      <c r="BA95" s="168">
        <f t="shared" si="60"/>
        <v>0</v>
      </c>
      <c r="BB95" s="168">
        <f t="shared" si="60"/>
        <v>0</v>
      </c>
      <c r="BC95" s="168">
        <f t="shared" si="60"/>
        <v>0</v>
      </c>
      <c r="BD95" s="168">
        <f t="shared" si="60"/>
        <v>0</v>
      </c>
      <c r="BE95" s="168">
        <f t="shared" si="60"/>
        <v>0</v>
      </c>
      <c r="BF95" s="168">
        <f t="shared" si="60"/>
        <v>0</v>
      </c>
      <c r="BG95" s="168">
        <f t="shared" si="60"/>
        <v>0</v>
      </c>
      <c r="BH95" s="168">
        <f t="shared" si="60"/>
        <v>0</v>
      </c>
      <c r="BI95" s="168">
        <f t="shared" si="60"/>
        <v>0</v>
      </c>
      <c r="BJ95" s="168">
        <f t="shared" si="60"/>
        <v>0</v>
      </c>
      <c r="BK95" s="168">
        <f t="shared" si="60"/>
        <v>0</v>
      </c>
      <c r="BL95" s="168">
        <f t="shared" si="60"/>
        <v>0</v>
      </c>
      <c r="BM95" s="168">
        <f t="shared" si="60"/>
        <v>0</v>
      </c>
      <c r="BN95" s="168">
        <f t="shared" si="60"/>
        <v>0</v>
      </c>
      <c r="BO95" s="168">
        <f t="shared" si="60"/>
        <v>0</v>
      </c>
      <c r="BP95" s="168">
        <f t="shared" si="60"/>
        <v>0</v>
      </c>
      <c r="BQ95" s="168">
        <f t="shared" si="60"/>
        <v>0</v>
      </c>
      <c r="BR95" s="168">
        <f t="shared" si="60"/>
        <v>0</v>
      </c>
      <c r="BS95" s="168">
        <f t="shared" si="60"/>
        <v>0</v>
      </c>
      <c r="BZ95" s="182" t="str">
        <f>BZ31</f>
        <v>lot6</v>
      </c>
      <c r="CB95" s="168">
        <f>IF(CB42&gt;1,CB9,0)</f>
        <v>0</v>
      </c>
      <c r="CC95" s="168">
        <f t="shared" si="62"/>
        <v>0</v>
      </c>
      <c r="CD95" s="168">
        <f t="shared" si="62"/>
        <v>0</v>
      </c>
      <c r="CE95" s="168">
        <f t="shared" si="62"/>
        <v>0</v>
      </c>
      <c r="CF95" s="168">
        <f t="shared" si="62"/>
        <v>0</v>
      </c>
      <c r="CG95" s="168">
        <f t="shared" si="62"/>
        <v>0</v>
      </c>
      <c r="CH95" s="168">
        <f t="shared" si="62"/>
        <v>0</v>
      </c>
      <c r="CI95" s="168">
        <f t="shared" si="62"/>
        <v>0</v>
      </c>
      <c r="CJ95" s="168">
        <f t="shared" si="62"/>
        <v>0</v>
      </c>
      <c r="CK95" s="168">
        <f t="shared" si="62"/>
        <v>0</v>
      </c>
      <c r="CL95" s="168">
        <f t="shared" si="62"/>
        <v>0</v>
      </c>
      <c r="CM95" s="168">
        <f t="shared" si="62"/>
        <v>0</v>
      </c>
      <c r="CN95" s="168">
        <f t="shared" si="62"/>
        <v>0</v>
      </c>
      <c r="CO95" s="168">
        <f t="shared" si="62"/>
        <v>0</v>
      </c>
      <c r="CP95" s="168">
        <f t="shared" si="62"/>
        <v>0</v>
      </c>
      <c r="CQ95" s="168">
        <f t="shared" si="62"/>
        <v>0</v>
      </c>
      <c r="CR95" s="168">
        <f t="shared" si="62"/>
        <v>0</v>
      </c>
      <c r="CS95" s="168">
        <f t="shared" si="62"/>
        <v>0</v>
      </c>
      <c r="CT95" s="168">
        <f t="shared" si="62"/>
        <v>0</v>
      </c>
      <c r="CU95" s="168">
        <f t="shared" si="62"/>
        <v>0</v>
      </c>
      <c r="CV95" s="168">
        <f t="shared" si="62"/>
        <v>0</v>
      </c>
      <c r="CW95" s="168">
        <f t="shared" si="62"/>
        <v>0</v>
      </c>
      <c r="CX95" s="168">
        <f t="shared" si="62"/>
        <v>0</v>
      </c>
      <c r="CY95" s="168">
        <f t="shared" si="62"/>
        <v>0</v>
      </c>
      <c r="DC95" s="182" t="str">
        <f>DC31</f>
        <v>lot6</v>
      </c>
      <c r="DE95" s="168">
        <f t="shared" si="64"/>
        <v>0</v>
      </c>
      <c r="DF95" s="168">
        <f t="shared" si="64"/>
        <v>0</v>
      </c>
      <c r="DG95" s="168">
        <f t="shared" si="64"/>
        <v>0</v>
      </c>
      <c r="DH95" s="168">
        <f t="shared" si="64"/>
        <v>0</v>
      </c>
      <c r="DI95" s="168">
        <f t="shared" si="64"/>
        <v>0</v>
      </c>
      <c r="DJ95" s="168">
        <f t="shared" si="64"/>
        <v>0</v>
      </c>
      <c r="DK95" s="168">
        <f t="shared" si="64"/>
        <v>0</v>
      </c>
      <c r="DL95" s="168">
        <f t="shared" si="64"/>
        <v>0</v>
      </c>
      <c r="DM95" s="168">
        <f t="shared" si="64"/>
        <v>0</v>
      </c>
      <c r="DN95" s="168">
        <f t="shared" si="64"/>
        <v>0</v>
      </c>
      <c r="DO95" s="168">
        <f t="shared" si="64"/>
        <v>0</v>
      </c>
      <c r="DP95" s="168">
        <f t="shared" si="64"/>
        <v>0</v>
      </c>
      <c r="DQ95" s="168">
        <f t="shared" si="64"/>
        <v>0</v>
      </c>
      <c r="DR95" s="168">
        <f t="shared" si="64"/>
        <v>0</v>
      </c>
      <c r="DS95" s="168">
        <f t="shared" si="64"/>
        <v>0</v>
      </c>
      <c r="DT95" s="168">
        <f t="shared" si="64"/>
        <v>0</v>
      </c>
      <c r="DU95" s="168">
        <f t="shared" si="64"/>
        <v>0</v>
      </c>
      <c r="DV95" s="168">
        <f t="shared" si="64"/>
        <v>0</v>
      </c>
      <c r="DW95" s="168">
        <f t="shared" si="64"/>
        <v>0</v>
      </c>
      <c r="DX95" s="168">
        <f t="shared" si="64"/>
        <v>0</v>
      </c>
      <c r="DY95" s="168">
        <f t="shared" si="64"/>
        <v>0</v>
      </c>
      <c r="DZ95" s="168">
        <f t="shared" si="64"/>
        <v>0</v>
      </c>
      <c r="EA95" s="168">
        <f t="shared" si="64"/>
        <v>0</v>
      </c>
      <c r="EB95" s="168">
        <f t="shared" si="64"/>
        <v>0</v>
      </c>
    </row>
    <row r="96" spans="1:132" x14ac:dyDescent="0.25">
      <c r="A96" s="5" t="s">
        <v>822</v>
      </c>
      <c r="B96" s="30">
        <f>F17+F21</f>
        <v>0</v>
      </c>
      <c r="C96" s="5"/>
      <c r="D96" s="195">
        <f>IF(B96=0,0,B96/Troupeau!$C$17)</f>
        <v>0</v>
      </c>
      <c r="F96" s="166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T96" s="182" t="str">
        <f>AT33</f>
        <v>lot8</v>
      </c>
      <c r="AV96" s="168">
        <f t="shared" ref="AV96:BS98" si="65">IF(AV44&gt;1,AV11,0)</f>
        <v>0</v>
      </c>
      <c r="AW96" s="168">
        <f t="shared" si="65"/>
        <v>0</v>
      </c>
      <c r="AX96" s="168">
        <f t="shared" si="65"/>
        <v>0</v>
      </c>
      <c r="AY96" s="168">
        <f t="shared" si="65"/>
        <v>0</v>
      </c>
      <c r="AZ96" s="168">
        <f t="shared" si="65"/>
        <v>0</v>
      </c>
      <c r="BA96" s="168">
        <f t="shared" si="65"/>
        <v>0</v>
      </c>
      <c r="BB96" s="168">
        <f t="shared" si="65"/>
        <v>0</v>
      </c>
      <c r="BC96" s="168">
        <f t="shared" si="65"/>
        <v>0</v>
      </c>
      <c r="BD96" s="168">
        <f t="shared" si="65"/>
        <v>0</v>
      </c>
      <c r="BE96" s="168">
        <f t="shared" si="65"/>
        <v>0</v>
      </c>
      <c r="BF96" s="168">
        <f t="shared" si="65"/>
        <v>0</v>
      </c>
      <c r="BG96" s="168">
        <f t="shared" si="65"/>
        <v>0</v>
      </c>
      <c r="BH96" s="168">
        <f t="shared" si="65"/>
        <v>0</v>
      </c>
      <c r="BI96" s="168">
        <f t="shared" si="65"/>
        <v>0</v>
      </c>
      <c r="BJ96" s="168">
        <f t="shared" si="65"/>
        <v>0</v>
      </c>
      <c r="BK96" s="168">
        <f t="shared" si="65"/>
        <v>0</v>
      </c>
      <c r="BL96" s="168">
        <f t="shared" si="65"/>
        <v>0</v>
      </c>
      <c r="BM96" s="168">
        <f t="shared" si="65"/>
        <v>0</v>
      </c>
      <c r="BN96" s="168">
        <f t="shared" si="65"/>
        <v>0</v>
      </c>
      <c r="BO96" s="168">
        <f t="shared" si="65"/>
        <v>0</v>
      </c>
      <c r="BP96" s="168">
        <f t="shared" si="65"/>
        <v>0</v>
      </c>
      <c r="BQ96" s="168">
        <f t="shared" si="65"/>
        <v>0</v>
      </c>
      <c r="BR96" s="168">
        <f t="shared" si="65"/>
        <v>0</v>
      </c>
      <c r="BS96" s="168">
        <f t="shared" si="65"/>
        <v>0</v>
      </c>
      <c r="BZ96" s="182" t="str">
        <f>BZ33</f>
        <v>lot8</v>
      </c>
      <c r="CB96" s="168">
        <f t="shared" ref="CB96:CY98" si="66">IF(CB44&gt;1,CB11,0)</f>
        <v>0</v>
      </c>
      <c r="CC96" s="168">
        <f t="shared" si="66"/>
        <v>0</v>
      </c>
      <c r="CD96" s="168">
        <f t="shared" si="66"/>
        <v>0</v>
      </c>
      <c r="CE96" s="168">
        <f t="shared" si="66"/>
        <v>0</v>
      </c>
      <c r="CF96" s="168">
        <f t="shared" si="66"/>
        <v>0</v>
      </c>
      <c r="CG96" s="168">
        <f t="shared" si="66"/>
        <v>0</v>
      </c>
      <c r="CH96" s="168">
        <f t="shared" si="66"/>
        <v>0</v>
      </c>
      <c r="CI96" s="168">
        <f t="shared" si="66"/>
        <v>0</v>
      </c>
      <c r="CJ96" s="168">
        <f t="shared" si="66"/>
        <v>0</v>
      </c>
      <c r="CK96" s="168">
        <f t="shared" si="66"/>
        <v>0</v>
      </c>
      <c r="CL96" s="168">
        <f t="shared" si="66"/>
        <v>0</v>
      </c>
      <c r="CM96" s="168">
        <f t="shared" si="66"/>
        <v>0</v>
      </c>
      <c r="CN96" s="168">
        <f t="shared" si="66"/>
        <v>0</v>
      </c>
      <c r="CO96" s="168">
        <f t="shared" si="66"/>
        <v>0</v>
      </c>
      <c r="CP96" s="168">
        <f t="shared" si="66"/>
        <v>0</v>
      </c>
      <c r="CQ96" s="168">
        <f t="shared" si="66"/>
        <v>0</v>
      </c>
      <c r="CR96" s="168">
        <f t="shared" si="66"/>
        <v>0</v>
      </c>
      <c r="CS96" s="168">
        <f t="shared" si="66"/>
        <v>0</v>
      </c>
      <c r="CT96" s="168">
        <f t="shared" si="66"/>
        <v>0</v>
      </c>
      <c r="CU96" s="168">
        <f t="shared" si="66"/>
        <v>0</v>
      </c>
      <c r="CV96" s="168">
        <f t="shared" si="66"/>
        <v>0</v>
      </c>
      <c r="CW96" s="168">
        <f t="shared" si="66"/>
        <v>0</v>
      </c>
      <c r="CX96" s="168">
        <f t="shared" si="66"/>
        <v>0</v>
      </c>
      <c r="CY96" s="168">
        <f t="shared" si="66"/>
        <v>0</v>
      </c>
      <c r="DC96" s="182" t="str">
        <f>DC33</f>
        <v>lot8</v>
      </c>
      <c r="DE96" s="168">
        <f t="shared" ref="DE96:EB98" si="67">IF(DE44&gt;1,DE11,0)</f>
        <v>0</v>
      </c>
      <c r="DF96" s="168">
        <f t="shared" si="67"/>
        <v>0</v>
      </c>
      <c r="DG96" s="168">
        <f t="shared" si="67"/>
        <v>0</v>
      </c>
      <c r="DH96" s="168">
        <f t="shared" si="67"/>
        <v>0</v>
      </c>
      <c r="DI96" s="168">
        <f t="shared" si="67"/>
        <v>0</v>
      </c>
      <c r="DJ96" s="168">
        <f t="shared" si="67"/>
        <v>0</v>
      </c>
      <c r="DK96" s="168">
        <f t="shared" si="67"/>
        <v>0</v>
      </c>
      <c r="DL96" s="168">
        <f t="shared" si="67"/>
        <v>0</v>
      </c>
      <c r="DM96" s="168">
        <f t="shared" si="67"/>
        <v>0</v>
      </c>
      <c r="DN96" s="168">
        <f t="shared" si="67"/>
        <v>0</v>
      </c>
      <c r="DO96" s="168">
        <f t="shared" si="67"/>
        <v>0</v>
      </c>
      <c r="DP96" s="168">
        <f t="shared" si="67"/>
        <v>0</v>
      </c>
      <c r="DQ96" s="168">
        <f t="shared" si="67"/>
        <v>0</v>
      </c>
      <c r="DR96" s="168">
        <f t="shared" si="67"/>
        <v>0</v>
      </c>
      <c r="DS96" s="168">
        <f t="shared" si="67"/>
        <v>0</v>
      </c>
      <c r="DT96" s="168">
        <f t="shared" si="67"/>
        <v>0</v>
      </c>
      <c r="DU96" s="168">
        <f t="shared" si="67"/>
        <v>0</v>
      </c>
      <c r="DV96" s="168">
        <f t="shared" si="67"/>
        <v>0</v>
      </c>
      <c r="DW96" s="168">
        <f t="shared" si="67"/>
        <v>0</v>
      </c>
      <c r="DX96" s="168">
        <f t="shared" si="67"/>
        <v>0</v>
      </c>
      <c r="DY96" s="168">
        <f t="shared" si="67"/>
        <v>0</v>
      </c>
      <c r="DZ96" s="168">
        <f t="shared" si="67"/>
        <v>0</v>
      </c>
      <c r="EA96" s="168">
        <f t="shared" si="67"/>
        <v>0</v>
      </c>
      <c r="EB96" s="168">
        <f t="shared" si="67"/>
        <v>0</v>
      </c>
    </row>
    <row r="97" spans="1:132" x14ac:dyDescent="0.25">
      <c r="A97" s="5" t="s">
        <v>823</v>
      </c>
      <c r="B97" s="30">
        <f>F18+F22</f>
        <v>0</v>
      </c>
      <c r="C97" s="5"/>
      <c r="D97" s="195">
        <f>IF(B97=0,0,B97/Troupeau!$D$17)</f>
        <v>0</v>
      </c>
      <c r="F97" s="16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T97" s="182" t="str">
        <f>AT34</f>
        <v>lot9</v>
      </c>
      <c r="AV97" s="168">
        <f t="shared" si="65"/>
        <v>0</v>
      </c>
      <c r="AW97" s="168">
        <f t="shared" si="65"/>
        <v>0</v>
      </c>
      <c r="AX97" s="168">
        <f t="shared" si="65"/>
        <v>0</v>
      </c>
      <c r="AY97" s="168">
        <f t="shared" si="65"/>
        <v>0</v>
      </c>
      <c r="AZ97" s="168">
        <f t="shared" si="65"/>
        <v>0</v>
      </c>
      <c r="BA97" s="168">
        <f t="shared" si="65"/>
        <v>0</v>
      </c>
      <c r="BB97" s="168">
        <f t="shared" si="65"/>
        <v>0</v>
      </c>
      <c r="BC97" s="168">
        <f t="shared" si="65"/>
        <v>0</v>
      </c>
      <c r="BD97" s="168">
        <f t="shared" si="65"/>
        <v>0</v>
      </c>
      <c r="BE97" s="168">
        <f t="shared" si="65"/>
        <v>0</v>
      </c>
      <c r="BF97" s="168">
        <f t="shared" si="65"/>
        <v>0</v>
      </c>
      <c r="BG97" s="168">
        <f t="shared" si="65"/>
        <v>0</v>
      </c>
      <c r="BH97" s="168">
        <f t="shared" si="65"/>
        <v>0</v>
      </c>
      <c r="BI97" s="168">
        <f t="shared" si="65"/>
        <v>0</v>
      </c>
      <c r="BJ97" s="168">
        <f t="shared" si="65"/>
        <v>0</v>
      </c>
      <c r="BK97" s="168">
        <f t="shared" si="65"/>
        <v>0</v>
      </c>
      <c r="BL97" s="168">
        <f t="shared" si="65"/>
        <v>0</v>
      </c>
      <c r="BM97" s="168">
        <f t="shared" si="65"/>
        <v>0</v>
      </c>
      <c r="BN97" s="168">
        <f t="shared" si="65"/>
        <v>0</v>
      </c>
      <c r="BO97" s="168">
        <f t="shared" si="65"/>
        <v>0</v>
      </c>
      <c r="BP97" s="168">
        <f t="shared" si="65"/>
        <v>0</v>
      </c>
      <c r="BQ97" s="168">
        <f t="shared" si="65"/>
        <v>0</v>
      </c>
      <c r="BR97" s="168">
        <f t="shared" si="65"/>
        <v>0</v>
      </c>
      <c r="BS97" s="168">
        <f t="shared" si="65"/>
        <v>0</v>
      </c>
      <c r="BZ97" s="182" t="str">
        <f>BZ34</f>
        <v>lot9</v>
      </c>
      <c r="CB97" s="168">
        <f t="shared" si="66"/>
        <v>0</v>
      </c>
      <c r="CC97" s="168">
        <f t="shared" si="66"/>
        <v>0</v>
      </c>
      <c r="CD97" s="168">
        <f t="shared" si="66"/>
        <v>0</v>
      </c>
      <c r="CE97" s="168">
        <f t="shared" si="66"/>
        <v>0</v>
      </c>
      <c r="CF97" s="168">
        <f t="shared" si="66"/>
        <v>0</v>
      </c>
      <c r="CG97" s="168">
        <f t="shared" si="66"/>
        <v>0</v>
      </c>
      <c r="CH97" s="168">
        <f t="shared" si="66"/>
        <v>0</v>
      </c>
      <c r="CI97" s="168">
        <f t="shared" si="66"/>
        <v>0</v>
      </c>
      <c r="CJ97" s="168">
        <f t="shared" si="66"/>
        <v>0</v>
      </c>
      <c r="CK97" s="168">
        <f t="shared" si="66"/>
        <v>0</v>
      </c>
      <c r="CL97" s="168">
        <f t="shared" si="66"/>
        <v>0</v>
      </c>
      <c r="CM97" s="168">
        <f t="shared" si="66"/>
        <v>0</v>
      </c>
      <c r="CN97" s="168">
        <f t="shared" si="66"/>
        <v>0</v>
      </c>
      <c r="CO97" s="168">
        <f t="shared" si="66"/>
        <v>0</v>
      </c>
      <c r="CP97" s="168">
        <f t="shared" si="66"/>
        <v>0</v>
      </c>
      <c r="CQ97" s="168">
        <f t="shared" si="66"/>
        <v>0</v>
      </c>
      <c r="CR97" s="168">
        <f t="shared" si="66"/>
        <v>0</v>
      </c>
      <c r="CS97" s="168">
        <f t="shared" si="66"/>
        <v>0</v>
      </c>
      <c r="CT97" s="168">
        <f t="shared" si="66"/>
        <v>0</v>
      </c>
      <c r="CU97" s="168">
        <f t="shared" si="66"/>
        <v>0</v>
      </c>
      <c r="CV97" s="168">
        <f t="shared" si="66"/>
        <v>0</v>
      </c>
      <c r="CW97" s="168">
        <f t="shared" si="66"/>
        <v>0</v>
      </c>
      <c r="CX97" s="168">
        <f t="shared" si="66"/>
        <v>0</v>
      </c>
      <c r="CY97" s="168">
        <f t="shared" si="66"/>
        <v>0</v>
      </c>
      <c r="DC97" s="182" t="str">
        <f>DC34</f>
        <v>lot9</v>
      </c>
      <c r="DE97" s="168">
        <f t="shared" si="67"/>
        <v>0</v>
      </c>
      <c r="DF97" s="168">
        <f t="shared" si="67"/>
        <v>0</v>
      </c>
      <c r="DG97" s="168">
        <f t="shared" si="67"/>
        <v>0</v>
      </c>
      <c r="DH97" s="168">
        <f t="shared" si="67"/>
        <v>0</v>
      </c>
      <c r="DI97" s="168">
        <f t="shared" si="67"/>
        <v>0</v>
      </c>
      <c r="DJ97" s="168">
        <f t="shared" si="67"/>
        <v>0</v>
      </c>
      <c r="DK97" s="168">
        <f t="shared" si="67"/>
        <v>0</v>
      </c>
      <c r="DL97" s="168">
        <f t="shared" si="67"/>
        <v>0</v>
      </c>
      <c r="DM97" s="168">
        <f t="shared" si="67"/>
        <v>0</v>
      </c>
      <c r="DN97" s="168">
        <f t="shared" si="67"/>
        <v>0</v>
      </c>
      <c r="DO97" s="168">
        <f t="shared" si="67"/>
        <v>0</v>
      </c>
      <c r="DP97" s="168">
        <f t="shared" si="67"/>
        <v>0</v>
      </c>
      <c r="DQ97" s="168">
        <f t="shared" si="67"/>
        <v>0</v>
      </c>
      <c r="DR97" s="168">
        <f t="shared" si="67"/>
        <v>0</v>
      </c>
      <c r="DS97" s="168">
        <f t="shared" si="67"/>
        <v>0</v>
      </c>
      <c r="DT97" s="168">
        <f t="shared" si="67"/>
        <v>0</v>
      </c>
      <c r="DU97" s="168">
        <f t="shared" si="67"/>
        <v>0</v>
      </c>
      <c r="DV97" s="168">
        <f t="shared" si="67"/>
        <v>0</v>
      </c>
      <c r="DW97" s="168">
        <f t="shared" si="67"/>
        <v>0</v>
      </c>
      <c r="DX97" s="168">
        <f t="shared" si="67"/>
        <v>0</v>
      </c>
      <c r="DY97" s="168">
        <f t="shared" si="67"/>
        <v>0</v>
      </c>
      <c r="DZ97" s="168">
        <f t="shared" si="67"/>
        <v>0</v>
      </c>
      <c r="EA97" s="168">
        <f t="shared" si="67"/>
        <v>0</v>
      </c>
      <c r="EB97" s="168">
        <f t="shared" si="67"/>
        <v>0</v>
      </c>
    </row>
    <row r="98" spans="1:132" x14ac:dyDescent="0.25">
      <c r="A98" s="23" t="s">
        <v>824</v>
      </c>
      <c r="B98" s="46">
        <f>SUM(B95:B97)</f>
        <v>0</v>
      </c>
      <c r="C98" s="5"/>
      <c r="D98" s="190"/>
      <c r="F98" s="16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T98" s="182" t="str">
        <f>AT35</f>
        <v>lot10</v>
      </c>
      <c r="AV98" s="168">
        <f t="shared" si="65"/>
        <v>0</v>
      </c>
      <c r="AW98" s="168">
        <f t="shared" si="65"/>
        <v>0</v>
      </c>
      <c r="AX98" s="168">
        <f t="shared" si="65"/>
        <v>0</v>
      </c>
      <c r="AY98" s="168">
        <f t="shared" si="65"/>
        <v>0</v>
      </c>
      <c r="AZ98" s="168">
        <f t="shared" si="65"/>
        <v>0</v>
      </c>
      <c r="BA98" s="168">
        <f t="shared" si="65"/>
        <v>0</v>
      </c>
      <c r="BB98" s="168">
        <f t="shared" si="65"/>
        <v>0</v>
      </c>
      <c r="BC98" s="168">
        <f t="shared" si="65"/>
        <v>0</v>
      </c>
      <c r="BD98" s="168">
        <f t="shared" si="65"/>
        <v>0</v>
      </c>
      <c r="BE98" s="168">
        <f t="shared" si="65"/>
        <v>0</v>
      </c>
      <c r="BF98" s="168">
        <f t="shared" si="65"/>
        <v>0</v>
      </c>
      <c r="BG98" s="168">
        <f t="shared" si="65"/>
        <v>0</v>
      </c>
      <c r="BH98" s="168">
        <f t="shared" si="65"/>
        <v>0</v>
      </c>
      <c r="BI98" s="168">
        <f t="shared" si="65"/>
        <v>0</v>
      </c>
      <c r="BJ98" s="168">
        <f t="shared" si="65"/>
        <v>0</v>
      </c>
      <c r="BK98" s="168">
        <f t="shared" si="65"/>
        <v>0</v>
      </c>
      <c r="BL98" s="168">
        <f t="shared" si="65"/>
        <v>0</v>
      </c>
      <c r="BM98" s="168">
        <f t="shared" si="65"/>
        <v>0</v>
      </c>
      <c r="BN98" s="168">
        <f t="shared" si="65"/>
        <v>0</v>
      </c>
      <c r="BO98" s="168">
        <f t="shared" si="65"/>
        <v>0</v>
      </c>
      <c r="BP98" s="168">
        <f t="shared" si="65"/>
        <v>0</v>
      </c>
      <c r="BQ98" s="168">
        <f t="shared" si="65"/>
        <v>0</v>
      </c>
      <c r="BR98" s="168">
        <f t="shared" si="65"/>
        <v>0</v>
      </c>
      <c r="BS98" s="168">
        <f t="shared" si="65"/>
        <v>0</v>
      </c>
      <c r="BZ98" s="182" t="str">
        <f>BZ35</f>
        <v>lot10</v>
      </c>
      <c r="CB98" s="168">
        <f t="shared" si="66"/>
        <v>0</v>
      </c>
      <c r="CC98" s="168">
        <f t="shared" si="66"/>
        <v>0</v>
      </c>
      <c r="CD98" s="168">
        <f t="shared" si="66"/>
        <v>0</v>
      </c>
      <c r="CE98" s="168">
        <f t="shared" si="66"/>
        <v>0</v>
      </c>
      <c r="CF98" s="168">
        <f t="shared" si="66"/>
        <v>0</v>
      </c>
      <c r="CG98" s="168">
        <f t="shared" si="66"/>
        <v>0</v>
      </c>
      <c r="CH98" s="168">
        <f t="shared" si="66"/>
        <v>0</v>
      </c>
      <c r="CI98" s="168">
        <f t="shared" si="66"/>
        <v>0</v>
      </c>
      <c r="CJ98" s="168">
        <f t="shared" si="66"/>
        <v>0</v>
      </c>
      <c r="CK98" s="168">
        <f t="shared" si="66"/>
        <v>0</v>
      </c>
      <c r="CL98" s="168">
        <f t="shared" si="66"/>
        <v>0</v>
      </c>
      <c r="CM98" s="168">
        <f t="shared" si="66"/>
        <v>0</v>
      </c>
      <c r="CN98" s="168">
        <f t="shared" si="66"/>
        <v>0</v>
      </c>
      <c r="CO98" s="168">
        <f t="shared" si="66"/>
        <v>0</v>
      </c>
      <c r="CP98" s="168">
        <f t="shared" si="66"/>
        <v>0</v>
      </c>
      <c r="CQ98" s="168">
        <f t="shared" si="66"/>
        <v>0</v>
      </c>
      <c r="CR98" s="168">
        <f t="shared" si="66"/>
        <v>0</v>
      </c>
      <c r="CS98" s="168">
        <f t="shared" si="66"/>
        <v>0</v>
      </c>
      <c r="CT98" s="168">
        <f t="shared" si="66"/>
        <v>0</v>
      </c>
      <c r="CU98" s="168">
        <f t="shared" si="66"/>
        <v>0</v>
      </c>
      <c r="CV98" s="168">
        <f t="shared" si="66"/>
        <v>0</v>
      </c>
      <c r="CW98" s="168">
        <f t="shared" si="66"/>
        <v>0</v>
      </c>
      <c r="CX98" s="168">
        <f t="shared" si="66"/>
        <v>0</v>
      </c>
      <c r="CY98" s="168">
        <f t="shared" si="66"/>
        <v>0</v>
      </c>
      <c r="DC98" s="182" t="str">
        <f>DC35</f>
        <v>lot10</v>
      </c>
      <c r="DE98" s="168">
        <f t="shared" si="67"/>
        <v>0</v>
      </c>
      <c r="DF98" s="168">
        <f t="shared" si="67"/>
        <v>0</v>
      </c>
      <c r="DG98" s="168">
        <f t="shared" si="67"/>
        <v>0</v>
      </c>
      <c r="DH98" s="168">
        <f t="shared" si="67"/>
        <v>0</v>
      </c>
      <c r="DI98" s="168">
        <f t="shared" si="67"/>
        <v>0</v>
      </c>
      <c r="DJ98" s="168">
        <f t="shared" si="67"/>
        <v>0</v>
      </c>
      <c r="DK98" s="168">
        <f t="shared" si="67"/>
        <v>0</v>
      </c>
      <c r="DL98" s="168">
        <f t="shared" si="67"/>
        <v>0</v>
      </c>
      <c r="DM98" s="168">
        <f t="shared" si="67"/>
        <v>0</v>
      </c>
      <c r="DN98" s="168">
        <f t="shared" si="67"/>
        <v>0</v>
      </c>
      <c r="DO98" s="168">
        <f t="shared" si="67"/>
        <v>0</v>
      </c>
      <c r="DP98" s="168">
        <f t="shared" si="67"/>
        <v>0</v>
      </c>
      <c r="DQ98" s="168">
        <f t="shared" si="67"/>
        <v>0</v>
      </c>
      <c r="DR98" s="168">
        <f t="shared" si="67"/>
        <v>0</v>
      </c>
      <c r="DS98" s="168">
        <f t="shared" si="67"/>
        <v>0</v>
      </c>
      <c r="DT98" s="168">
        <f t="shared" si="67"/>
        <v>0</v>
      </c>
      <c r="DU98" s="168">
        <f t="shared" si="67"/>
        <v>0</v>
      </c>
      <c r="DV98" s="168">
        <f t="shared" si="67"/>
        <v>0</v>
      </c>
      <c r="DW98" s="168">
        <f t="shared" si="67"/>
        <v>0</v>
      </c>
      <c r="DX98" s="168">
        <f t="shared" si="67"/>
        <v>0</v>
      </c>
      <c r="DY98" s="168">
        <f t="shared" si="67"/>
        <v>0</v>
      </c>
      <c r="DZ98" s="168">
        <f t="shared" si="67"/>
        <v>0</v>
      </c>
      <c r="EA98" s="168">
        <f t="shared" si="67"/>
        <v>0</v>
      </c>
      <c r="EB98" s="168">
        <f t="shared" si="67"/>
        <v>0</v>
      </c>
    </row>
    <row r="99" spans="1:132" x14ac:dyDescent="0.25">
      <c r="A99" s="5" t="s">
        <v>825</v>
      </c>
      <c r="B99" s="30">
        <f>F31+F35</f>
        <v>216</v>
      </c>
      <c r="C99" s="5"/>
      <c r="D99" s="195">
        <f>B99/Troupeau!$B$17</f>
        <v>5.4</v>
      </c>
      <c r="F99" s="16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T99" s="197" t="s">
        <v>13</v>
      </c>
      <c r="AV99" s="62">
        <f>SUM(AV90:AV98)</f>
        <v>84.8</v>
      </c>
      <c r="AW99" s="62">
        <f t="shared" ref="AW99:BS99" si="68">SUM(AW90:AW98)</f>
        <v>84.8</v>
      </c>
      <c r="AX99" s="62">
        <f t="shared" si="68"/>
        <v>86.399999999999991</v>
      </c>
      <c r="AY99" s="62">
        <f t="shared" si="68"/>
        <v>87.2</v>
      </c>
      <c r="AZ99" s="62">
        <f t="shared" si="68"/>
        <v>56</v>
      </c>
      <c r="BA99" s="62">
        <f t="shared" si="68"/>
        <v>58.4</v>
      </c>
      <c r="BB99" s="62">
        <f t="shared" si="68"/>
        <v>16.8</v>
      </c>
      <c r="BC99" s="62">
        <f t="shared" si="68"/>
        <v>18.399999999999999</v>
      </c>
      <c r="BD99" s="62">
        <f t="shared" si="68"/>
        <v>19.2</v>
      </c>
      <c r="BE99" s="62">
        <f t="shared" si="68"/>
        <v>19.2</v>
      </c>
      <c r="BF99" s="62">
        <f t="shared" si="68"/>
        <v>19.2</v>
      </c>
      <c r="BG99" s="62">
        <f t="shared" si="68"/>
        <v>19.2</v>
      </c>
      <c r="BH99" s="62">
        <f t="shared" si="68"/>
        <v>19.2</v>
      </c>
      <c r="BI99" s="62">
        <f t="shared" si="68"/>
        <v>19.2</v>
      </c>
      <c r="BJ99" s="62">
        <f t="shared" si="68"/>
        <v>19.2</v>
      </c>
      <c r="BK99" s="62">
        <f t="shared" si="68"/>
        <v>19.2</v>
      </c>
      <c r="BL99" s="62">
        <f t="shared" si="68"/>
        <v>19.2</v>
      </c>
      <c r="BM99" s="62">
        <f t="shared" si="68"/>
        <v>19.2</v>
      </c>
      <c r="BN99" s="62">
        <f t="shared" si="68"/>
        <v>16.8</v>
      </c>
      <c r="BO99" s="62">
        <f t="shared" si="68"/>
        <v>44</v>
      </c>
      <c r="BP99" s="62">
        <f t="shared" si="68"/>
        <v>82.4</v>
      </c>
      <c r="BQ99" s="62">
        <f t="shared" si="68"/>
        <v>84.8</v>
      </c>
      <c r="BR99" s="62">
        <f t="shared" si="68"/>
        <v>84.8</v>
      </c>
      <c r="BS99" s="62">
        <f t="shared" si="68"/>
        <v>84.8</v>
      </c>
      <c r="BZ99" s="37" t="s">
        <v>13</v>
      </c>
      <c r="CB99" s="62">
        <f t="shared" ref="CB99:CY99" si="69">SUM(CB94:CB98)</f>
        <v>0</v>
      </c>
      <c r="CC99" s="62">
        <f t="shared" si="69"/>
        <v>0</v>
      </c>
      <c r="CD99" s="62">
        <f t="shared" si="69"/>
        <v>0</v>
      </c>
      <c r="CE99" s="62">
        <f t="shared" si="69"/>
        <v>0</v>
      </c>
      <c r="CF99" s="62">
        <f t="shared" si="69"/>
        <v>0</v>
      </c>
      <c r="CG99" s="62">
        <f t="shared" si="69"/>
        <v>0</v>
      </c>
      <c r="CH99" s="62">
        <f t="shared" si="69"/>
        <v>0</v>
      </c>
      <c r="CI99" s="62">
        <f t="shared" si="69"/>
        <v>0</v>
      </c>
      <c r="CJ99" s="62">
        <f t="shared" si="69"/>
        <v>0</v>
      </c>
      <c r="CK99" s="62">
        <f t="shared" si="69"/>
        <v>0</v>
      </c>
      <c r="CL99" s="62">
        <f t="shared" si="69"/>
        <v>0</v>
      </c>
      <c r="CM99" s="62">
        <f t="shared" si="69"/>
        <v>0</v>
      </c>
      <c r="CN99" s="62">
        <f t="shared" si="69"/>
        <v>0</v>
      </c>
      <c r="CO99" s="62">
        <f t="shared" si="69"/>
        <v>0</v>
      </c>
      <c r="CP99" s="62">
        <f t="shared" si="69"/>
        <v>0</v>
      </c>
      <c r="CQ99" s="62">
        <f t="shared" si="69"/>
        <v>0</v>
      </c>
      <c r="CR99" s="62">
        <f t="shared" si="69"/>
        <v>0</v>
      </c>
      <c r="CS99" s="62">
        <f t="shared" si="69"/>
        <v>0</v>
      </c>
      <c r="CT99" s="62">
        <f t="shared" si="69"/>
        <v>0</v>
      </c>
      <c r="CU99" s="62">
        <f t="shared" si="69"/>
        <v>0</v>
      </c>
      <c r="CV99" s="62">
        <f t="shared" si="69"/>
        <v>0</v>
      </c>
      <c r="CW99" s="62">
        <f t="shared" si="69"/>
        <v>0</v>
      </c>
      <c r="CX99" s="62">
        <f t="shared" si="69"/>
        <v>0</v>
      </c>
      <c r="CY99" s="62">
        <f t="shared" si="69"/>
        <v>0</v>
      </c>
      <c r="DC99" s="37" t="s">
        <v>13</v>
      </c>
      <c r="DE99" s="62">
        <f t="shared" ref="DE99:EB99" si="70">SUM(DE94:DE98)</f>
        <v>0</v>
      </c>
      <c r="DF99" s="62">
        <f t="shared" si="70"/>
        <v>0</v>
      </c>
      <c r="DG99" s="62">
        <f t="shared" si="70"/>
        <v>0</v>
      </c>
      <c r="DH99" s="62">
        <f t="shared" si="70"/>
        <v>0</v>
      </c>
      <c r="DI99" s="62">
        <f t="shared" si="70"/>
        <v>0</v>
      </c>
      <c r="DJ99" s="62">
        <f t="shared" si="70"/>
        <v>0</v>
      </c>
      <c r="DK99" s="62">
        <f t="shared" si="70"/>
        <v>0</v>
      </c>
      <c r="DL99" s="62">
        <f t="shared" si="70"/>
        <v>0</v>
      </c>
      <c r="DM99" s="62">
        <f t="shared" si="70"/>
        <v>0</v>
      </c>
      <c r="DN99" s="62">
        <f t="shared" si="70"/>
        <v>0</v>
      </c>
      <c r="DO99" s="62">
        <f t="shared" si="70"/>
        <v>0</v>
      </c>
      <c r="DP99" s="62">
        <f t="shared" si="70"/>
        <v>0</v>
      </c>
      <c r="DQ99" s="62">
        <f t="shared" si="70"/>
        <v>0</v>
      </c>
      <c r="DR99" s="62">
        <f t="shared" si="70"/>
        <v>0</v>
      </c>
      <c r="DS99" s="62">
        <f t="shared" si="70"/>
        <v>0</v>
      </c>
      <c r="DT99" s="62">
        <f t="shared" si="70"/>
        <v>0</v>
      </c>
      <c r="DU99" s="62">
        <f t="shared" si="70"/>
        <v>0</v>
      </c>
      <c r="DV99" s="62">
        <f t="shared" si="70"/>
        <v>0</v>
      </c>
      <c r="DW99" s="62">
        <f t="shared" si="70"/>
        <v>0</v>
      </c>
      <c r="DX99" s="62">
        <f t="shared" si="70"/>
        <v>0</v>
      </c>
      <c r="DY99" s="62">
        <f t="shared" si="70"/>
        <v>0</v>
      </c>
      <c r="DZ99" s="62">
        <f t="shared" si="70"/>
        <v>0</v>
      </c>
      <c r="EA99" s="62">
        <f t="shared" si="70"/>
        <v>0</v>
      </c>
      <c r="EB99" s="62">
        <f t="shared" si="70"/>
        <v>0</v>
      </c>
    </row>
    <row r="100" spans="1:132" x14ac:dyDescent="0.25">
      <c r="A100" s="5" t="s">
        <v>826</v>
      </c>
      <c r="B100" s="30">
        <f>F32+F36</f>
        <v>0</v>
      </c>
      <c r="C100" s="5"/>
      <c r="D100" s="195">
        <f>IF(B100=0,0,B100/Troupeau!$C$17)</f>
        <v>0</v>
      </c>
      <c r="F100" s="166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T100" s="182" t="s">
        <v>827</v>
      </c>
      <c r="AV100" s="168">
        <f>IF($AT$2="OL",AV99/50,AV99/10)</f>
        <v>8.48</v>
      </c>
      <c r="AW100" s="168">
        <f t="shared" ref="AW100:BS100" si="71">IF($AT$2="OL",AW99/50,AW99/10)</f>
        <v>8.48</v>
      </c>
      <c r="AX100" s="168">
        <f t="shared" si="71"/>
        <v>8.6399999999999988</v>
      </c>
      <c r="AY100" s="168">
        <f t="shared" si="71"/>
        <v>8.7200000000000006</v>
      </c>
      <c r="AZ100" s="168">
        <f t="shared" si="71"/>
        <v>5.6</v>
      </c>
      <c r="BA100" s="168">
        <f t="shared" si="71"/>
        <v>5.84</v>
      </c>
      <c r="BB100" s="168">
        <f t="shared" si="71"/>
        <v>1.6800000000000002</v>
      </c>
      <c r="BC100" s="168">
        <f t="shared" si="71"/>
        <v>1.8399999999999999</v>
      </c>
      <c r="BD100" s="168">
        <f t="shared" si="71"/>
        <v>1.92</v>
      </c>
      <c r="BE100" s="168">
        <f t="shared" si="71"/>
        <v>1.92</v>
      </c>
      <c r="BF100" s="168">
        <f t="shared" si="71"/>
        <v>1.92</v>
      </c>
      <c r="BG100" s="168">
        <f t="shared" si="71"/>
        <v>1.92</v>
      </c>
      <c r="BH100" s="168">
        <f t="shared" si="71"/>
        <v>1.92</v>
      </c>
      <c r="BI100" s="168">
        <f t="shared" si="71"/>
        <v>1.92</v>
      </c>
      <c r="BJ100" s="168">
        <f t="shared" si="71"/>
        <v>1.92</v>
      </c>
      <c r="BK100" s="168">
        <f t="shared" si="71"/>
        <v>1.92</v>
      </c>
      <c r="BL100" s="168">
        <f t="shared" si="71"/>
        <v>1.92</v>
      </c>
      <c r="BM100" s="168">
        <f t="shared" si="71"/>
        <v>1.92</v>
      </c>
      <c r="BN100" s="168">
        <f t="shared" si="71"/>
        <v>1.6800000000000002</v>
      </c>
      <c r="BO100" s="168">
        <f t="shared" si="71"/>
        <v>4.4000000000000004</v>
      </c>
      <c r="BP100" s="168">
        <f t="shared" si="71"/>
        <v>8.24</v>
      </c>
      <c r="BQ100" s="168">
        <f t="shared" si="71"/>
        <v>8.48</v>
      </c>
      <c r="BR100" s="168">
        <f t="shared" si="71"/>
        <v>8.48</v>
      </c>
      <c r="BS100" s="168">
        <f t="shared" si="71"/>
        <v>8.48</v>
      </c>
      <c r="BZ100" s="32" t="s">
        <v>827</v>
      </c>
      <c r="CB100" s="168">
        <f>IF($AT$2="OL",CB99/50,CB99/10)</f>
        <v>0</v>
      </c>
      <c r="CC100" s="168">
        <f t="shared" ref="CC100:CY100" si="72">IF($AT$2="OL",CC99/50,CC99/10)</f>
        <v>0</v>
      </c>
      <c r="CD100" s="168">
        <f t="shared" si="72"/>
        <v>0</v>
      </c>
      <c r="CE100" s="168">
        <f t="shared" si="72"/>
        <v>0</v>
      </c>
      <c r="CF100" s="168">
        <f t="shared" si="72"/>
        <v>0</v>
      </c>
      <c r="CG100" s="168">
        <f t="shared" si="72"/>
        <v>0</v>
      </c>
      <c r="CH100" s="168">
        <f t="shared" si="72"/>
        <v>0</v>
      </c>
      <c r="CI100" s="168">
        <f t="shared" si="72"/>
        <v>0</v>
      </c>
      <c r="CJ100" s="168">
        <f t="shared" si="72"/>
        <v>0</v>
      </c>
      <c r="CK100" s="168">
        <f t="shared" si="72"/>
        <v>0</v>
      </c>
      <c r="CL100" s="168">
        <f t="shared" si="72"/>
        <v>0</v>
      </c>
      <c r="CM100" s="168">
        <f t="shared" si="72"/>
        <v>0</v>
      </c>
      <c r="CN100" s="168">
        <f t="shared" si="72"/>
        <v>0</v>
      </c>
      <c r="CO100" s="168">
        <f t="shared" si="72"/>
        <v>0</v>
      </c>
      <c r="CP100" s="168">
        <f t="shared" si="72"/>
        <v>0</v>
      </c>
      <c r="CQ100" s="168">
        <f t="shared" si="72"/>
        <v>0</v>
      </c>
      <c r="CR100" s="168">
        <f t="shared" si="72"/>
        <v>0</v>
      </c>
      <c r="CS100" s="168">
        <f t="shared" si="72"/>
        <v>0</v>
      </c>
      <c r="CT100" s="168">
        <f t="shared" si="72"/>
        <v>0</v>
      </c>
      <c r="CU100" s="168">
        <f t="shared" si="72"/>
        <v>0</v>
      </c>
      <c r="CV100" s="168">
        <f t="shared" si="72"/>
        <v>0</v>
      </c>
      <c r="CW100" s="168">
        <f t="shared" si="72"/>
        <v>0</v>
      </c>
      <c r="CX100" s="168">
        <f t="shared" si="72"/>
        <v>0</v>
      </c>
      <c r="CY100" s="168">
        <f t="shared" si="72"/>
        <v>0</v>
      </c>
      <c r="DC100" s="32" t="s">
        <v>827</v>
      </c>
      <c r="DE100" s="168">
        <f>IF($AT$2="OL",DE99/50,DE99/10)</f>
        <v>0</v>
      </c>
      <c r="DF100" s="168">
        <f t="shared" ref="DF100:EB100" si="73">IF($AT$2="OL",DF99/50,DF99/10)</f>
        <v>0</v>
      </c>
      <c r="DG100" s="168">
        <f t="shared" si="73"/>
        <v>0</v>
      </c>
      <c r="DH100" s="168">
        <f t="shared" si="73"/>
        <v>0</v>
      </c>
      <c r="DI100" s="168">
        <f t="shared" si="73"/>
        <v>0</v>
      </c>
      <c r="DJ100" s="168">
        <f t="shared" si="73"/>
        <v>0</v>
      </c>
      <c r="DK100" s="168">
        <f t="shared" si="73"/>
        <v>0</v>
      </c>
      <c r="DL100" s="168">
        <f t="shared" si="73"/>
        <v>0</v>
      </c>
      <c r="DM100" s="168">
        <f t="shared" si="73"/>
        <v>0</v>
      </c>
      <c r="DN100" s="168">
        <f t="shared" si="73"/>
        <v>0</v>
      </c>
      <c r="DO100" s="168">
        <f t="shared" si="73"/>
        <v>0</v>
      </c>
      <c r="DP100" s="168">
        <f t="shared" si="73"/>
        <v>0</v>
      </c>
      <c r="DQ100" s="168">
        <f t="shared" si="73"/>
        <v>0</v>
      </c>
      <c r="DR100" s="168">
        <f t="shared" si="73"/>
        <v>0</v>
      </c>
      <c r="DS100" s="168">
        <f t="shared" si="73"/>
        <v>0</v>
      </c>
      <c r="DT100" s="168">
        <f t="shared" si="73"/>
        <v>0</v>
      </c>
      <c r="DU100" s="168">
        <f t="shared" si="73"/>
        <v>0</v>
      </c>
      <c r="DV100" s="168">
        <f t="shared" si="73"/>
        <v>0</v>
      </c>
      <c r="DW100" s="168">
        <f t="shared" si="73"/>
        <v>0</v>
      </c>
      <c r="DX100" s="168">
        <f t="shared" si="73"/>
        <v>0</v>
      </c>
      <c r="DY100" s="168">
        <f t="shared" si="73"/>
        <v>0</v>
      </c>
      <c r="DZ100" s="168">
        <f t="shared" si="73"/>
        <v>0</v>
      </c>
      <c r="EA100" s="168">
        <f t="shared" si="73"/>
        <v>0</v>
      </c>
      <c r="EB100" s="168">
        <f t="shared" si="73"/>
        <v>0</v>
      </c>
    </row>
    <row r="101" spans="1:132" x14ac:dyDescent="0.25">
      <c r="A101" s="5" t="s">
        <v>828</v>
      </c>
      <c r="B101" s="30">
        <f>F33+F37</f>
        <v>0</v>
      </c>
      <c r="C101" s="5"/>
      <c r="D101" s="195">
        <f>IF(B101=0,0,B101/Troupeau!$D$17)</f>
        <v>0</v>
      </c>
      <c r="F101" s="16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T101" s="182" t="s">
        <v>829</v>
      </c>
      <c r="AV101" s="168">
        <f>IF(AV100&gt;1,AV100-1,0)</f>
        <v>7.48</v>
      </c>
      <c r="AW101" s="168">
        <f t="shared" ref="AW101:BS101" si="74">IF(AW100&gt;1,AW100-1,0)</f>
        <v>7.48</v>
      </c>
      <c r="AX101" s="168">
        <f t="shared" si="74"/>
        <v>7.6399999999999988</v>
      </c>
      <c r="AY101" s="168">
        <f t="shared" si="74"/>
        <v>7.7200000000000006</v>
      </c>
      <c r="AZ101" s="168">
        <f t="shared" si="74"/>
        <v>4.5999999999999996</v>
      </c>
      <c r="BA101" s="168">
        <f t="shared" si="74"/>
        <v>4.84</v>
      </c>
      <c r="BB101" s="168">
        <f t="shared" si="74"/>
        <v>0.68000000000000016</v>
      </c>
      <c r="BC101" s="168">
        <f t="shared" si="74"/>
        <v>0.83999999999999986</v>
      </c>
      <c r="BD101" s="168">
        <f t="shared" si="74"/>
        <v>0.91999999999999993</v>
      </c>
      <c r="BE101" s="168">
        <f t="shared" si="74"/>
        <v>0.91999999999999993</v>
      </c>
      <c r="BF101" s="168">
        <f t="shared" si="74"/>
        <v>0.91999999999999993</v>
      </c>
      <c r="BG101" s="168">
        <f t="shared" si="74"/>
        <v>0.91999999999999993</v>
      </c>
      <c r="BH101" s="168">
        <f t="shared" si="74"/>
        <v>0.91999999999999993</v>
      </c>
      <c r="BI101" s="168">
        <f t="shared" si="74"/>
        <v>0.91999999999999993</v>
      </c>
      <c r="BJ101" s="168">
        <f t="shared" si="74"/>
        <v>0.91999999999999993</v>
      </c>
      <c r="BK101" s="168">
        <f t="shared" si="74"/>
        <v>0.91999999999999993</v>
      </c>
      <c r="BL101" s="168">
        <f t="shared" si="74"/>
        <v>0.91999999999999993</v>
      </c>
      <c r="BM101" s="168">
        <f t="shared" si="74"/>
        <v>0.91999999999999993</v>
      </c>
      <c r="BN101" s="168">
        <f t="shared" si="74"/>
        <v>0.68000000000000016</v>
      </c>
      <c r="BO101" s="168">
        <f t="shared" si="74"/>
        <v>3.4000000000000004</v>
      </c>
      <c r="BP101" s="168">
        <f t="shared" si="74"/>
        <v>7.24</v>
      </c>
      <c r="BQ101" s="168">
        <f t="shared" si="74"/>
        <v>7.48</v>
      </c>
      <c r="BR101" s="168">
        <f t="shared" si="74"/>
        <v>7.48</v>
      </c>
      <c r="BS101" s="168">
        <f t="shared" si="74"/>
        <v>7.48</v>
      </c>
      <c r="BZ101" s="32" t="s">
        <v>829</v>
      </c>
      <c r="CB101" s="168">
        <f>IF(CB100&gt;1,CB100-1,0)</f>
        <v>0</v>
      </c>
      <c r="CC101" s="168">
        <f t="shared" ref="CC101:CY101" si="75">IF(CC100&gt;1,CC100-1,0)</f>
        <v>0</v>
      </c>
      <c r="CD101" s="168">
        <f t="shared" si="75"/>
        <v>0</v>
      </c>
      <c r="CE101" s="168">
        <f t="shared" si="75"/>
        <v>0</v>
      </c>
      <c r="CF101" s="168">
        <f t="shared" si="75"/>
        <v>0</v>
      </c>
      <c r="CG101" s="168">
        <f t="shared" si="75"/>
        <v>0</v>
      </c>
      <c r="CH101" s="168">
        <f t="shared" si="75"/>
        <v>0</v>
      </c>
      <c r="CI101" s="168">
        <f t="shared" si="75"/>
        <v>0</v>
      </c>
      <c r="CJ101" s="168">
        <f t="shared" si="75"/>
        <v>0</v>
      </c>
      <c r="CK101" s="168">
        <f t="shared" si="75"/>
        <v>0</v>
      </c>
      <c r="CL101" s="168">
        <f t="shared" si="75"/>
        <v>0</v>
      </c>
      <c r="CM101" s="168">
        <f t="shared" si="75"/>
        <v>0</v>
      </c>
      <c r="CN101" s="168">
        <f t="shared" si="75"/>
        <v>0</v>
      </c>
      <c r="CO101" s="168">
        <f t="shared" si="75"/>
        <v>0</v>
      </c>
      <c r="CP101" s="168">
        <f t="shared" si="75"/>
        <v>0</v>
      </c>
      <c r="CQ101" s="168">
        <f t="shared" si="75"/>
        <v>0</v>
      </c>
      <c r="CR101" s="168">
        <f t="shared" si="75"/>
        <v>0</v>
      </c>
      <c r="CS101" s="168">
        <f t="shared" si="75"/>
        <v>0</v>
      </c>
      <c r="CT101" s="168">
        <f t="shared" si="75"/>
        <v>0</v>
      </c>
      <c r="CU101" s="168">
        <f t="shared" si="75"/>
        <v>0</v>
      </c>
      <c r="CV101" s="168">
        <f t="shared" si="75"/>
        <v>0</v>
      </c>
      <c r="CW101" s="168">
        <f t="shared" si="75"/>
        <v>0</v>
      </c>
      <c r="CX101" s="168">
        <f t="shared" si="75"/>
        <v>0</v>
      </c>
      <c r="CY101" s="168">
        <f t="shared" si="75"/>
        <v>0</v>
      </c>
      <c r="DC101" s="32" t="s">
        <v>829</v>
      </c>
      <c r="DE101" s="168">
        <f>IF(DE100&gt;1,DE100-1,0)</f>
        <v>0</v>
      </c>
      <c r="DF101" s="168">
        <f t="shared" ref="DF101:EB101" si="76">IF(DF100&gt;1,DF100-1,0)</f>
        <v>0</v>
      </c>
      <c r="DG101" s="168">
        <f t="shared" si="76"/>
        <v>0</v>
      </c>
      <c r="DH101" s="168">
        <f t="shared" si="76"/>
        <v>0</v>
      </c>
      <c r="DI101" s="168">
        <f t="shared" si="76"/>
        <v>0</v>
      </c>
      <c r="DJ101" s="168">
        <f t="shared" si="76"/>
        <v>0</v>
      </c>
      <c r="DK101" s="168">
        <f t="shared" si="76"/>
        <v>0</v>
      </c>
      <c r="DL101" s="168">
        <f t="shared" si="76"/>
        <v>0</v>
      </c>
      <c r="DM101" s="168">
        <f t="shared" si="76"/>
        <v>0</v>
      </c>
      <c r="DN101" s="168">
        <f t="shared" si="76"/>
        <v>0</v>
      </c>
      <c r="DO101" s="168">
        <f t="shared" si="76"/>
        <v>0</v>
      </c>
      <c r="DP101" s="168">
        <f t="shared" si="76"/>
        <v>0</v>
      </c>
      <c r="DQ101" s="168">
        <f t="shared" si="76"/>
        <v>0</v>
      </c>
      <c r="DR101" s="168">
        <f t="shared" si="76"/>
        <v>0</v>
      </c>
      <c r="DS101" s="168">
        <f t="shared" si="76"/>
        <v>0</v>
      </c>
      <c r="DT101" s="168">
        <f t="shared" si="76"/>
        <v>0</v>
      </c>
      <c r="DU101" s="168">
        <f t="shared" si="76"/>
        <v>0</v>
      </c>
      <c r="DV101" s="168">
        <f t="shared" si="76"/>
        <v>0</v>
      </c>
      <c r="DW101" s="168">
        <f t="shared" si="76"/>
        <v>0</v>
      </c>
      <c r="DX101" s="168">
        <f t="shared" si="76"/>
        <v>0</v>
      </c>
      <c r="DY101" s="168">
        <f t="shared" si="76"/>
        <v>0</v>
      </c>
      <c r="DZ101" s="168">
        <f t="shared" si="76"/>
        <v>0</v>
      </c>
      <c r="EA101" s="168">
        <f t="shared" si="76"/>
        <v>0</v>
      </c>
      <c r="EB101" s="168">
        <f t="shared" si="76"/>
        <v>0</v>
      </c>
    </row>
    <row r="102" spans="1:132" x14ac:dyDescent="0.25">
      <c r="A102" s="23" t="s">
        <v>830</v>
      </c>
      <c r="B102" s="46">
        <f>SUM(B99:B101)</f>
        <v>216</v>
      </c>
      <c r="C102" s="5"/>
      <c r="D102" s="190"/>
      <c r="F102" s="166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T102" s="40" t="s">
        <v>831</v>
      </c>
      <c r="AV102" s="62">
        <f>AV86+AV87*AV101</f>
        <v>59.488240000000005</v>
      </c>
      <c r="AW102" s="62">
        <f t="shared" ref="AW102:BS102" si="77">AW86+AW87*AW101</f>
        <v>59.488240000000005</v>
      </c>
      <c r="AX102" s="62">
        <f t="shared" si="77"/>
        <v>59.862319999999997</v>
      </c>
      <c r="AY102" s="62">
        <f t="shared" si="77"/>
        <v>60.049360000000007</v>
      </c>
      <c r="AZ102" s="62">
        <f t="shared" si="77"/>
        <v>52.754800000000003</v>
      </c>
      <c r="BA102" s="62">
        <f t="shared" si="77"/>
        <v>53.315919999999998</v>
      </c>
      <c r="BB102" s="62">
        <f t="shared" si="77"/>
        <v>43.589840000000002</v>
      </c>
      <c r="BC102" s="62">
        <f t="shared" si="77"/>
        <v>43.963920000000002</v>
      </c>
      <c r="BD102" s="62">
        <f t="shared" si="77"/>
        <v>44.150959999999998</v>
      </c>
      <c r="BE102" s="62">
        <f t="shared" si="77"/>
        <v>44.150959999999998</v>
      </c>
      <c r="BF102" s="62">
        <f t="shared" si="77"/>
        <v>44.150959999999998</v>
      </c>
      <c r="BG102" s="62">
        <f t="shared" si="77"/>
        <v>44.150959999999998</v>
      </c>
      <c r="BH102" s="62">
        <f t="shared" si="77"/>
        <v>44.150959999999998</v>
      </c>
      <c r="BI102" s="62">
        <f t="shared" si="77"/>
        <v>44.150959999999998</v>
      </c>
      <c r="BJ102" s="62">
        <f t="shared" si="77"/>
        <v>44.150959999999998</v>
      </c>
      <c r="BK102" s="62">
        <f t="shared" si="77"/>
        <v>44.150959999999998</v>
      </c>
      <c r="BL102" s="62">
        <f t="shared" si="77"/>
        <v>44.150959999999998</v>
      </c>
      <c r="BM102" s="62">
        <f t="shared" si="77"/>
        <v>44.150959999999998</v>
      </c>
      <c r="BN102" s="62">
        <f t="shared" si="77"/>
        <v>43.589840000000002</v>
      </c>
      <c r="BO102" s="62">
        <f t="shared" si="77"/>
        <v>49.949200000000005</v>
      </c>
      <c r="BP102" s="62">
        <f t="shared" si="77"/>
        <v>58.927120000000002</v>
      </c>
      <c r="BQ102" s="62">
        <f t="shared" si="77"/>
        <v>59.488240000000005</v>
      </c>
      <c r="BR102" s="62">
        <f t="shared" si="77"/>
        <v>59.488240000000005</v>
      </c>
      <c r="BS102" s="62">
        <f t="shared" si="77"/>
        <v>59.488240000000005</v>
      </c>
      <c r="BZ102" s="40" t="s">
        <v>831</v>
      </c>
      <c r="CB102" s="62">
        <f>CB86+CB87*CB101</f>
        <v>0</v>
      </c>
      <c r="CC102" s="62">
        <f t="shared" ref="CC102:CY102" si="78">CC86+CC87*CC101</f>
        <v>0</v>
      </c>
      <c r="CD102" s="62">
        <f t="shared" si="78"/>
        <v>0</v>
      </c>
      <c r="CE102" s="62">
        <f t="shared" si="78"/>
        <v>0</v>
      </c>
      <c r="CF102" s="62">
        <f t="shared" si="78"/>
        <v>0</v>
      </c>
      <c r="CG102" s="62">
        <f t="shared" si="78"/>
        <v>0</v>
      </c>
      <c r="CH102" s="62">
        <f t="shared" si="78"/>
        <v>0</v>
      </c>
      <c r="CI102" s="62">
        <f t="shared" si="78"/>
        <v>0</v>
      </c>
      <c r="CJ102" s="62">
        <f t="shared" si="78"/>
        <v>0</v>
      </c>
      <c r="CK102" s="62">
        <f t="shared" si="78"/>
        <v>0</v>
      </c>
      <c r="CL102" s="62">
        <f t="shared" si="78"/>
        <v>0</v>
      </c>
      <c r="CM102" s="62">
        <f t="shared" si="78"/>
        <v>0</v>
      </c>
      <c r="CN102" s="62">
        <f t="shared" si="78"/>
        <v>0</v>
      </c>
      <c r="CO102" s="62">
        <f t="shared" si="78"/>
        <v>0</v>
      </c>
      <c r="CP102" s="62">
        <f t="shared" si="78"/>
        <v>0</v>
      </c>
      <c r="CQ102" s="62">
        <f t="shared" si="78"/>
        <v>0</v>
      </c>
      <c r="CR102" s="62">
        <f t="shared" si="78"/>
        <v>0</v>
      </c>
      <c r="CS102" s="62">
        <f t="shared" si="78"/>
        <v>0</v>
      </c>
      <c r="CT102" s="62">
        <f t="shared" si="78"/>
        <v>0</v>
      </c>
      <c r="CU102" s="62">
        <f t="shared" si="78"/>
        <v>0</v>
      </c>
      <c r="CV102" s="62">
        <f t="shared" si="78"/>
        <v>0</v>
      </c>
      <c r="CW102" s="62">
        <f t="shared" si="78"/>
        <v>0</v>
      </c>
      <c r="CX102" s="62">
        <f t="shared" si="78"/>
        <v>0</v>
      </c>
      <c r="CY102" s="62">
        <f t="shared" si="78"/>
        <v>0</v>
      </c>
      <c r="DC102" s="40" t="s">
        <v>831</v>
      </c>
      <c r="DE102" s="62">
        <f>DE86+DE87*DE101</f>
        <v>0</v>
      </c>
      <c r="DF102" s="62">
        <f t="shared" ref="DF102:EB102" si="79">DF86+DF87*DF101</f>
        <v>0</v>
      </c>
      <c r="DG102" s="62">
        <f t="shared" si="79"/>
        <v>0</v>
      </c>
      <c r="DH102" s="62">
        <f t="shared" si="79"/>
        <v>0</v>
      </c>
      <c r="DI102" s="62">
        <f t="shared" si="79"/>
        <v>0</v>
      </c>
      <c r="DJ102" s="62">
        <f t="shared" si="79"/>
        <v>0</v>
      </c>
      <c r="DK102" s="62">
        <f t="shared" si="79"/>
        <v>0</v>
      </c>
      <c r="DL102" s="62">
        <f t="shared" si="79"/>
        <v>0</v>
      </c>
      <c r="DM102" s="62">
        <f t="shared" si="79"/>
        <v>0</v>
      </c>
      <c r="DN102" s="62">
        <f t="shared" si="79"/>
        <v>0</v>
      </c>
      <c r="DO102" s="62">
        <f t="shared" si="79"/>
        <v>0</v>
      </c>
      <c r="DP102" s="62">
        <f t="shared" si="79"/>
        <v>0</v>
      </c>
      <c r="DQ102" s="62">
        <f t="shared" si="79"/>
        <v>0</v>
      </c>
      <c r="DR102" s="62">
        <f t="shared" si="79"/>
        <v>0</v>
      </c>
      <c r="DS102" s="62">
        <f t="shared" si="79"/>
        <v>0</v>
      </c>
      <c r="DT102" s="62">
        <f t="shared" si="79"/>
        <v>0</v>
      </c>
      <c r="DU102" s="62">
        <f t="shared" si="79"/>
        <v>0</v>
      </c>
      <c r="DV102" s="62">
        <f t="shared" si="79"/>
        <v>0</v>
      </c>
      <c r="DW102" s="62">
        <f t="shared" si="79"/>
        <v>0</v>
      </c>
      <c r="DX102" s="62">
        <f t="shared" si="79"/>
        <v>0</v>
      </c>
      <c r="DY102" s="62">
        <f t="shared" si="79"/>
        <v>0</v>
      </c>
      <c r="DZ102" s="62">
        <f t="shared" si="79"/>
        <v>0</v>
      </c>
      <c r="EA102" s="62">
        <f t="shared" si="79"/>
        <v>0</v>
      </c>
      <c r="EB102" s="62">
        <f t="shared" si="79"/>
        <v>0</v>
      </c>
    </row>
    <row r="103" spans="1:132" x14ac:dyDescent="0.25">
      <c r="A103" s="5" t="s">
        <v>832</v>
      </c>
      <c r="B103" s="30">
        <f>F39</f>
        <v>0</v>
      </c>
      <c r="C103" s="5"/>
      <c r="D103" s="195">
        <f>B103/Troupeau!$B$17</f>
        <v>0</v>
      </c>
      <c r="F103" s="16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S103" s="2"/>
      <c r="CB103" s="165"/>
      <c r="CC103" s="165"/>
      <c r="CD103" s="165"/>
      <c r="CE103" s="165"/>
      <c r="CF103" s="165"/>
      <c r="CG103" s="165"/>
      <c r="CH103" s="165"/>
      <c r="CI103" s="165"/>
      <c r="CJ103" s="165"/>
      <c r="CK103" s="165"/>
      <c r="CL103" s="165"/>
      <c r="CM103" s="165"/>
      <c r="CN103" s="165"/>
      <c r="CO103" s="165"/>
      <c r="CP103" s="165"/>
      <c r="CQ103" s="165"/>
      <c r="CR103" s="165"/>
      <c r="CS103" s="165"/>
      <c r="CT103" s="165"/>
      <c r="CU103" s="165"/>
      <c r="CV103" s="165"/>
      <c r="CW103" s="165"/>
      <c r="CX103" s="165"/>
      <c r="CY103" s="165"/>
      <c r="DE103" s="165"/>
      <c r="DF103" s="165"/>
      <c r="DG103" s="165"/>
      <c r="DH103" s="165"/>
      <c r="DI103" s="165"/>
      <c r="DJ103" s="165"/>
      <c r="DK103" s="165"/>
      <c r="DL103" s="165"/>
      <c r="DM103" s="165"/>
      <c r="DN103" s="165"/>
      <c r="DO103" s="165"/>
      <c r="DP103" s="165"/>
      <c r="DQ103" s="165"/>
      <c r="DR103" s="165"/>
      <c r="DS103" s="165"/>
      <c r="DT103" s="165"/>
      <c r="DU103" s="165"/>
      <c r="DV103" s="165"/>
      <c r="DW103" s="165"/>
      <c r="DX103" s="165"/>
      <c r="DY103" s="165"/>
      <c r="DZ103" s="165"/>
      <c r="EA103" s="165"/>
      <c r="EB103" s="165"/>
    </row>
    <row r="104" spans="1:132" x14ac:dyDescent="0.25">
      <c r="A104" s="5" t="s">
        <v>833</v>
      </c>
      <c r="B104" s="30">
        <f>F40</f>
        <v>0</v>
      </c>
      <c r="C104" s="5"/>
      <c r="D104" s="195">
        <f>IF(B104=0,0,B104/Troupeau!$C$17)</f>
        <v>0</v>
      </c>
      <c r="F104" s="166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T104" s="40" t="s">
        <v>834</v>
      </c>
      <c r="CB104" s="165"/>
      <c r="CC104" s="165"/>
      <c r="CD104" s="165"/>
      <c r="CE104" s="165"/>
      <c r="CF104" s="165"/>
      <c r="CG104" s="165"/>
      <c r="CH104" s="165"/>
      <c r="CI104" s="165"/>
      <c r="CJ104" s="165"/>
      <c r="CK104" s="165"/>
      <c r="CL104" s="165"/>
      <c r="CM104" s="165"/>
      <c r="CN104" s="165"/>
      <c r="CO104" s="165"/>
      <c r="CP104" s="165"/>
      <c r="CQ104" s="165"/>
      <c r="CR104" s="165"/>
      <c r="CS104" s="165"/>
      <c r="CT104" s="165"/>
      <c r="CU104" s="165"/>
      <c r="CV104" s="165"/>
      <c r="CW104" s="165"/>
      <c r="CX104" s="165"/>
      <c r="CY104" s="165"/>
      <c r="DE104" s="165"/>
      <c r="DF104" s="165"/>
      <c r="DG104" s="165"/>
      <c r="DH104" s="165"/>
      <c r="DI104" s="165"/>
      <c r="DJ104" s="165"/>
      <c r="DK104" s="165"/>
      <c r="DL104" s="165"/>
      <c r="DM104" s="165"/>
      <c r="DN104" s="165"/>
      <c r="DO104" s="165"/>
      <c r="DP104" s="165"/>
      <c r="DQ104" s="165"/>
      <c r="DR104" s="165"/>
      <c r="DS104" s="165"/>
      <c r="DT104" s="165"/>
      <c r="DU104" s="165"/>
      <c r="DV104" s="165"/>
      <c r="DW104" s="165"/>
      <c r="DX104" s="165"/>
      <c r="DY104" s="165"/>
      <c r="DZ104" s="165"/>
      <c r="EA104" s="165"/>
      <c r="EB104" s="165"/>
    </row>
    <row r="105" spans="1:132" x14ac:dyDescent="0.25">
      <c r="A105" s="5" t="s">
        <v>835</v>
      </c>
      <c r="B105" s="30">
        <f>F41</f>
        <v>0</v>
      </c>
      <c r="C105" s="5"/>
      <c r="D105" s="195">
        <f>IF(B105=0,0,B105/Troupeau!$D$17)</f>
        <v>0</v>
      </c>
      <c r="F105" s="166"/>
      <c r="G105" s="5"/>
      <c r="H105" s="5"/>
      <c r="AT105" s="147" t="s">
        <v>836</v>
      </c>
      <c r="AU105" s="17">
        <f>VLOOKUP(AU59,[1]Trav!$B$12:$C$31,2)</f>
        <v>3</v>
      </c>
      <c r="BZ105" s="147" t="s">
        <v>836</v>
      </c>
      <c r="CA105" s="17" t="e">
        <f>VLOOKUP(CA59,[1]Trav!$B$12:$C$31,2)</f>
        <v>#N/A</v>
      </c>
      <c r="CB105" s="165"/>
      <c r="CC105" s="165"/>
      <c r="CD105" s="165"/>
      <c r="CE105" s="165"/>
      <c r="CF105" s="165"/>
      <c r="CG105" s="165"/>
      <c r="CH105" s="165"/>
      <c r="CI105" s="165"/>
      <c r="CJ105" s="165"/>
      <c r="CK105" s="165"/>
      <c r="CL105" s="165"/>
      <c r="CM105" s="165"/>
      <c r="CN105" s="165"/>
      <c r="CO105" s="165"/>
      <c r="CP105" s="165"/>
      <c r="CQ105" s="165"/>
      <c r="CR105" s="165"/>
      <c r="CS105" s="165"/>
      <c r="CT105" s="165"/>
      <c r="CU105" s="165"/>
      <c r="CV105" s="165"/>
      <c r="CW105" s="165"/>
      <c r="CX105" s="165"/>
      <c r="CY105" s="165"/>
      <c r="DC105" s="147" t="s">
        <v>836</v>
      </c>
      <c r="DD105" s="17" t="e">
        <f>VLOOKUP(DD59,[1]Trav!$B$12:$C$31,2)</f>
        <v>#N/A</v>
      </c>
      <c r="DE105" s="165"/>
      <c r="DF105" s="165"/>
      <c r="DG105" s="165"/>
      <c r="DH105" s="165"/>
      <c r="DI105" s="165"/>
      <c r="DJ105" s="165"/>
      <c r="DK105" s="165"/>
      <c r="DL105" s="165"/>
      <c r="DM105" s="165"/>
      <c r="DN105" s="165"/>
      <c r="DO105" s="165"/>
      <c r="DP105" s="165"/>
      <c r="DQ105" s="165"/>
      <c r="DR105" s="165"/>
      <c r="DS105" s="165"/>
      <c r="DT105" s="165"/>
      <c r="DU105" s="165"/>
      <c r="DV105" s="165"/>
      <c r="DW105" s="165"/>
      <c r="DX105" s="165"/>
      <c r="DY105" s="165"/>
      <c r="DZ105" s="165"/>
      <c r="EA105" s="165"/>
      <c r="EB105" s="165"/>
    </row>
    <row r="106" spans="1:132" x14ac:dyDescent="0.25">
      <c r="A106" s="23" t="s">
        <v>837</v>
      </c>
      <c r="B106" s="46">
        <f>SUM(B103:B105)</f>
        <v>0</v>
      </c>
      <c r="C106" s="5"/>
      <c r="D106" s="190"/>
      <c r="F106" s="166"/>
      <c r="G106" s="5"/>
      <c r="H106" s="5"/>
      <c r="AT106" s="182" t="str">
        <f t="shared" ref="AT106:AT115" si="80">AT60</f>
        <v xml:space="preserve">Vaches </v>
      </c>
      <c r="AV106" s="183">
        <f>IF(AV60&gt;0,HLOOKUP(AV60,[1]Trav!$C$11:$O$31,$AU$105),0)</f>
        <v>0</v>
      </c>
      <c r="AW106" s="183">
        <f>IF(AW60&gt;0,HLOOKUP(AW60,[1]Trav!$C$11:$O$31,$AU$105),0)</f>
        <v>0</v>
      </c>
      <c r="AX106" s="183">
        <f>IF(AX60&gt;0,HLOOKUP(AX60,[1]Trav!$C$11:$O$31,$AU$105),0)</f>
        <v>0</v>
      </c>
      <c r="AY106" s="183">
        <f>IF(AY60&gt;0,HLOOKUP(AY60,[1]Trav!$C$11:$O$31,$AU$105),0)</f>
        <v>0</v>
      </c>
      <c r="AZ106" s="183">
        <f>IF(AZ60&gt;0,HLOOKUP(AZ60,[1]Trav!$C$11:$O$31,$AU$105),0)</f>
        <v>3.5</v>
      </c>
      <c r="BA106" s="183">
        <f>IF(BA60&gt;0,HLOOKUP(BA60,[1]Trav!$C$11:$O$31,$AU$105),0)</f>
        <v>3.5</v>
      </c>
      <c r="BB106" s="183">
        <f>IF(BB60&gt;0,HLOOKUP(BB60,[1]Trav!$C$11:$O$31,$AU$105),0)</f>
        <v>3.5</v>
      </c>
      <c r="BC106" s="183">
        <f>IF(BC60&gt;0,HLOOKUP(BC60,[1]Trav!$C$11:$O$31,$AU$105),0)</f>
        <v>3.5</v>
      </c>
      <c r="BD106" s="183">
        <f>IF(BD60&gt;0,HLOOKUP(BD60,[1]Trav!$C$11:$O$31,$AU$105),0)</f>
        <v>3.5</v>
      </c>
      <c r="BE106" s="183">
        <f>IF(BE60&gt;0,HLOOKUP(BE60,[1]Trav!$C$11:$O$31,$AU$105),0)</f>
        <v>3.5</v>
      </c>
      <c r="BF106" s="183">
        <f>IF(BF60&gt;0,HLOOKUP(BF60,[1]Trav!$C$11:$O$31,$AU$105),0)</f>
        <v>3.5</v>
      </c>
      <c r="BG106" s="183">
        <f>IF(BG60&gt;0,HLOOKUP(BG60,[1]Trav!$C$11:$O$31,$AU$105),0)</f>
        <v>3.5</v>
      </c>
      <c r="BH106" s="183">
        <f>IF(BH60&gt;0,HLOOKUP(BH60,[1]Trav!$C$11:$O$31,$AU$105),0)</f>
        <v>3.5</v>
      </c>
      <c r="BI106" s="183">
        <f>IF(BI60&gt;0,HLOOKUP(BI60,[1]Trav!$C$11:$O$31,$AU$105),0)</f>
        <v>3.5</v>
      </c>
      <c r="BJ106" s="183">
        <f>IF(BJ60&gt;0,HLOOKUP(BJ60,[1]Trav!$C$11:$O$31,$AU$105),0)</f>
        <v>3.5</v>
      </c>
      <c r="BK106" s="183">
        <f>IF(BK60&gt;0,HLOOKUP(BK60,[1]Trav!$C$11:$O$31,$AU$105),0)</f>
        <v>3.5</v>
      </c>
      <c r="BL106" s="183">
        <f>IF(BL60&gt;0,HLOOKUP(BL60,[1]Trav!$C$11:$O$31,$AU$105),0)</f>
        <v>3.5</v>
      </c>
      <c r="BM106" s="183">
        <f>IF(BM60&gt;0,HLOOKUP(BM60,[1]Trav!$C$11:$O$31,$AU$105),0)</f>
        <v>3.5</v>
      </c>
      <c r="BN106" s="183">
        <f>IF(BN60&gt;0,HLOOKUP(BN60,[1]Trav!$C$11:$O$31,$AU$105),0)</f>
        <v>3.5</v>
      </c>
      <c r="BO106" s="183">
        <f>IF(BO60&gt;0,HLOOKUP(BO60,[1]Trav!$C$11:$O$31,$AU$105),0)</f>
        <v>3.5</v>
      </c>
      <c r="BP106" s="183">
        <f>IF(BP60&gt;0,HLOOKUP(BP60,[1]Trav!$C$11:$O$31,$AU$105),0)</f>
        <v>0</v>
      </c>
      <c r="BQ106" s="183">
        <f>IF(BQ60&gt;0,HLOOKUP(BQ60,[1]Trav!$C$11:$O$31,$AU$105),0)</f>
        <v>0</v>
      </c>
      <c r="BR106" s="183">
        <f>IF(BR60&gt;0,HLOOKUP(BR60,[1]Trav!$C$11:$O$31,$AU$105),0)</f>
        <v>0</v>
      </c>
      <c r="BS106" s="183">
        <f>IF(BS60&gt;0,HLOOKUP(BS60,[1]Trav!$C$11:$O$31,$AU$105),0)</f>
        <v>0</v>
      </c>
      <c r="BZ106" s="182" t="str">
        <f t="shared" ref="BZ106:BZ115" si="81">BZ60</f>
        <v>lot1</v>
      </c>
      <c r="CB106" s="183">
        <f>IF(CB60&gt;0,HLOOKUP(CB60,[1]Trav!$C$11:$O$31,$CA$105),0)</f>
        <v>0</v>
      </c>
      <c r="CC106" s="183">
        <f>IF(CC60&gt;0,HLOOKUP(CC60,[1]Trav!$C$11:$O$31,$CA$105),0)</f>
        <v>0</v>
      </c>
      <c r="CD106" s="183">
        <f>IF(CD60&gt;0,HLOOKUP(CD60,[1]Trav!$C$11:$O$31,$CA$105),0)</f>
        <v>0</v>
      </c>
      <c r="CE106" s="183">
        <f>IF(CE60&gt;0,HLOOKUP(CE60,[1]Trav!$C$11:$O$31,$CA$105),0)</f>
        <v>0</v>
      </c>
      <c r="CF106" s="183">
        <f>IF(CF60&gt;0,HLOOKUP(CF60,[1]Trav!$C$11:$O$31,$CA$105),0)</f>
        <v>0</v>
      </c>
      <c r="CG106" s="183">
        <f>IF(CG60&gt;0,HLOOKUP(CG60,[1]Trav!$C$11:$O$31,$CA$105),0)</f>
        <v>0</v>
      </c>
      <c r="CH106" s="183">
        <f>IF(CH60&gt;0,HLOOKUP(CH60,[1]Trav!$C$11:$O$31,$CA$105),0)</f>
        <v>0</v>
      </c>
      <c r="CI106" s="183">
        <f>IF(CI60&gt;0,HLOOKUP(CI60,[1]Trav!$C$11:$O$31,$CA$105),0)</f>
        <v>0</v>
      </c>
      <c r="CJ106" s="183">
        <f>IF(CJ60&gt;0,HLOOKUP(CJ60,[1]Trav!$C$11:$O$31,$CA$105),0)</f>
        <v>0</v>
      </c>
      <c r="CK106" s="183">
        <f>IF(CK60&gt;0,HLOOKUP(CK60,[1]Trav!$C$11:$O$31,$CA$105),0)</f>
        <v>0</v>
      </c>
      <c r="CL106" s="183">
        <f>IF(CL60&gt;0,HLOOKUP(CL60,[1]Trav!$C$11:$O$31,$CA$105),0)</f>
        <v>0</v>
      </c>
      <c r="CM106" s="183">
        <f>IF(CM60&gt;0,HLOOKUP(CM60,[1]Trav!$C$11:$O$31,$CA$105),0)</f>
        <v>0</v>
      </c>
      <c r="CN106" s="183">
        <f>IF(CN60&gt;0,HLOOKUP(CN60,[1]Trav!$C$11:$O$31,$CA$105),0)</f>
        <v>0</v>
      </c>
      <c r="CO106" s="183">
        <f>IF(CO60&gt;0,HLOOKUP(CO60,[1]Trav!$C$11:$O$31,$CA$105),0)</f>
        <v>0</v>
      </c>
      <c r="CP106" s="183">
        <f>IF(CP60&gt;0,HLOOKUP(CP60,[1]Trav!$C$11:$O$31,$CA$105),0)</f>
        <v>0</v>
      </c>
      <c r="CQ106" s="183">
        <f>IF(CQ60&gt;0,HLOOKUP(CQ60,[1]Trav!$C$11:$O$31,$CA$105),0)</f>
        <v>0</v>
      </c>
      <c r="CR106" s="183">
        <f>IF(CR60&gt;0,HLOOKUP(CR60,[1]Trav!$C$11:$O$31,$CA$105),0)</f>
        <v>0</v>
      </c>
      <c r="CS106" s="183">
        <f>IF(CS60&gt;0,HLOOKUP(CS60,[1]Trav!$C$11:$O$31,$CA$105),0)</f>
        <v>0</v>
      </c>
      <c r="CT106" s="183">
        <f>IF(CT60&gt;0,HLOOKUP(CT60,[1]Trav!$C$11:$O$31,$CA$105),0)</f>
        <v>0</v>
      </c>
      <c r="CU106" s="183">
        <f>IF(CU60&gt;0,HLOOKUP(CU60,[1]Trav!$C$11:$O$31,$CA$105),0)</f>
        <v>0</v>
      </c>
      <c r="CV106" s="183">
        <f>IF(CV60&gt;0,HLOOKUP(CV60,[1]Trav!$C$11:$O$31,$CA$105),0)</f>
        <v>0</v>
      </c>
      <c r="CW106" s="183">
        <f>IF(CW60&gt;0,HLOOKUP(CW60,[1]Trav!$C$11:$O$31,$CA$105),0)</f>
        <v>0</v>
      </c>
      <c r="CX106" s="183">
        <f>IF(CX60&gt;0,HLOOKUP(CX60,[1]Trav!$C$11:$O$31,$CA$105),0)</f>
        <v>0</v>
      </c>
      <c r="CY106" s="183">
        <f>IF(CY60&gt;0,HLOOKUP(CY60,[1]Trav!$C$11:$O$31,$CA$105),0)</f>
        <v>0</v>
      </c>
      <c r="DC106" s="182" t="str">
        <f t="shared" ref="DC106:DC115" si="82">DC60</f>
        <v>lot1</v>
      </c>
      <c r="DE106" s="183">
        <f>IF(DE60&gt;0,HLOOKUP(DE60,[1]Trav!$C$11:$O$31,$DD$105),0)</f>
        <v>0</v>
      </c>
      <c r="DF106" s="183">
        <f>IF(DF60&gt;0,HLOOKUP(DF60,[1]Trav!$C$11:$O$31,$DD$105),0)</f>
        <v>0</v>
      </c>
      <c r="DG106" s="183">
        <f>IF(DG60&gt;0,HLOOKUP(DG60,[1]Trav!$C$11:$O$31,$DD$105),0)</f>
        <v>0</v>
      </c>
      <c r="DH106" s="183">
        <f>IF(DH60&gt;0,HLOOKUP(DH60,[1]Trav!$C$11:$O$31,$DD$105),0)</f>
        <v>0</v>
      </c>
      <c r="DI106" s="183">
        <f>IF(DI60&gt;0,HLOOKUP(DI60,[1]Trav!$C$11:$O$31,$DD$105),0)</f>
        <v>0</v>
      </c>
      <c r="DJ106" s="183">
        <f>IF(DJ60&gt;0,HLOOKUP(DJ60,[1]Trav!$C$11:$O$31,$DD$105),0)</f>
        <v>0</v>
      </c>
      <c r="DK106" s="183">
        <f>IF(DK60&gt;0,HLOOKUP(DK60,[1]Trav!$C$11:$O$31,$DD$105),0)</f>
        <v>0</v>
      </c>
      <c r="DL106" s="183">
        <f>IF(DL60&gt;0,HLOOKUP(DL60,[1]Trav!$C$11:$O$31,$DD$105),0)</f>
        <v>0</v>
      </c>
      <c r="DM106" s="183">
        <f>IF(DM60&gt;0,HLOOKUP(DM60,[1]Trav!$C$11:$O$31,$DD$105),0)</f>
        <v>0</v>
      </c>
      <c r="DN106" s="183">
        <f>IF(DN60&gt;0,HLOOKUP(DN60,[1]Trav!$C$11:$O$31,$DD$105),0)</f>
        <v>0</v>
      </c>
      <c r="DO106" s="183">
        <f>IF(DO60&gt;0,HLOOKUP(DO60,[1]Trav!$C$11:$O$31,$DD$105),0)</f>
        <v>0</v>
      </c>
      <c r="DP106" s="183">
        <f>IF(DP60&gt;0,HLOOKUP(DP60,[1]Trav!$C$11:$O$31,$DD$105),0)</f>
        <v>0</v>
      </c>
      <c r="DQ106" s="183">
        <f>IF(DQ60&gt;0,HLOOKUP(DQ60,[1]Trav!$C$11:$O$31,$DD$105),0)</f>
        <v>0</v>
      </c>
      <c r="DR106" s="183">
        <f>IF(DR60&gt;0,HLOOKUP(DR60,[1]Trav!$C$11:$O$31,$DD$105),0)</f>
        <v>0</v>
      </c>
      <c r="DS106" s="183">
        <f>IF(DS60&gt;0,HLOOKUP(DS60,[1]Trav!$C$11:$O$31,$DD$105),0)</f>
        <v>0</v>
      </c>
      <c r="DT106" s="183">
        <f>IF(DT60&gt;0,HLOOKUP(DT60,[1]Trav!$C$11:$O$31,$DD$105),0)</f>
        <v>0</v>
      </c>
      <c r="DU106" s="183">
        <f>IF(DU60&gt;0,HLOOKUP(DU60,[1]Trav!$C$11:$O$31,$DD$105),0)</f>
        <v>0</v>
      </c>
      <c r="DV106" s="183">
        <f>IF(DV60&gt;0,HLOOKUP(DV60,[1]Trav!$C$11:$O$31,$DD$105),0)</f>
        <v>0</v>
      </c>
      <c r="DW106" s="183">
        <f>IF(DW60&gt;0,HLOOKUP(DW60,[1]Trav!$C$11:$O$31,$DD$105),0)</f>
        <v>0</v>
      </c>
      <c r="DX106" s="183">
        <f>IF(DX60&gt;0,HLOOKUP(DX60,[1]Trav!$C$11:$O$31,$DD$105),0)</f>
        <v>0</v>
      </c>
      <c r="DY106" s="183">
        <f>IF(DY60&gt;0,HLOOKUP(DY60,[1]Trav!$C$11:$O$31,$DD$105),0)</f>
        <v>0</v>
      </c>
      <c r="DZ106" s="183">
        <f>IF(DZ60&gt;0,HLOOKUP(DZ60,[1]Trav!$C$11:$O$31,$DD$105),0)</f>
        <v>0</v>
      </c>
      <c r="EA106" s="183">
        <f>IF(EA60&gt;0,HLOOKUP(EA60,[1]Trav!$C$11:$O$31,$DD$105),0)</f>
        <v>0</v>
      </c>
      <c r="EB106" s="183">
        <f>IF(EB60&gt;0,HLOOKUP(EB60,[1]Trav!$C$11:$O$31,$DD$105),0)</f>
        <v>0</v>
      </c>
    </row>
    <row r="107" spans="1:132" x14ac:dyDescent="0.25">
      <c r="A107" s="23" t="s">
        <v>838</v>
      </c>
      <c r="B107" s="46">
        <f>SUM(F61:F64)</f>
        <v>400</v>
      </c>
      <c r="D107" s="190"/>
      <c r="AT107" s="182" t="str">
        <f t="shared" si="80"/>
        <v>Génisses 24 mois</v>
      </c>
      <c r="AV107" s="183">
        <f>IF(AV61&gt;0,HLOOKUP(AV61,[1]Trav!$C$11:$O$31,$AU$105),0)</f>
        <v>0</v>
      </c>
      <c r="AW107" s="183">
        <f>IF(AW61&gt;0,HLOOKUP(AW61,[1]Trav!$C$11:$O$31,$AU$105),0)</f>
        <v>0</v>
      </c>
      <c r="AX107" s="183">
        <f>IF(AX61&gt;0,HLOOKUP(AX61,[1]Trav!$C$11:$O$31,$AU$105),0)</f>
        <v>0</v>
      </c>
      <c r="AY107" s="183">
        <f>IF(AY61&gt;0,HLOOKUP(AY61,[1]Trav!$C$11:$O$31,$AU$105),0)</f>
        <v>0</v>
      </c>
      <c r="AZ107" s="183">
        <f>IF(AZ61&gt;0,HLOOKUP(AZ61,[1]Trav!$C$11:$O$31,$AU$105),0)</f>
        <v>10.5</v>
      </c>
      <c r="BA107" s="183">
        <f>IF(BA61&gt;0,HLOOKUP(BA61,[1]Trav!$C$11:$O$31,$AU$105),0)</f>
        <v>10.5</v>
      </c>
      <c r="BB107" s="183">
        <f>IF(BB61&gt;0,HLOOKUP(BB61,[1]Trav!$C$11:$O$31,$AU$105),0)</f>
        <v>3.5</v>
      </c>
      <c r="BC107" s="183">
        <f>IF(BC61&gt;0,HLOOKUP(BC61,[1]Trav!$C$11:$O$31,$AU$105),0)</f>
        <v>3.5</v>
      </c>
      <c r="BD107" s="183">
        <f>IF(BD61&gt;0,HLOOKUP(BD61,[1]Trav!$C$11:$O$31,$AU$105),0)</f>
        <v>3.5</v>
      </c>
      <c r="BE107" s="183">
        <f>IF(BE61&gt;0,HLOOKUP(BE61,[1]Trav!$C$11:$O$31,$AU$105),0)</f>
        <v>3.5</v>
      </c>
      <c r="BF107" s="183">
        <f>IF(BF61&gt;0,HLOOKUP(BF61,[1]Trav!$C$11:$O$31,$AU$105),0)</f>
        <v>3.5</v>
      </c>
      <c r="BG107" s="183">
        <f>IF(BG61&gt;0,HLOOKUP(BG61,[1]Trav!$C$11:$O$31,$AU$105),0)</f>
        <v>3.5</v>
      </c>
      <c r="BH107" s="183">
        <f>IF(BH61&gt;0,HLOOKUP(BH61,[1]Trav!$C$11:$O$31,$AU$105),0)</f>
        <v>3.5</v>
      </c>
      <c r="BI107" s="183">
        <f>IF(BI61&gt;0,HLOOKUP(BI61,[1]Trav!$C$11:$O$31,$AU$105),0)</f>
        <v>3.5</v>
      </c>
      <c r="BJ107" s="183">
        <f>IF(BJ61&gt;0,HLOOKUP(BJ61,[1]Trav!$C$11:$O$31,$AU$105),0)</f>
        <v>3.5</v>
      </c>
      <c r="BK107" s="183">
        <f>IF(BK61&gt;0,HLOOKUP(BK61,[1]Trav!$C$11:$O$31,$AU$105),0)</f>
        <v>3.5</v>
      </c>
      <c r="BL107" s="183">
        <f>IF(BL61&gt;0,HLOOKUP(BL61,[1]Trav!$C$11:$O$31,$AU$105),0)</f>
        <v>3.5</v>
      </c>
      <c r="BM107" s="183">
        <f>IF(BM61&gt;0,HLOOKUP(BM61,[1]Trav!$C$11:$O$31,$AU$105),0)</f>
        <v>3.5</v>
      </c>
      <c r="BN107" s="183">
        <f>IF(BN61&gt;0,HLOOKUP(BN61,[1]Trav!$C$11:$O$31,$AU$105),0)</f>
        <v>3.5</v>
      </c>
      <c r="BO107" s="183">
        <f>IF(BO61&gt;0,HLOOKUP(BO61,[1]Trav!$C$11:$O$31,$AU$105),0)</f>
        <v>3.5</v>
      </c>
      <c r="BP107" s="183">
        <f>IF(BP61&gt;0,HLOOKUP(BP61,[1]Trav!$C$11:$O$31,$AU$105),0)</f>
        <v>10.5</v>
      </c>
      <c r="BQ107" s="183">
        <f>IF(BQ61&gt;0,HLOOKUP(BQ61,[1]Trav!$C$11:$O$31,$AU$105),0)</f>
        <v>0</v>
      </c>
      <c r="BR107" s="183">
        <f>IF(BR61&gt;0,HLOOKUP(BR61,[1]Trav!$C$11:$O$31,$AU$105),0)</f>
        <v>0</v>
      </c>
      <c r="BS107" s="183">
        <f>IF(BS61&gt;0,HLOOKUP(BS61,[1]Trav!$C$11:$O$31,$AU$105),0)</f>
        <v>0</v>
      </c>
      <c r="BZ107" s="182" t="str">
        <f t="shared" si="81"/>
        <v>lot2</v>
      </c>
      <c r="CB107" s="183">
        <f>IF(CB61&gt;0,HLOOKUP(CB61,[1]Trav!$C$11:$O$31,$CA$105),0)</f>
        <v>0</v>
      </c>
      <c r="CC107" s="183">
        <f>IF(CC61&gt;0,HLOOKUP(CC61,[1]Trav!$C$11:$O$31,$CA$105),0)</f>
        <v>0</v>
      </c>
      <c r="CD107" s="183">
        <f>IF(CD61&gt;0,HLOOKUP(CD61,[1]Trav!$C$11:$O$31,$CA$105),0)</f>
        <v>0</v>
      </c>
      <c r="CE107" s="183">
        <f>IF(CE61&gt;0,HLOOKUP(CE61,[1]Trav!$C$11:$O$31,$CA$105),0)</f>
        <v>0</v>
      </c>
      <c r="CF107" s="183">
        <f>IF(CF61&gt;0,HLOOKUP(CF61,[1]Trav!$C$11:$O$31,$CA$105),0)</f>
        <v>0</v>
      </c>
      <c r="CG107" s="183">
        <f>IF(CG61&gt;0,HLOOKUP(CG61,[1]Trav!$C$11:$O$31,$CA$105),0)</f>
        <v>0</v>
      </c>
      <c r="CH107" s="183">
        <f>IF(CH61&gt;0,HLOOKUP(CH61,[1]Trav!$C$11:$O$31,$CA$105),0)</f>
        <v>0</v>
      </c>
      <c r="CI107" s="183">
        <f>IF(CI61&gt;0,HLOOKUP(CI61,[1]Trav!$C$11:$O$31,$CA$105),0)</f>
        <v>0</v>
      </c>
      <c r="CJ107" s="183">
        <f>IF(CJ61&gt;0,HLOOKUP(CJ61,[1]Trav!$C$11:$O$31,$CA$105),0)</f>
        <v>0</v>
      </c>
      <c r="CK107" s="183">
        <f>IF(CK61&gt;0,HLOOKUP(CK61,[1]Trav!$C$11:$O$31,$CA$105),0)</f>
        <v>0</v>
      </c>
      <c r="CL107" s="183">
        <f>IF(CL61&gt;0,HLOOKUP(CL61,[1]Trav!$C$11:$O$31,$CA$105),0)</f>
        <v>0</v>
      </c>
      <c r="CM107" s="183">
        <f>IF(CM61&gt;0,HLOOKUP(CM61,[1]Trav!$C$11:$O$31,$CA$105),0)</f>
        <v>0</v>
      </c>
      <c r="CN107" s="183">
        <f>IF(CN61&gt;0,HLOOKUP(CN61,[1]Trav!$C$11:$O$31,$CA$105),0)</f>
        <v>0</v>
      </c>
      <c r="CO107" s="183">
        <f>IF(CO61&gt;0,HLOOKUP(CO61,[1]Trav!$C$11:$O$31,$CA$105),0)</f>
        <v>0</v>
      </c>
      <c r="CP107" s="183">
        <f>IF(CP61&gt;0,HLOOKUP(CP61,[1]Trav!$C$11:$O$31,$CA$105),0)</f>
        <v>0</v>
      </c>
      <c r="CQ107" s="183">
        <f>IF(CQ61&gt;0,HLOOKUP(CQ61,[1]Trav!$C$11:$O$31,$CA$105),0)</f>
        <v>0</v>
      </c>
      <c r="CR107" s="183">
        <f>IF(CR61&gt;0,HLOOKUP(CR61,[1]Trav!$C$11:$O$31,$CA$105),0)</f>
        <v>0</v>
      </c>
      <c r="CS107" s="183">
        <f>IF(CS61&gt;0,HLOOKUP(CS61,[1]Trav!$C$11:$O$31,$CA$105),0)</f>
        <v>0</v>
      </c>
      <c r="CT107" s="183">
        <f>IF(CT61&gt;0,HLOOKUP(CT61,[1]Trav!$C$11:$O$31,$CA$105),0)</f>
        <v>0</v>
      </c>
      <c r="CU107" s="183">
        <f>IF(CU61&gt;0,HLOOKUP(CU61,[1]Trav!$C$11:$O$31,$CA$105),0)</f>
        <v>0</v>
      </c>
      <c r="CV107" s="183">
        <f>IF(CV61&gt;0,HLOOKUP(CV61,[1]Trav!$C$11:$O$31,$CA$105),0)</f>
        <v>0</v>
      </c>
      <c r="CW107" s="183">
        <f>IF(CW61&gt;0,HLOOKUP(CW61,[1]Trav!$C$11:$O$31,$CA$105),0)</f>
        <v>0</v>
      </c>
      <c r="CX107" s="183">
        <f>IF(CX61&gt;0,HLOOKUP(CX61,[1]Trav!$C$11:$O$31,$CA$105),0)</f>
        <v>0</v>
      </c>
      <c r="CY107" s="183">
        <f>IF(CY61&gt;0,HLOOKUP(CY61,[1]Trav!$C$11:$O$31,$CA$105),0)</f>
        <v>0</v>
      </c>
      <c r="DC107" s="182" t="str">
        <f t="shared" si="82"/>
        <v>lot2</v>
      </c>
      <c r="DE107" s="183">
        <f>IF(DE61&gt;0,HLOOKUP(DE61,[1]Trav!$C$11:$O$31,$DD$105),0)</f>
        <v>0</v>
      </c>
      <c r="DF107" s="183">
        <f>IF(DF61&gt;0,HLOOKUP(DF61,[1]Trav!$C$11:$O$31,$DD$105),0)</f>
        <v>0</v>
      </c>
      <c r="DG107" s="183">
        <f>IF(DG61&gt;0,HLOOKUP(DG61,[1]Trav!$C$11:$O$31,$DD$105),0)</f>
        <v>0</v>
      </c>
      <c r="DH107" s="183">
        <f>IF(DH61&gt;0,HLOOKUP(DH61,[1]Trav!$C$11:$O$31,$DD$105),0)</f>
        <v>0</v>
      </c>
      <c r="DI107" s="183">
        <f>IF(DI61&gt;0,HLOOKUP(DI61,[1]Trav!$C$11:$O$31,$DD$105),0)</f>
        <v>0</v>
      </c>
      <c r="DJ107" s="183">
        <f>IF(DJ61&gt;0,HLOOKUP(DJ61,[1]Trav!$C$11:$O$31,$DD$105),0)</f>
        <v>0</v>
      </c>
      <c r="DK107" s="183">
        <f>IF(DK61&gt;0,HLOOKUP(DK61,[1]Trav!$C$11:$O$31,$DD$105),0)</f>
        <v>0</v>
      </c>
      <c r="DL107" s="183">
        <f>IF(DL61&gt;0,HLOOKUP(DL61,[1]Trav!$C$11:$O$31,$DD$105),0)</f>
        <v>0</v>
      </c>
      <c r="DM107" s="183">
        <f>IF(DM61&gt;0,HLOOKUP(DM61,[1]Trav!$C$11:$O$31,$DD$105),0)</f>
        <v>0</v>
      </c>
      <c r="DN107" s="183">
        <f>IF(DN61&gt;0,HLOOKUP(DN61,[1]Trav!$C$11:$O$31,$DD$105),0)</f>
        <v>0</v>
      </c>
      <c r="DO107" s="183">
        <f>IF(DO61&gt;0,HLOOKUP(DO61,[1]Trav!$C$11:$O$31,$DD$105),0)</f>
        <v>0</v>
      </c>
      <c r="DP107" s="183">
        <f>IF(DP61&gt;0,HLOOKUP(DP61,[1]Trav!$C$11:$O$31,$DD$105),0)</f>
        <v>0</v>
      </c>
      <c r="DQ107" s="183">
        <f>IF(DQ61&gt;0,HLOOKUP(DQ61,[1]Trav!$C$11:$O$31,$DD$105),0)</f>
        <v>0</v>
      </c>
      <c r="DR107" s="183">
        <f>IF(DR61&gt;0,HLOOKUP(DR61,[1]Trav!$C$11:$O$31,$DD$105),0)</f>
        <v>0</v>
      </c>
      <c r="DS107" s="183">
        <f>IF(DS61&gt;0,HLOOKUP(DS61,[1]Trav!$C$11:$O$31,$DD$105),0)</f>
        <v>0</v>
      </c>
      <c r="DT107" s="183">
        <f>IF(DT61&gt;0,HLOOKUP(DT61,[1]Trav!$C$11:$O$31,$DD$105),0)</f>
        <v>0</v>
      </c>
      <c r="DU107" s="183">
        <f>IF(DU61&gt;0,HLOOKUP(DU61,[1]Trav!$C$11:$O$31,$DD$105),0)</f>
        <v>0</v>
      </c>
      <c r="DV107" s="183">
        <f>IF(DV61&gt;0,HLOOKUP(DV61,[1]Trav!$C$11:$O$31,$DD$105),0)</f>
        <v>0</v>
      </c>
      <c r="DW107" s="183">
        <f>IF(DW61&gt;0,HLOOKUP(DW61,[1]Trav!$C$11:$O$31,$DD$105),0)</f>
        <v>0</v>
      </c>
      <c r="DX107" s="183">
        <f>IF(DX61&gt;0,HLOOKUP(DX61,[1]Trav!$C$11:$O$31,$DD$105),0)</f>
        <v>0</v>
      </c>
      <c r="DY107" s="183">
        <f>IF(DY61&gt;0,HLOOKUP(DY61,[1]Trav!$C$11:$O$31,$DD$105),0)</f>
        <v>0</v>
      </c>
      <c r="DZ107" s="183">
        <f>IF(DZ61&gt;0,HLOOKUP(DZ61,[1]Trav!$C$11:$O$31,$DD$105),0)</f>
        <v>0</v>
      </c>
      <c r="EA107" s="183">
        <f>IF(EA61&gt;0,HLOOKUP(EA61,[1]Trav!$C$11:$O$31,$DD$105),0)</f>
        <v>0</v>
      </c>
      <c r="EB107" s="183">
        <f>IF(EB61&gt;0,HLOOKUP(EB61,[1]Trav!$C$11:$O$31,$DD$105),0)</f>
        <v>0</v>
      </c>
    </row>
    <row r="108" spans="1:132" x14ac:dyDescent="0.25">
      <c r="A108" s="23" t="s">
        <v>839</v>
      </c>
      <c r="B108" s="46">
        <f>SUM(F50:F59)</f>
        <v>270</v>
      </c>
      <c r="D108" s="190"/>
      <c r="AT108" s="182" t="str">
        <f t="shared" si="80"/>
        <v>Génisses jeunes</v>
      </c>
      <c r="AV108" s="183">
        <f>IF(AV62&gt;0,HLOOKUP(AV62,[1]Trav!$C$11:$O$31,$AU$105),0)</f>
        <v>0</v>
      </c>
      <c r="AW108" s="183">
        <f>IF(AW62&gt;0,HLOOKUP(AW62,[1]Trav!$C$11:$O$31,$AU$105),0)</f>
        <v>0</v>
      </c>
      <c r="AX108" s="183">
        <f>IF(AX62&gt;0,HLOOKUP(AX62,[1]Trav!$C$11:$O$31,$AU$105),0)</f>
        <v>0</v>
      </c>
      <c r="AY108" s="183">
        <f>IF(AY62&gt;0,HLOOKUP(AY62,[1]Trav!$C$11:$O$31,$AU$105),0)</f>
        <v>0</v>
      </c>
      <c r="AZ108" s="183">
        <f>IF(AZ62&gt;0,HLOOKUP(AZ62,[1]Trav!$C$11:$O$31,$AU$105),0)</f>
        <v>0</v>
      </c>
      <c r="BA108" s="183">
        <f>IF(BA62&gt;0,HLOOKUP(BA62,[1]Trav!$C$11:$O$31,$AU$105),0)</f>
        <v>0</v>
      </c>
      <c r="BB108" s="183">
        <f>IF(BB62&gt;0,HLOOKUP(BB62,[1]Trav!$C$11:$O$31,$AU$105),0)</f>
        <v>0</v>
      </c>
      <c r="BC108" s="183">
        <f>IF(BC62&gt;0,HLOOKUP(BC62,[1]Trav!$C$11:$O$31,$AU$105),0)</f>
        <v>0</v>
      </c>
      <c r="BD108" s="183">
        <f>IF(BD62&gt;0,HLOOKUP(BD62,[1]Trav!$C$11:$O$31,$AU$105),0)</f>
        <v>0</v>
      </c>
      <c r="BE108" s="183">
        <f>IF(BE62&gt;0,HLOOKUP(BE62,[1]Trav!$C$11:$O$31,$AU$105),0)</f>
        <v>10.5</v>
      </c>
      <c r="BF108" s="183">
        <f>IF(BF62&gt;0,HLOOKUP(BF62,[1]Trav!$C$11:$O$31,$AU$105),0)</f>
        <v>10.5</v>
      </c>
      <c r="BG108" s="183">
        <f>IF(BG62&gt;0,HLOOKUP(BG62,[1]Trav!$C$11:$O$31,$AU$105),0)</f>
        <v>10.5</v>
      </c>
      <c r="BH108" s="183">
        <f>IF(BH62&gt;0,HLOOKUP(BH62,[1]Trav!$C$11:$O$31,$AU$105),0)</f>
        <v>10.5</v>
      </c>
      <c r="BI108" s="183">
        <f>IF(BI62&gt;0,HLOOKUP(BI62,[1]Trav!$C$11:$O$31,$AU$105),0)</f>
        <v>10.5</v>
      </c>
      <c r="BJ108" s="183">
        <f>IF(BJ62&gt;0,HLOOKUP(BJ62,[1]Trav!$C$11:$O$31,$AU$105),0)</f>
        <v>10.5</v>
      </c>
      <c r="BK108" s="183">
        <f>IF(BK62&gt;0,HLOOKUP(BK62,[1]Trav!$C$11:$O$31,$AU$105),0)</f>
        <v>10.5</v>
      </c>
      <c r="BL108" s="183">
        <f>IF(BL62&gt;0,HLOOKUP(BL62,[1]Trav!$C$11:$O$31,$AU$105),0)</f>
        <v>10.5</v>
      </c>
      <c r="BM108" s="183">
        <f>IF(BM62&gt;0,HLOOKUP(BM62,[1]Trav!$C$11:$O$31,$AU$105),0)</f>
        <v>10.5</v>
      </c>
      <c r="BN108" s="183">
        <f>IF(BN62&gt;0,HLOOKUP(BN62,[1]Trav!$C$11:$O$31,$AU$105),0)</f>
        <v>10.5</v>
      </c>
      <c r="BO108" s="183">
        <f>IF(BO62&gt;0,HLOOKUP(BO62,[1]Trav!$C$11:$O$31,$AU$105),0)</f>
        <v>10.5</v>
      </c>
      <c r="BP108" s="183">
        <f>IF(BP62&gt;0,HLOOKUP(BP62,[1]Trav!$C$11:$O$31,$AU$105),0)</f>
        <v>10.5</v>
      </c>
      <c r="BQ108" s="183">
        <f>IF(BQ62&gt;0,HLOOKUP(BQ62,[1]Trav!$C$11:$O$31,$AU$105),0)</f>
        <v>0</v>
      </c>
      <c r="BR108" s="183">
        <f>IF(BR62&gt;0,HLOOKUP(BR62,[1]Trav!$C$11:$O$31,$AU$105),0)</f>
        <v>0</v>
      </c>
      <c r="BS108" s="183">
        <f>IF(BS62&gt;0,HLOOKUP(BS62,[1]Trav!$C$11:$O$31,$AU$105),0)</f>
        <v>0</v>
      </c>
      <c r="BZ108" s="182" t="str">
        <f t="shared" si="81"/>
        <v>lot3</v>
      </c>
      <c r="CB108" s="183">
        <f>IF(CB62&gt;0,HLOOKUP(CB62,[1]Trav!$C$11:$O$31,$CA$105),0)</f>
        <v>0</v>
      </c>
      <c r="CC108" s="183">
        <f>IF(CC62&gt;0,HLOOKUP(CC62,[1]Trav!$C$11:$O$31,$CA$105),0)</f>
        <v>0</v>
      </c>
      <c r="CD108" s="183">
        <f>IF(CD62&gt;0,HLOOKUP(CD62,[1]Trav!$C$11:$O$31,$CA$105),0)</f>
        <v>0</v>
      </c>
      <c r="CE108" s="183">
        <f>IF(CE62&gt;0,HLOOKUP(CE62,[1]Trav!$C$11:$O$31,$CA$105),0)</f>
        <v>0</v>
      </c>
      <c r="CF108" s="183">
        <f>IF(CF62&gt;0,HLOOKUP(CF62,[1]Trav!$C$11:$O$31,$CA$105),0)</f>
        <v>0</v>
      </c>
      <c r="CG108" s="183">
        <f>IF(CG62&gt;0,HLOOKUP(CG62,[1]Trav!$C$11:$O$31,$CA$105),0)</f>
        <v>0</v>
      </c>
      <c r="CH108" s="183">
        <f>IF(CH62&gt;0,HLOOKUP(CH62,[1]Trav!$C$11:$O$31,$CA$105),0)</f>
        <v>0</v>
      </c>
      <c r="CI108" s="183">
        <f>IF(CI62&gt;0,HLOOKUP(CI62,[1]Trav!$C$11:$O$31,$CA$105),0)</f>
        <v>0</v>
      </c>
      <c r="CJ108" s="183">
        <f>IF(CJ62&gt;0,HLOOKUP(CJ62,[1]Trav!$C$11:$O$31,$CA$105),0)</f>
        <v>0</v>
      </c>
      <c r="CK108" s="183">
        <f>IF(CK62&gt;0,HLOOKUP(CK62,[1]Trav!$C$11:$O$31,$CA$105),0)</f>
        <v>0</v>
      </c>
      <c r="CL108" s="183">
        <f>IF(CL62&gt;0,HLOOKUP(CL62,[1]Trav!$C$11:$O$31,$CA$105),0)</f>
        <v>0</v>
      </c>
      <c r="CM108" s="183">
        <f>IF(CM62&gt;0,HLOOKUP(CM62,[1]Trav!$C$11:$O$31,$CA$105),0)</f>
        <v>0</v>
      </c>
      <c r="CN108" s="183">
        <f>IF(CN62&gt;0,HLOOKUP(CN62,[1]Trav!$C$11:$O$31,$CA$105),0)</f>
        <v>0</v>
      </c>
      <c r="CO108" s="183">
        <f>IF(CO62&gt;0,HLOOKUP(CO62,[1]Trav!$C$11:$O$31,$CA$105),0)</f>
        <v>0</v>
      </c>
      <c r="CP108" s="183">
        <f>IF(CP62&gt;0,HLOOKUP(CP62,[1]Trav!$C$11:$O$31,$CA$105),0)</f>
        <v>0</v>
      </c>
      <c r="CQ108" s="183">
        <f>IF(CQ62&gt;0,HLOOKUP(CQ62,[1]Trav!$C$11:$O$31,$CA$105),0)</f>
        <v>0</v>
      </c>
      <c r="CR108" s="183">
        <f>IF(CR62&gt;0,HLOOKUP(CR62,[1]Trav!$C$11:$O$31,$CA$105),0)</f>
        <v>0</v>
      </c>
      <c r="CS108" s="183">
        <f>IF(CS62&gt;0,HLOOKUP(CS62,[1]Trav!$C$11:$O$31,$CA$105),0)</f>
        <v>0</v>
      </c>
      <c r="CT108" s="183">
        <f>IF(CT62&gt;0,HLOOKUP(CT62,[1]Trav!$C$11:$O$31,$CA$105),0)</f>
        <v>0</v>
      </c>
      <c r="CU108" s="183">
        <f>IF(CU62&gt;0,HLOOKUP(CU62,[1]Trav!$C$11:$O$31,$CA$105),0)</f>
        <v>0</v>
      </c>
      <c r="CV108" s="183">
        <f>IF(CV62&gt;0,HLOOKUP(CV62,[1]Trav!$C$11:$O$31,$CA$105),0)</f>
        <v>0</v>
      </c>
      <c r="CW108" s="183">
        <f>IF(CW62&gt;0,HLOOKUP(CW62,[1]Trav!$C$11:$O$31,$CA$105),0)</f>
        <v>0</v>
      </c>
      <c r="CX108" s="183">
        <f>IF(CX62&gt;0,HLOOKUP(CX62,[1]Trav!$C$11:$O$31,$CA$105),0)</f>
        <v>0</v>
      </c>
      <c r="CY108" s="183">
        <f>IF(CY62&gt;0,HLOOKUP(CY62,[1]Trav!$C$11:$O$31,$CA$105),0)</f>
        <v>0</v>
      </c>
      <c r="DC108" s="182" t="str">
        <f t="shared" si="82"/>
        <v>lot3</v>
      </c>
      <c r="DE108" s="183">
        <f>IF(DE62&gt;0,HLOOKUP(DE62,[1]Trav!$C$11:$O$31,$DD$105),0)</f>
        <v>0</v>
      </c>
      <c r="DF108" s="183">
        <f>IF(DF62&gt;0,HLOOKUP(DF62,[1]Trav!$C$11:$O$31,$DD$105),0)</f>
        <v>0</v>
      </c>
      <c r="DG108" s="183">
        <f>IF(DG62&gt;0,HLOOKUP(DG62,[1]Trav!$C$11:$O$31,$DD$105),0)</f>
        <v>0</v>
      </c>
      <c r="DH108" s="183">
        <f>IF(DH62&gt;0,HLOOKUP(DH62,[1]Trav!$C$11:$O$31,$DD$105),0)</f>
        <v>0</v>
      </c>
      <c r="DI108" s="183">
        <f>IF(DI62&gt;0,HLOOKUP(DI62,[1]Trav!$C$11:$O$31,$DD$105),0)</f>
        <v>0</v>
      </c>
      <c r="DJ108" s="183">
        <f>IF(DJ62&gt;0,HLOOKUP(DJ62,[1]Trav!$C$11:$O$31,$DD$105),0)</f>
        <v>0</v>
      </c>
      <c r="DK108" s="183">
        <f>IF(DK62&gt;0,HLOOKUP(DK62,[1]Trav!$C$11:$O$31,$DD$105),0)</f>
        <v>0</v>
      </c>
      <c r="DL108" s="183">
        <f>IF(DL62&gt;0,HLOOKUP(DL62,[1]Trav!$C$11:$O$31,$DD$105),0)</f>
        <v>0</v>
      </c>
      <c r="DM108" s="183">
        <f>IF(DM62&gt;0,HLOOKUP(DM62,[1]Trav!$C$11:$O$31,$DD$105),0)</f>
        <v>0</v>
      </c>
      <c r="DN108" s="183">
        <f>IF(DN62&gt;0,HLOOKUP(DN62,[1]Trav!$C$11:$O$31,$DD$105),0)</f>
        <v>0</v>
      </c>
      <c r="DO108" s="183">
        <f>IF(DO62&gt;0,HLOOKUP(DO62,[1]Trav!$C$11:$O$31,$DD$105),0)</f>
        <v>0</v>
      </c>
      <c r="DP108" s="183">
        <f>IF(DP62&gt;0,HLOOKUP(DP62,[1]Trav!$C$11:$O$31,$DD$105),0)</f>
        <v>0</v>
      </c>
      <c r="DQ108" s="183">
        <f>IF(DQ62&gt;0,HLOOKUP(DQ62,[1]Trav!$C$11:$O$31,$DD$105),0)</f>
        <v>0</v>
      </c>
      <c r="DR108" s="183">
        <f>IF(DR62&gt;0,HLOOKUP(DR62,[1]Trav!$C$11:$O$31,$DD$105),0)</f>
        <v>0</v>
      </c>
      <c r="DS108" s="183">
        <f>IF(DS62&gt;0,HLOOKUP(DS62,[1]Trav!$C$11:$O$31,$DD$105),0)</f>
        <v>0</v>
      </c>
      <c r="DT108" s="183">
        <f>IF(DT62&gt;0,HLOOKUP(DT62,[1]Trav!$C$11:$O$31,$DD$105),0)</f>
        <v>0</v>
      </c>
      <c r="DU108" s="183">
        <f>IF(DU62&gt;0,HLOOKUP(DU62,[1]Trav!$C$11:$O$31,$DD$105),0)</f>
        <v>0</v>
      </c>
      <c r="DV108" s="183">
        <f>IF(DV62&gt;0,HLOOKUP(DV62,[1]Trav!$C$11:$O$31,$DD$105),0)</f>
        <v>0</v>
      </c>
      <c r="DW108" s="183">
        <f>IF(DW62&gt;0,HLOOKUP(DW62,[1]Trav!$C$11:$O$31,$DD$105),0)</f>
        <v>0</v>
      </c>
      <c r="DX108" s="183">
        <f>IF(DX62&gt;0,HLOOKUP(DX62,[1]Trav!$C$11:$O$31,$DD$105),0)</f>
        <v>0</v>
      </c>
      <c r="DY108" s="183">
        <f>IF(DY62&gt;0,HLOOKUP(DY62,[1]Trav!$C$11:$O$31,$DD$105),0)</f>
        <v>0</v>
      </c>
      <c r="DZ108" s="183">
        <f>IF(DZ62&gt;0,HLOOKUP(DZ62,[1]Trav!$C$11:$O$31,$DD$105),0)</f>
        <v>0</v>
      </c>
      <c r="EA108" s="183">
        <f>IF(EA62&gt;0,HLOOKUP(EA62,[1]Trav!$C$11:$O$31,$DD$105),0)</f>
        <v>0</v>
      </c>
      <c r="EB108" s="183">
        <f>IF(EB62&gt;0,HLOOKUP(EB62,[1]Trav!$C$11:$O$31,$DD$105),0)</f>
        <v>0</v>
      </c>
    </row>
    <row r="109" spans="1:132" x14ac:dyDescent="0.25">
      <c r="A109" t="s">
        <v>840</v>
      </c>
      <c r="B109" s="30">
        <f>F69+F72</f>
        <v>0</v>
      </c>
      <c r="D109" s="190"/>
      <c r="AT109" s="182" t="str">
        <f t="shared" si="80"/>
        <v>broutards</v>
      </c>
      <c r="AV109" s="183">
        <f>IF(AV63&gt;0,HLOOKUP(AV63,[1]Trav!$C$11:$O$31,$AU$105),0)</f>
        <v>0</v>
      </c>
      <c r="AW109" s="183">
        <f>IF(AW63&gt;0,HLOOKUP(AW63,[1]Trav!$C$11:$O$31,$AU$105),0)</f>
        <v>0</v>
      </c>
      <c r="AX109" s="183">
        <f>IF(AX63&gt;0,HLOOKUP(AX63,[1]Trav!$C$11:$O$31,$AU$105),0)</f>
        <v>0</v>
      </c>
      <c r="AY109" s="183">
        <f>IF(AY63&gt;0,HLOOKUP(AY63,[1]Trav!$C$11:$O$31,$AU$105),0)</f>
        <v>0</v>
      </c>
      <c r="AZ109" s="183">
        <f>IF(AZ63&gt;0,HLOOKUP(AZ63,[1]Trav!$C$11:$O$31,$AU$105),0)</f>
        <v>0</v>
      </c>
      <c r="BA109" s="183">
        <f>IF(BA63&gt;0,HLOOKUP(BA63,[1]Trav!$C$11:$O$31,$AU$105),0)</f>
        <v>0</v>
      </c>
      <c r="BB109" s="183">
        <f>IF(BB63&gt;0,HLOOKUP(BB63,[1]Trav!$C$11:$O$31,$AU$105),0)</f>
        <v>0</v>
      </c>
      <c r="BC109" s="183">
        <f>IF(BC63&gt;0,HLOOKUP(BC63,[1]Trav!$C$11:$O$31,$AU$105),0)</f>
        <v>0</v>
      </c>
      <c r="BD109" s="183">
        <f>IF(BD63&gt;0,HLOOKUP(BD63,[1]Trav!$C$11:$O$31,$AU$105),0)</f>
        <v>0</v>
      </c>
      <c r="BE109" s="183">
        <f>IF(BE63&gt;0,HLOOKUP(BE63,[1]Trav!$C$11:$O$31,$AU$105),0)</f>
        <v>0</v>
      </c>
      <c r="BF109" s="183">
        <f>IF(BF63&gt;0,HLOOKUP(BF63,[1]Trav!$C$11:$O$31,$AU$105),0)</f>
        <v>0</v>
      </c>
      <c r="BG109" s="183">
        <f>IF(BG63&gt;0,HLOOKUP(BG63,[1]Trav!$C$11:$O$31,$AU$105),0)</f>
        <v>0</v>
      </c>
      <c r="BH109" s="183">
        <f>IF(BH63&gt;0,HLOOKUP(BH63,[1]Trav!$C$11:$O$31,$AU$105),0)</f>
        <v>0</v>
      </c>
      <c r="BI109" s="183">
        <f>IF(BI63&gt;0,HLOOKUP(BI63,[1]Trav!$C$11:$O$31,$AU$105),0)</f>
        <v>0</v>
      </c>
      <c r="BJ109" s="183">
        <f>IF(BJ63&gt;0,HLOOKUP(BJ63,[1]Trav!$C$11:$O$31,$AU$105),0)</f>
        <v>0</v>
      </c>
      <c r="BK109" s="183">
        <f>IF(BK63&gt;0,HLOOKUP(BK63,[1]Trav!$C$11:$O$31,$AU$105),0)</f>
        <v>0</v>
      </c>
      <c r="BL109" s="183">
        <f>IF(BL63&gt;0,HLOOKUP(BL63,[1]Trav!$C$11:$O$31,$AU$105),0)</f>
        <v>0</v>
      </c>
      <c r="BM109" s="183">
        <f>IF(BM63&gt;0,HLOOKUP(BM63,[1]Trav!$C$11:$O$31,$AU$105),0)</f>
        <v>0</v>
      </c>
      <c r="BN109" s="183">
        <f>IF(BN63&gt;0,HLOOKUP(BN63,[1]Trav!$C$11:$O$31,$AU$105),0)</f>
        <v>0</v>
      </c>
      <c r="BO109" s="183">
        <f>IF(BO63&gt;0,HLOOKUP(BO63,[1]Trav!$C$11:$O$31,$AU$105),0)</f>
        <v>0</v>
      </c>
      <c r="BP109" s="183">
        <f>IF(BP63&gt;0,HLOOKUP(BP63,[1]Trav!$C$11:$O$31,$AU$105),0)</f>
        <v>0</v>
      </c>
      <c r="BQ109" s="183">
        <f>IF(BQ63&gt;0,HLOOKUP(BQ63,[1]Trav!$C$11:$O$31,$AU$105),0)</f>
        <v>0</v>
      </c>
      <c r="BR109" s="183">
        <f>IF(BR63&gt;0,HLOOKUP(BR63,[1]Trav!$C$11:$O$31,$AU$105),0)</f>
        <v>0</v>
      </c>
      <c r="BS109" s="183">
        <f>IF(BS63&gt;0,HLOOKUP(BS63,[1]Trav!$C$11:$O$31,$AU$105),0)</f>
        <v>0</v>
      </c>
      <c r="BZ109" s="182" t="str">
        <f t="shared" si="81"/>
        <v>lot4</v>
      </c>
      <c r="CB109" s="183">
        <f>IF(CB63&gt;0,HLOOKUP(CB63,[1]Trav!$C$11:$O$31,$CA$105),0)</f>
        <v>0</v>
      </c>
      <c r="CC109" s="183">
        <f>IF(CC63&gt;0,HLOOKUP(CC63,[1]Trav!$C$11:$O$31,$CA$105),0)</f>
        <v>0</v>
      </c>
      <c r="CD109" s="183">
        <f>IF(CD63&gt;0,HLOOKUP(CD63,[1]Trav!$C$11:$O$31,$CA$105),0)</f>
        <v>0</v>
      </c>
      <c r="CE109" s="183">
        <f>IF(CE63&gt;0,HLOOKUP(CE63,[1]Trav!$C$11:$O$31,$CA$105),0)</f>
        <v>0</v>
      </c>
      <c r="CF109" s="183">
        <f>IF(CF63&gt;0,HLOOKUP(CF63,[1]Trav!$C$11:$O$31,$CA$105),0)</f>
        <v>0</v>
      </c>
      <c r="CG109" s="183">
        <f>IF(CG63&gt;0,HLOOKUP(CG63,[1]Trav!$C$11:$O$31,$CA$105),0)</f>
        <v>0</v>
      </c>
      <c r="CH109" s="183">
        <f>IF(CH63&gt;0,HLOOKUP(CH63,[1]Trav!$C$11:$O$31,$CA$105),0)</f>
        <v>0</v>
      </c>
      <c r="CI109" s="183">
        <f>IF(CI63&gt;0,HLOOKUP(CI63,[1]Trav!$C$11:$O$31,$CA$105),0)</f>
        <v>0</v>
      </c>
      <c r="CJ109" s="183">
        <f>IF(CJ63&gt;0,HLOOKUP(CJ63,[1]Trav!$C$11:$O$31,$CA$105),0)</f>
        <v>0</v>
      </c>
      <c r="CK109" s="183">
        <f>IF(CK63&gt;0,HLOOKUP(CK63,[1]Trav!$C$11:$O$31,$CA$105),0)</f>
        <v>0</v>
      </c>
      <c r="CL109" s="183">
        <f>IF(CL63&gt;0,HLOOKUP(CL63,[1]Trav!$C$11:$O$31,$CA$105),0)</f>
        <v>0</v>
      </c>
      <c r="CM109" s="183">
        <f>IF(CM63&gt;0,HLOOKUP(CM63,[1]Trav!$C$11:$O$31,$CA$105),0)</f>
        <v>0</v>
      </c>
      <c r="CN109" s="183">
        <f>IF(CN63&gt;0,HLOOKUP(CN63,[1]Trav!$C$11:$O$31,$CA$105),0)</f>
        <v>0</v>
      </c>
      <c r="CO109" s="183">
        <f>IF(CO63&gt;0,HLOOKUP(CO63,[1]Trav!$C$11:$O$31,$CA$105),0)</f>
        <v>0</v>
      </c>
      <c r="CP109" s="183">
        <f>IF(CP63&gt;0,HLOOKUP(CP63,[1]Trav!$C$11:$O$31,$CA$105),0)</f>
        <v>0</v>
      </c>
      <c r="CQ109" s="183">
        <f>IF(CQ63&gt;0,HLOOKUP(CQ63,[1]Trav!$C$11:$O$31,$CA$105),0)</f>
        <v>0</v>
      </c>
      <c r="CR109" s="183">
        <f>IF(CR63&gt;0,HLOOKUP(CR63,[1]Trav!$C$11:$O$31,$CA$105),0)</f>
        <v>0</v>
      </c>
      <c r="CS109" s="183">
        <f>IF(CS63&gt;0,HLOOKUP(CS63,[1]Trav!$C$11:$O$31,$CA$105),0)</f>
        <v>0</v>
      </c>
      <c r="CT109" s="183">
        <f>IF(CT63&gt;0,HLOOKUP(CT63,[1]Trav!$C$11:$O$31,$CA$105),0)</f>
        <v>0</v>
      </c>
      <c r="CU109" s="183">
        <f>IF(CU63&gt;0,HLOOKUP(CU63,[1]Trav!$C$11:$O$31,$CA$105),0)</f>
        <v>0</v>
      </c>
      <c r="CV109" s="183">
        <f>IF(CV63&gt;0,HLOOKUP(CV63,[1]Trav!$C$11:$O$31,$CA$105),0)</f>
        <v>0</v>
      </c>
      <c r="CW109" s="183">
        <f>IF(CW63&gt;0,HLOOKUP(CW63,[1]Trav!$C$11:$O$31,$CA$105),0)</f>
        <v>0</v>
      </c>
      <c r="CX109" s="183">
        <f>IF(CX63&gt;0,HLOOKUP(CX63,[1]Trav!$C$11:$O$31,$CA$105),0)</f>
        <v>0</v>
      </c>
      <c r="CY109" s="183">
        <f>IF(CY63&gt;0,HLOOKUP(CY63,[1]Trav!$C$11:$O$31,$CA$105),0)</f>
        <v>0</v>
      </c>
      <c r="DC109" s="182" t="str">
        <f t="shared" si="82"/>
        <v>lot4</v>
      </c>
      <c r="DE109" s="183">
        <f>IF(DE63&gt;0,HLOOKUP(DE63,[1]Trav!$C$11:$O$31,$DD$105),0)</f>
        <v>0</v>
      </c>
      <c r="DF109" s="183">
        <f>IF(DF63&gt;0,HLOOKUP(DF63,[1]Trav!$C$11:$O$31,$DD$105),0)</f>
        <v>0</v>
      </c>
      <c r="DG109" s="183">
        <f>IF(DG63&gt;0,HLOOKUP(DG63,[1]Trav!$C$11:$O$31,$DD$105),0)</f>
        <v>0</v>
      </c>
      <c r="DH109" s="183">
        <f>IF(DH63&gt;0,HLOOKUP(DH63,[1]Trav!$C$11:$O$31,$DD$105),0)</f>
        <v>0</v>
      </c>
      <c r="DI109" s="183">
        <f>IF(DI63&gt;0,HLOOKUP(DI63,[1]Trav!$C$11:$O$31,$DD$105),0)</f>
        <v>0</v>
      </c>
      <c r="DJ109" s="183">
        <f>IF(DJ63&gt;0,HLOOKUP(DJ63,[1]Trav!$C$11:$O$31,$DD$105),0)</f>
        <v>0</v>
      </c>
      <c r="DK109" s="183">
        <f>IF(DK63&gt;0,HLOOKUP(DK63,[1]Trav!$C$11:$O$31,$DD$105),0)</f>
        <v>0</v>
      </c>
      <c r="DL109" s="183">
        <f>IF(DL63&gt;0,HLOOKUP(DL63,[1]Trav!$C$11:$O$31,$DD$105),0)</f>
        <v>0</v>
      </c>
      <c r="DM109" s="183">
        <f>IF(DM63&gt;0,HLOOKUP(DM63,[1]Trav!$C$11:$O$31,$DD$105),0)</f>
        <v>0</v>
      </c>
      <c r="DN109" s="183">
        <f>IF(DN63&gt;0,HLOOKUP(DN63,[1]Trav!$C$11:$O$31,$DD$105),0)</f>
        <v>0</v>
      </c>
      <c r="DO109" s="183">
        <f>IF(DO63&gt;0,HLOOKUP(DO63,[1]Trav!$C$11:$O$31,$DD$105),0)</f>
        <v>0</v>
      </c>
      <c r="DP109" s="183">
        <f>IF(DP63&gt;0,HLOOKUP(DP63,[1]Trav!$C$11:$O$31,$DD$105),0)</f>
        <v>0</v>
      </c>
      <c r="DQ109" s="183">
        <f>IF(DQ63&gt;0,HLOOKUP(DQ63,[1]Trav!$C$11:$O$31,$DD$105),0)</f>
        <v>0</v>
      </c>
      <c r="DR109" s="183">
        <f>IF(DR63&gt;0,HLOOKUP(DR63,[1]Trav!$C$11:$O$31,$DD$105),0)</f>
        <v>0</v>
      </c>
      <c r="DS109" s="183">
        <f>IF(DS63&gt;0,HLOOKUP(DS63,[1]Trav!$C$11:$O$31,$DD$105),0)</f>
        <v>0</v>
      </c>
      <c r="DT109" s="183">
        <f>IF(DT63&gt;0,HLOOKUP(DT63,[1]Trav!$C$11:$O$31,$DD$105),0)</f>
        <v>0</v>
      </c>
      <c r="DU109" s="183">
        <f>IF(DU63&gt;0,HLOOKUP(DU63,[1]Trav!$C$11:$O$31,$DD$105),0)</f>
        <v>0</v>
      </c>
      <c r="DV109" s="183">
        <f>IF(DV63&gt;0,HLOOKUP(DV63,[1]Trav!$C$11:$O$31,$DD$105),0)</f>
        <v>0</v>
      </c>
      <c r="DW109" s="183">
        <f>IF(DW63&gt;0,HLOOKUP(DW63,[1]Trav!$C$11:$O$31,$DD$105),0)</f>
        <v>0</v>
      </c>
      <c r="DX109" s="183">
        <f>IF(DX63&gt;0,HLOOKUP(DX63,[1]Trav!$C$11:$O$31,$DD$105),0)</f>
        <v>0</v>
      </c>
      <c r="DY109" s="183">
        <f>IF(DY63&gt;0,HLOOKUP(DY63,[1]Trav!$C$11:$O$31,$DD$105),0)</f>
        <v>0</v>
      </c>
      <c r="DZ109" s="183">
        <f>IF(DZ63&gt;0,HLOOKUP(DZ63,[1]Trav!$C$11:$O$31,$DD$105),0)</f>
        <v>0</v>
      </c>
      <c r="EA109" s="183">
        <f>IF(EA63&gt;0,HLOOKUP(EA63,[1]Trav!$C$11:$O$31,$DD$105),0)</f>
        <v>0</v>
      </c>
      <c r="EB109" s="183">
        <f>IF(EB63&gt;0,HLOOKUP(EB63,[1]Trav!$C$11:$O$31,$DD$105),0)</f>
        <v>0</v>
      </c>
    </row>
    <row r="110" spans="1:132" x14ac:dyDescent="0.25">
      <c r="A110" t="s">
        <v>841</v>
      </c>
      <c r="B110" s="30">
        <f>F70+F73</f>
        <v>0</v>
      </c>
      <c r="D110" s="190"/>
      <c r="AT110" s="182" t="str">
        <f t="shared" si="80"/>
        <v>génisses &lt; 1 an</v>
      </c>
      <c r="AV110" s="183">
        <f>IF(AV64&gt;0,HLOOKUP(AV64,[1]Trav!$C$11:$O$31,$AU$105),0)</f>
        <v>0</v>
      </c>
      <c r="AW110" s="183">
        <f>IF(AW64&gt;0,HLOOKUP(AW64,[1]Trav!$C$11:$O$31,$AU$105),0)</f>
        <v>0</v>
      </c>
      <c r="AX110" s="183">
        <f>IF(AX64&gt;0,HLOOKUP(AX64,[1]Trav!$C$11:$O$31,$AU$105),0)</f>
        <v>0</v>
      </c>
      <c r="AY110" s="183">
        <f>IF(AY64&gt;0,HLOOKUP(AY64,[1]Trav!$C$11:$O$31,$AU$105),0)</f>
        <v>0</v>
      </c>
      <c r="AZ110" s="183">
        <f>IF(AZ64&gt;0,HLOOKUP(AZ64,[1]Trav!$C$11:$O$31,$AU$105),0)</f>
        <v>0</v>
      </c>
      <c r="BA110" s="183">
        <f>IF(BA64&gt;0,HLOOKUP(BA64,[1]Trav!$C$11:$O$31,$AU$105),0)</f>
        <v>0</v>
      </c>
      <c r="BB110" s="183">
        <f>IF(BB64&gt;0,HLOOKUP(BB64,[1]Trav!$C$11:$O$31,$AU$105),0)</f>
        <v>0</v>
      </c>
      <c r="BC110" s="183">
        <f>IF(BC64&gt;0,HLOOKUP(BC64,[1]Trav!$C$11:$O$31,$AU$105),0)</f>
        <v>0</v>
      </c>
      <c r="BD110" s="183">
        <f>IF(BD64&gt;0,HLOOKUP(BD64,[1]Trav!$C$11:$O$31,$AU$105),0)</f>
        <v>0</v>
      </c>
      <c r="BE110" s="183">
        <f>IF(BE64&gt;0,HLOOKUP(BE64,[1]Trav!$C$11:$O$31,$AU$105),0)</f>
        <v>0</v>
      </c>
      <c r="BF110" s="183">
        <f>IF(BF64&gt;0,HLOOKUP(BF64,[1]Trav!$C$11:$O$31,$AU$105),0)</f>
        <v>0</v>
      </c>
      <c r="BG110" s="183">
        <f>IF(BG64&gt;0,HLOOKUP(BG64,[1]Trav!$C$11:$O$31,$AU$105),0)</f>
        <v>0</v>
      </c>
      <c r="BH110" s="183">
        <f>IF(BH64&gt;0,HLOOKUP(BH64,[1]Trav!$C$11:$O$31,$AU$105),0)</f>
        <v>0</v>
      </c>
      <c r="BI110" s="183">
        <f>IF(BI64&gt;0,HLOOKUP(BI64,[1]Trav!$C$11:$O$31,$AU$105),0)</f>
        <v>0</v>
      </c>
      <c r="BJ110" s="183">
        <f>IF(BJ64&gt;0,HLOOKUP(BJ64,[1]Trav!$C$11:$O$31,$AU$105),0)</f>
        <v>0</v>
      </c>
      <c r="BK110" s="183">
        <f>IF(BK64&gt;0,HLOOKUP(BK64,[1]Trav!$C$11:$O$31,$AU$105),0)</f>
        <v>0</v>
      </c>
      <c r="BL110" s="183">
        <f>IF(BL64&gt;0,HLOOKUP(BL64,[1]Trav!$C$11:$O$31,$AU$105),0)</f>
        <v>0</v>
      </c>
      <c r="BM110" s="183">
        <f>IF(BM64&gt;0,HLOOKUP(BM64,[1]Trav!$C$11:$O$31,$AU$105),0)</f>
        <v>0</v>
      </c>
      <c r="BN110" s="183">
        <f>IF(BN64&gt;0,HLOOKUP(BN64,[1]Trav!$C$11:$O$31,$AU$105),0)</f>
        <v>0</v>
      </c>
      <c r="BO110" s="183">
        <f>IF(BO64&gt;0,HLOOKUP(BO64,[1]Trav!$C$11:$O$31,$AU$105),0)</f>
        <v>0</v>
      </c>
      <c r="BP110" s="183">
        <f>IF(BP64&gt;0,HLOOKUP(BP64,[1]Trav!$C$11:$O$31,$AU$105),0)</f>
        <v>0</v>
      </c>
      <c r="BQ110" s="183">
        <f>IF(BQ64&gt;0,HLOOKUP(BQ64,[1]Trav!$C$11:$O$31,$AU$105),0)</f>
        <v>0</v>
      </c>
      <c r="BR110" s="183">
        <f>IF(BR64&gt;0,HLOOKUP(BR64,[1]Trav!$C$11:$O$31,$AU$105),0)</f>
        <v>0</v>
      </c>
      <c r="BS110" s="183">
        <f>IF(BS64&gt;0,HLOOKUP(BS64,[1]Trav!$C$11:$O$31,$AU$105),0)</f>
        <v>0</v>
      </c>
      <c r="BZ110" s="182" t="str">
        <f t="shared" si="81"/>
        <v>lot5</v>
      </c>
      <c r="CB110" s="183">
        <f>IF(CB64&gt;0,HLOOKUP(CB64,[1]Trav!$C$11:$O$31,$CA$105),0)</f>
        <v>0</v>
      </c>
      <c r="CC110" s="183">
        <f>IF(CC64&gt;0,HLOOKUP(CC64,[1]Trav!$C$11:$O$31,$CA$105),0)</f>
        <v>0</v>
      </c>
      <c r="CD110" s="183">
        <f>IF(CD64&gt;0,HLOOKUP(CD64,[1]Trav!$C$11:$O$31,$CA$105),0)</f>
        <v>0</v>
      </c>
      <c r="CE110" s="183">
        <f>IF(CE64&gt;0,HLOOKUP(CE64,[1]Trav!$C$11:$O$31,$CA$105),0)</f>
        <v>0</v>
      </c>
      <c r="CF110" s="183">
        <f>IF(CF64&gt;0,HLOOKUP(CF64,[1]Trav!$C$11:$O$31,$CA$105),0)</f>
        <v>0</v>
      </c>
      <c r="CG110" s="183">
        <f>IF(CG64&gt;0,HLOOKUP(CG64,[1]Trav!$C$11:$O$31,$CA$105),0)</f>
        <v>0</v>
      </c>
      <c r="CH110" s="183">
        <f>IF(CH64&gt;0,HLOOKUP(CH64,[1]Trav!$C$11:$O$31,$CA$105),0)</f>
        <v>0</v>
      </c>
      <c r="CI110" s="183">
        <f>IF(CI64&gt;0,HLOOKUP(CI64,[1]Trav!$C$11:$O$31,$CA$105),0)</f>
        <v>0</v>
      </c>
      <c r="CJ110" s="183">
        <f>IF(CJ64&gt;0,HLOOKUP(CJ64,[1]Trav!$C$11:$O$31,$CA$105),0)</f>
        <v>0</v>
      </c>
      <c r="CK110" s="183">
        <f>IF(CK64&gt;0,HLOOKUP(CK64,[1]Trav!$C$11:$O$31,$CA$105),0)</f>
        <v>0</v>
      </c>
      <c r="CL110" s="183">
        <f>IF(CL64&gt;0,HLOOKUP(CL64,[1]Trav!$C$11:$O$31,$CA$105),0)</f>
        <v>0</v>
      </c>
      <c r="CM110" s="183">
        <f>IF(CM64&gt;0,HLOOKUP(CM64,[1]Trav!$C$11:$O$31,$CA$105),0)</f>
        <v>0</v>
      </c>
      <c r="CN110" s="183">
        <f>IF(CN64&gt;0,HLOOKUP(CN64,[1]Trav!$C$11:$O$31,$CA$105),0)</f>
        <v>0</v>
      </c>
      <c r="CO110" s="183">
        <f>IF(CO64&gt;0,HLOOKUP(CO64,[1]Trav!$C$11:$O$31,$CA$105),0)</f>
        <v>0</v>
      </c>
      <c r="CP110" s="183">
        <f>IF(CP64&gt;0,HLOOKUP(CP64,[1]Trav!$C$11:$O$31,$CA$105),0)</f>
        <v>0</v>
      </c>
      <c r="CQ110" s="183">
        <f>IF(CQ64&gt;0,HLOOKUP(CQ64,[1]Trav!$C$11:$O$31,$CA$105),0)</f>
        <v>0</v>
      </c>
      <c r="CR110" s="183">
        <f>IF(CR64&gt;0,HLOOKUP(CR64,[1]Trav!$C$11:$O$31,$CA$105),0)</f>
        <v>0</v>
      </c>
      <c r="CS110" s="183">
        <f>IF(CS64&gt;0,HLOOKUP(CS64,[1]Trav!$C$11:$O$31,$CA$105),0)</f>
        <v>0</v>
      </c>
      <c r="CT110" s="183">
        <f>IF(CT64&gt;0,HLOOKUP(CT64,[1]Trav!$C$11:$O$31,$CA$105),0)</f>
        <v>0</v>
      </c>
      <c r="CU110" s="183">
        <f>IF(CU64&gt;0,HLOOKUP(CU64,[1]Trav!$C$11:$O$31,$CA$105),0)</f>
        <v>0</v>
      </c>
      <c r="CV110" s="183">
        <f>IF(CV64&gt;0,HLOOKUP(CV64,[1]Trav!$C$11:$O$31,$CA$105),0)</f>
        <v>0</v>
      </c>
      <c r="CW110" s="183">
        <f>IF(CW64&gt;0,HLOOKUP(CW64,[1]Trav!$C$11:$O$31,$CA$105),0)</f>
        <v>0</v>
      </c>
      <c r="CX110" s="183">
        <f>IF(CX64&gt;0,HLOOKUP(CX64,[1]Trav!$C$11:$O$31,$CA$105),0)</f>
        <v>0</v>
      </c>
      <c r="CY110" s="183">
        <f>IF(CY64&gt;0,HLOOKUP(CY64,[1]Trav!$C$11:$O$31,$CA$105),0)</f>
        <v>0</v>
      </c>
      <c r="DC110" s="182" t="str">
        <f t="shared" si="82"/>
        <v>lot5</v>
      </c>
      <c r="DE110" s="183">
        <f>IF(DE64&gt;0,HLOOKUP(DE64,[1]Trav!$C$11:$O$31,$DD$105),0)</f>
        <v>0</v>
      </c>
      <c r="DF110" s="183">
        <f>IF(DF64&gt;0,HLOOKUP(DF64,[1]Trav!$C$11:$O$31,$DD$105),0)</f>
        <v>0</v>
      </c>
      <c r="DG110" s="183">
        <f>IF(DG64&gt;0,HLOOKUP(DG64,[1]Trav!$C$11:$O$31,$DD$105),0)</f>
        <v>0</v>
      </c>
      <c r="DH110" s="183">
        <f>IF(DH64&gt;0,HLOOKUP(DH64,[1]Trav!$C$11:$O$31,$DD$105),0)</f>
        <v>0</v>
      </c>
      <c r="DI110" s="183">
        <f>IF(DI64&gt;0,HLOOKUP(DI64,[1]Trav!$C$11:$O$31,$DD$105),0)</f>
        <v>0</v>
      </c>
      <c r="DJ110" s="183">
        <f>IF(DJ64&gt;0,HLOOKUP(DJ64,[1]Trav!$C$11:$O$31,$DD$105),0)</f>
        <v>0</v>
      </c>
      <c r="DK110" s="183">
        <f>IF(DK64&gt;0,HLOOKUP(DK64,[1]Trav!$C$11:$O$31,$DD$105),0)</f>
        <v>0</v>
      </c>
      <c r="DL110" s="183">
        <f>IF(DL64&gt;0,HLOOKUP(DL64,[1]Trav!$C$11:$O$31,$DD$105),0)</f>
        <v>0</v>
      </c>
      <c r="DM110" s="183">
        <f>IF(DM64&gt;0,HLOOKUP(DM64,[1]Trav!$C$11:$O$31,$DD$105),0)</f>
        <v>0</v>
      </c>
      <c r="DN110" s="183">
        <f>IF(DN64&gt;0,HLOOKUP(DN64,[1]Trav!$C$11:$O$31,$DD$105),0)</f>
        <v>0</v>
      </c>
      <c r="DO110" s="183">
        <f>IF(DO64&gt;0,HLOOKUP(DO64,[1]Trav!$C$11:$O$31,$DD$105),0)</f>
        <v>0</v>
      </c>
      <c r="DP110" s="183">
        <f>IF(DP64&gt;0,HLOOKUP(DP64,[1]Trav!$C$11:$O$31,$DD$105),0)</f>
        <v>0</v>
      </c>
      <c r="DQ110" s="183">
        <f>IF(DQ64&gt;0,HLOOKUP(DQ64,[1]Trav!$C$11:$O$31,$DD$105),0)</f>
        <v>0</v>
      </c>
      <c r="DR110" s="183">
        <f>IF(DR64&gt;0,HLOOKUP(DR64,[1]Trav!$C$11:$O$31,$DD$105),0)</f>
        <v>0</v>
      </c>
      <c r="DS110" s="183">
        <f>IF(DS64&gt;0,HLOOKUP(DS64,[1]Trav!$C$11:$O$31,$DD$105),0)</f>
        <v>0</v>
      </c>
      <c r="DT110" s="183">
        <f>IF(DT64&gt;0,HLOOKUP(DT64,[1]Trav!$C$11:$O$31,$DD$105),0)</f>
        <v>0</v>
      </c>
      <c r="DU110" s="183">
        <f>IF(DU64&gt;0,HLOOKUP(DU64,[1]Trav!$C$11:$O$31,$DD$105),0)</f>
        <v>0</v>
      </c>
      <c r="DV110" s="183">
        <f>IF(DV64&gt;0,HLOOKUP(DV64,[1]Trav!$C$11:$O$31,$DD$105),0)</f>
        <v>0</v>
      </c>
      <c r="DW110" s="183">
        <f>IF(DW64&gt;0,HLOOKUP(DW64,[1]Trav!$C$11:$O$31,$DD$105),0)</f>
        <v>0</v>
      </c>
      <c r="DX110" s="183">
        <f>IF(DX64&gt;0,HLOOKUP(DX64,[1]Trav!$C$11:$O$31,$DD$105),0)</f>
        <v>0</v>
      </c>
      <c r="DY110" s="183">
        <f>IF(DY64&gt;0,HLOOKUP(DY64,[1]Trav!$C$11:$O$31,$DD$105),0)</f>
        <v>0</v>
      </c>
      <c r="DZ110" s="183">
        <f>IF(DZ64&gt;0,HLOOKUP(DZ64,[1]Trav!$C$11:$O$31,$DD$105),0)</f>
        <v>0</v>
      </c>
      <c r="EA110" s="183">
        <f>IF(EA64&gt;0,HLOOKUP(EA64,[1]Trav!$C$11:$O$31,$DD$105),0)</f>
        <v>0</v>
      </c>
      <c r="EB110" s="183">
        <f>IF(EB64&gt;0,HLOOKUP(EB64,[1]Trav!$C$11:$O$31,$DD$105),0)</f>
        <v>0</v>
      </c>
    </row>
    <row r="111" spans="1:132" x14ac:dyDescent="0.25">
      <c r="A111" t="s">
        <v>842</v>
      </c>
      <c r="B111" s="30">
        <f>F71+F74</f>
        <v>0</v>
      </c>
      <c r="D111" s="190"/>
      <c r="AT111" s="182" t="str">
        <f t="shared" si="80"/>
        <v>lot6</v>
      </c>
      <c r="AV111" s="183">
        <f>IF(AV65&gt;0,HLOOKUP(AV65,[1]Trav!$C$11:$O$31,$AU$105),0)</f>
        <v>0</v>
      </c>
      <c r="AW111" s="183">
        <f>IF(AW65&gt;0,HLOOKUP(AW65,[1]Trav!$C$11:$O$31,$AU$105),0)</f>
        <v>0</v>
      </c>
      <c r="AX111" s="183">
        <f>IF(AX65&gt;0,HLOOKUP(AX65,[1]Trav!$C$11:$O$31,$AU$105),0)</f>
        <v>0</v>
      </c>
      <c r="AY111" s="183">
        <f>IF(AY65&gt;0,HLOOKUP(AY65,[1]Trav!$C$11:$O$31,$AU$105),0)</f>
        <v>0</v>
      </c>
      <c r="AZ111" s="183">
        <f>IF(AZ65&gt;0,HLOOKUP(AZ65,[1]Trav!$C$11:$O$31,$AU$105),0)</f>
        <v>0</v>
      </c>
      <c r="BA111" s="183">
        <f>IF(BA65&gt;0,HLOOKUP(BA65,[1]Trav!$C$11:$O$31,$AU$105),0)</f>
        <v>0</v>
      </c>
      <c r="BB111" s="183">
        <f>IF(BB65&gt;0,HLOOKUP(BB65,[1]Trav!$C$11:$O$31,$AU$105),0)</f>
        <v>0</v>
      </c>
      <c r="BC111" s="183">
        <f>IF(BC65&gt;0,HLOOKUP(BC65,[1]Trav!$C$11:$O$31,$AU$105),0)</f>
        <v>0</v>
      </c>
      <c r="BD111" s="183">
        <f>IF(BD65&gt;0,HLOOKUP(BD65,[1]Trav!$C$11:$O$31,$AU$105),0)</f>
        <v>0</v>
      </c>
      <c r="BE111" s="183">
        <f>IF(BE65&gt;0,HLOOKUP(BE65,[1]Trav!$C$11:$O$31,$AU$105),0)</f>
        <v>0</v>
      </c>
      <c r="BF111" s="183">
        <f>IF(BF65&gt;0,HLOOKUP(BF65,[1]Trav!$C$11:$O$31,$AU$105),0)</f>
        <v>0</v>
      </c>
      <c r="BG111" s="183">
        <f>IF(BG65&gt;0,HLOOKUP(BG65,[1]Trav!$C$11:$O$31,$AU$105),0)</f>
        <v>0</v>
      </c>
      <c r="BH111" s="183">
        <f>IF(BH65&gt;0,HLOOKUP(BH65,[1]Trav!$C$11:$O$31,$AU$105),0)</f>
        <v>0</v>
      </c>
      <c r="BI111" s="183">
        <f>IF(BI65&gt;0,HLOOKUP(BI65,[1]Trav!$C$11:$O$31,$AU$105),0)</f>
        <v>0</v>
      </c>
      <c r="BJ111" s="183">
        <f>IF(BJ65&gt;0,HLOOKUP(BJ65,[1]Trav!$C$11:$O$31,$AU$105),0)</f>
        <v>0</v>
      </c>
      <c r="BK111" s="183">
        <f>IF(BK65&gt;0,HLOOKUP(BK65,[1]Trav!$C$11:$O$31,$AU$105),0)</f>
        <v>0</v>
      </c>
      <c r="BL111" s="183">
        <f>IF(BL65&gt;0,HLOOKUP(BL65,[1]Trav!$C$11:$O$31,$AU$105),0)</f>
        <v>0</v>
      </c>
      <c r="BM111" s="183">
        <f>IF(BM65&gt;0,HLOOKUP(BM65,[1]Trav!$C$11:$O$31,$AU$105),0)</f>
        <v>0</v>
      </c>
      <c r="BN111" s="183">
        <f>IF(BN65&gt;0,HLOOKUP(BN65,[1]Trav!$C$11:$O$31,$AU$105),0)</f>
        <v>0</v>
      </c>
      <c r="BO111" s="183">
        <f>IF(BO65&gt;0,HLOOKUP(BO65,[1]Trav!$C$11:$O$31,$AU$105),0)</f>
        <v>0</v>
      </c>
      <c r="BP111" s="183">
        <f>IF(BP65&gt;0,HLOOKUP(BP65,[1]Trav!$C$11:$O$31,$AU$105),0)</f>
        <v>0</v>
      </c>
      <c r="BQ111" s="183">
        <f>IF(BQ65&gt;0,HLOOKUP(BQ65,[1]Trav!$C$11:$O$31,$AU$105),0)</f>
        <v>0</v>
      </c>
      <c r="BR111" s="183">
        <f>IF(BR65&gt;0,HLOOKUP(BR65,[1]Trav!$C$11:$O$31,$AU$105),0)</f>
        <v>0</v>
      </c>
      <c r="BS111" s="183">
        <f>IF(BS65&gt;0,HLOOKUP(BS65,[1]Trav!$C$11:$O$31,$AU$105),0)</f>
        <v>0</v>
      </c>
      <c r="BZ111" s="182" t="str">
        <f t="shared" si="81"/>
        <v>lot6</v>
      </c>
      <c r="CB111" s="183">
        <f>IF(CB65&gt;0,HLOOKUP(CB65,[1]Trav!$C$11:$O$31,$CA$105),0)</f>
        <v>0</v>
      </c>
      <c r="CC111" s="183">
        <f>IF(CC65&gt;0,HLOOKUP(CC65,[1]Trav!$C$11:$O$31,$CA$105),0)</f>
        <v>0</v>
      </c>
      <c r="CD111" s="183">
        <f>IF(CD65&gt;0,HLOOKUP(CD65,[1]Trav!$C$11:$O$31,$CA$105),0)</f>
        <v>0</v>
      </c>
      <c r="CE111" s="183">
        <f>IF(CE65&gt;0,HLOOKUP(CE65,[1]Trav!$C$11:$O$31,$CA$105),0)</f>
        <v>0</v>
      </c>
      <c r="CF111" s="183">
        <f>IF(CF65&gt;0,HLOOKUP(CF65,[1]Trav!$C$11:$O$31,$CA$105),0)</f>
        <v>0</v>
      </c>
      <c r="CG111" s="183">
        <f>IF(CG65&gt;0,HLOOKUP(CG65,[1]Trav!$C$11:$O$31,$CA$105),0)</f>
        <v>0</v>
      </c>
      <c r="CH111" s="183">
        <f>IF(CH65&gt;0,HLOOKUP(CH65,[1]Trav!$C$11:$O$31,$CA$105),0)</f>
        <v>0</v>
      </c>
      <c r="CI111" s="183">
        <f>IF(CI65&gt;0,HLOOKUP(CI65,[1]Trav!$C$11:$O$31,$CA$105),0)</f>
        <v>0</v>
      </c>
      <c r="CJ111" s="183">
        <f>IF(CJ65&gt;0,HLOOKUP(CJ65,[1]Trav!$C$11:$O$31,$CA$105),0)</f>
        <v>0</v>
      </c>
      <c r="CK111" s="183">
        <f>IF(CK65&gt;0,HLOOKUP(CK65,[1]Trav!$C$11:$O$31,$CA$105),0)</f>
        <v>0</v>
      </c>
      <c r="CL111" s="183">
        <f>IF(CL65&gt;0,HLOOKUP(CL65,[1]Trav!$C$11:$O$31,$CA$105),0)</f>
        <v>0</v>
      </c>
      <c r="CM111" s="183">
        <f>IF(CM65&gt;0,HLOOKUP(CM65,[1]Trav!$C$11:$O$31,$CA$105),0)</f>
        <v>0</v>
      </c>
      <c r="CN111" s="183">
        <f>IF(CN65&gt;0,HLOOKUP(CN65,[1]Trav!$C$11:$O$31,$CA$105),0)</f>
        <v>0</v>
      </c>
      <c r="CO111" s="183">
        <f>IF(CO65&gt;0,HLOOKUP(CO65,[1]Trav!$C$11:$O$31,$CA$105),0)</f>
        <v>0</v>
      </c>
      <c r="CP111" s="183">
        <f>IF(CP65&gt;0,HLOOKUP(CP65,[1]Trav!$C$11:$O$31,$CA$105),0)</f>
        <v>0</v>
      </c>
      <c r="CQ111" s="183">
        <f>IF(CQ65&gt;0,HLOOKUP(CQ65,[1]Trav!$C$11:$O$31,$CA$105),0)</f>
        <v>0</v>
      </c>
      <c r="CR111" s="183">
        <f>IF(CR65&gt;0,HLOOKUP(CR65,[1]Trav!$C$11:$O$31,$CA$105),0)</f>
        <v>0</v>
      </c>
      <c r="CS111" s="183">
        <f>IF(CS65&gt;0,HLOOKUP(CS65,[1]Trav!$C$11:$O$31,$CA$105),0)</f>
        <v>0</v>
      </c>
      <c r="CT111" s="183">
        <f>IF(CT65&gt;0,HLOOKUP(CT65,[1]Trav!$C$11:$O$31,$CA$105),0)</f>
        <v>0</v>
      </c>
      <c r="CU111" s="183">
        <f>IF(CU65&gt;0,HLOOKUP(CU65,[1]Trav!$C$11:$O$31,$CA$105),0)</f>
        <v>0</v>
      </c>
      <c r="CV111" s="183">
        <f>IF(CV65&gt;0,HLOOKUP(CV65,[1]Trav!$C$11:$O$31,$CA$105),0)</f>
        <v>0</v>
      </c>
      <c r="CW111" s="183">
        <f>IF(CW65&gt;0,HLOOKUP(CW65,[1]Trav!$C$11:$O$31,$CA$105),0)</f>
        <v>0</v>
      </c>
      <c r="CX111" s="183">
        <f>IF(CX65&gt;0,HLOOKUP(CX65,[1]Trav!$C$11:$O$31,$CA$105),0)</f>
        <v>0</v>
      </c>
      <c r="CY111" s="183">
        <f>IF(CY65&gt;0,HLOOKUP(CY65,[1]Trav!$C$11:$O$31,$CA$105),0)</f>
        <v>0</v>
      </c>
      <c r="DC111" s="182" t="str">
        <f t="shared" si="82"/>
        <v>lot6</v>
      </c>
      <c r="DE111" s="183">
        <f>IF(DE65&gt;0,HLOOKUP(DE65,[1]Trav!$C$11:$O$31,$DD$105),0)</f>
        <v>0</v>
      </c>
      <c r="DF111" s="183">
        <f>IF(DF65&gt;0,HLOOKUP(DF65,[1]Trav!$C$11:$O$31,$DD$105),0)</f>
        <v>0</v>
      </c>
      <c r="DG111" s="183">
        <f>IF(DG65&gt;0,HLOOKUP(DG65,[1]Trav!$C$11:$O$31,$DD$105),0)</f>
        <v>0</v>
      </c>
      <c r="DH111" s="183">
        <f>IF(DH65&gt;0,HLOOKUP(DH65,[1]Trav!$C$11:$O$31,$DD$105),0)</f>
        <v>0</v>
      </c>
      <c r="DI111" s="183">
        <f>IF(DI65&gt;0,HLOOKUP(DI65,[1]Trav!$C$11:$O$31,$DD$105),0)</f>
        <v>0</v>
      </c>
      <c r="DJ111" s="183">
        <f>IF(DJ65&gt;0,HLOOKUP(DJ65,[1]Trav!$C$11:$O$31,$DD$105),0)</f>
        <v>0</v>
      </c>
      <c r="DK111" s="183">
        <f>IF(DK65&gt;0,HLOOKUP(DK65,[1]Trav!$C$11:$O$31,$DD$105),0)</f>
        <v>0</v>
      </c>
      <c r="DL111" s="183">
        <f>IF(DL65&gt;0,HLOOKUP(DL65,[1]Trav!$C$11:$O$31,$DD$105),0)</f>
        <v>0</v>
      </c>
      <c r="DM111" s="183">
        <f>IF(DM65&gt;0,HLOOKUP(DM65,[1]Trav!$C$11:$O$31,$DD$105),0)</f>
        <v>0</v>
      </c>
      <c r="DN111" s="183">
        <f>IF(DN65&gt;0,HLOOKUP(DN65,[1]Trav!$C$11:$O$31,$DD$105),0)</f>
        <v>0</v>
      </c>
      <c r="DO111" s="183">
        <f>IF(DO65&gt;0,HLOOKUP(DO65,[1]Trav!$C$11:$O$31,$DD$105),0)</f>
        <v>0</v>
      </c>
      <c r="DP111" s="183">
        <f>IF(DP65&gt;0,HLOOKUP(DP65,[1]Trav!$C$11:$O$31,$DD$105),0)</f>
        <v>0</v>
      </c>
      <c r="DQ111" s="183">
        <f>IF(DQ65&gt;0,HLOOKUP(DQ65,[1]Trav!$C$11:$O$31,$DD$105),0)</f>
        <v>0</v>
      </c>
      <c r="DR111" s="183">
        <f>IF(DR65&gt;0,HLOOKUP(DR65,[1]Trav!$C$11:$O$31,$DD$105),0)</f>
        <v>0</v>
      </c>
      <c r="DS111" s="183">
        <f>IF(DS65&gt;0,HLOOKUP(DS65,[1]Trav!$C$11:$O$31,$DD$105),0)</f>
        <v>0</v>
      </c>
      <c r="DT111" s="183">
        <f>IF(DT65&gt;0,HLOOKUP(DT65,[1]Trav!$C$11:$O$31,$DD$105),0)</f>
        <v>0</v>
      </c>
      <c r="DU111" s="183">
        <f>IF(DU65&gt;0,HLOOKUP(DU65,[1]Trav!$C$11:$O$31,$DD$105),0)</f>
        <v>0</v>
      </c>
      <c r="DV111" s="183">
        <f>IF(DV65&gt;0,HLOOKUP(DV65,[1]Trav!$C$11:$O$31,$DD$105),0)</f>
        <v>0</v>
      </c>
      <c r="DW111" s="183">
        <f>IF(DW65&gt;0,HLOOKUP(DW65,[1]Trav!$C$11:$O$31,$DD$105),0)</f>
        <v>0</v>
      </c>
      <c r="DX111" s="183">
        <f>IF(DX65&gt;0,HLOOKUP(DX65,[1]Trav!$C$11:$O$31,$DD$105),0)</f>
        <v>0</v>
      </c>
      <c r="DY111" s="183">
        <f>IF(DY65&gt;0,HLOOKUP(DY65,[1]Trav!$C$11:$O$31,$DD$105),0)</f>
        <v>0</v>
      </c>
      <c r="DZ111" s="183">
        <f>IF(DZ65&gt;0,HLOOKUP(DZ65,[1]Trav!$C$11:$O$31,$DD$105),0)</f>
        <v>0</v>
      </c>
      <c r="EA111" s="183">
        <f>IF(EA65&gt;0,HLOOKUP(EA65,[1]Trav!$C$11:$O$31,$DD$105),0)</f>
        <v>0</v>
      </c>
      <c r="EB111" s="183">
        <f>IF(EB65&gt;0,HLOOKUP(EB65,[1]Trav!$C$11:$O$31,$DD$105),0)</f>
        <v>0</v>
      </c>
    </row>
    <row r="112" spans="1:132" x14ac:dyDescent="0.25">
      <c r="A112" s="2" t="s">
        <v>843</v>
      </c>
      <c r="B112" s="46">
        <f>SUM(B109:B111)</f>
        <v>0</v>
      </c>
      <c r="D112" s="190"/>
      <c r="AT112" s="182" t="str">
        <f t="shared" si="80"/>
        <v>lot7</v>
      </c>
      <c r="AV112" s="183">
        <f>IF(AV66&gt;0,HLOOKUP(AV66,[1]Trav!$C$11:$O$31,$AU$105),0)</f>
        <v>0</v>
      </c>
      <c r="AW112" s="183">
        <f>IF(AW66&gt;0,HLOOKUP(AW66,[1]Trav!$C$11:$O$31,$AU$105),0)</f>
        <v>0</v>
      </c>
      <c r="AX112" s="183">
        <f>IF(AX66&gt;0,HLOOKUP(AX66,[1]Trav!$C$11:$O$31,$AU$105),0)</f>
        <v>0</v>
      </c>
      <c r="AY112" s="183">
        <f>IF(AY66&gt;0,HLOOKUP(AY66,[1]Trav!$C$11:$O$31,$AU$105),0)</f>
        <v>0</v>
      </c>
      <c r="AZ112" s="183">
        <f>IF(AZ66&gt;0,HLOOKUP(AZ66,[1]Trav!$C$11:$O$31,$AU$105),0)</f>
        <v>0</v>
      </c>
      <c r="BA112" s="183">
        <f>IF(BA66&gt;0,HLOOKUP(BA66,[1]Trav!$C$11:$O$31,$AU$105),0)</f>
        <v>0</v>
      </c>
      <c r="BB112" s="183">
        <f>IF(BB66&gt;0,HLOOKUP(BB66,[1]Trav!$C$11:$O$31,$AU$105),0)</f>
        <v>0</v>
      </c>
      <c r="BC112" s="183">
        <f>IF(BC66&gt;0,HLOOKUP(BC66,[1]Trav!$C$11:$O$31,$AU$105),0)</f>
        <v>0</v>
      </c>
      <c r="BD112" s="183">
        <f>IF(BD66&gt;0,HLOOKUP(BD66,[1]Trav!$C$11:$O$31,$AU$105),0)</f>
        <v>0</v>
      </c>
      <c r="BE112" s="183">
        <f>IF(BE66&gt;0,HLOOKUP(BE66,[1]Trav!$C$11:$O$31,$AU$105),0)</f>
        <v>0</v>
      </c>
      <c r="BF112" s="183">
        <f>IF(BF66&gt;0,HLOOKUP(BF66,[1]Trav!$C$11:$O$31,$AU$105),0)</f>
        <v>0</v>
      </c>
      <c r="BG112" s="183">
        <f>IF(BG66&gt;0,HLOOKUP(BG66,[1]Trav!$C$11:$O$31,$AU$105),0)</f>
        <v>0</v>
      </c>
      <c r="BH112" s="183">
        <f>IF(BH66&gt;0,HLOOKUP(BH66,[1]Trav!$C$11:$O$31,$AU$105),0)</f>
        <v>0</v>
      </c>
      <c r="BI112" s="183">
        <f>IF(BI66&gt;0,HLOOKUP(BI66,[1]Trav!$C$11:$O$31,$AU$105),0)</f>
        <v>0</v>
      </c>
      <c r="BJ112" s="183">
        <f>IF(BJ66&gt;0,HLOOKUP(BJ66,[1]Trav!$C$11:$O$31,$AU$105),0)</f>
        <v>0</v>
      </c>
      <c r="BK112" s="183">
        <f>IF(BK66&gt;0,HLOOKUP(BK66,[1]Trav!$C$11:$O$31,$AU$105),0)</f>
        <v>0</v>
      </c>
      <c r="BL112" s="183">
        <f>IF(BL66&gt;0,HLOOKUP(BL66,[1]Trav!$C$11:$O$31,$AU$105),0)</f>
        <v>0</v>
      </c>
      <c r="BM112" s="183">
        <f>IF(BM66&gt;0,HLOOKUP(BM66,[1]Trav!$C$11:$O$31,$AU$105),0)</f>
        <v>0</v>
      </c>
      <c r="BN112" s="183">
        <f>IF(BN66&gt;0,HLOOKUP(BN66,[1]Trav!$C$11:$O$31,$AU$105),0)</f>
        <v>0</v>
      </c>
      <c r="BO112" s="183">
        <f>IF(BO66&gt;0,HLOOKUP(BO66,[1]Trav!$C$11:$O$31,$AU$105),0)</f>
        <v>0</v>
      </c>
      <c r="BP112" s="183">
        <f>IF(BP66&gt;0,HLOOKUP(BP66,[1]Trav!$C$11:$O$31,$AU$105),0)</f>
        <v>0</v>
      </c>
      <c r="BQ112" s="183">
        <f>IF(BQ66&gt;0,HLOOKUP(BQ66,[1]Trav!$C$11:$O$31,$AU$105),0)</f>
        <v>0</v>
      </c>
      <c r="BR112" s="183">
        <f>IF(BR66&gt;0,HLOOKUP(BR66,[1]Trav!$C$11:$O$31,$AU$105),0)</f>
        <v>0</v>
      </c>
      <c r="BS112" s="183">
        <f>IF(BS66&gt;0,HLOOKUP(BS66,[1]Trav!$C$11:$O$31,$AU$105),0)</f>
        <v>0</v>
      </c>
      <c r="BZ112" s="182" t="str">
        <f t="shared" si="81"/>
        <v>lot7</v>
      </c>
      <c r="CB112" s="183">
        <f>IF(CB66&gt;0,HLOOKUP(CB66,[1]Trav!$C$11:$O$31,$CA$105),0)</f>
        <v>0</v>
      </c>
      <c r="CC112" s="183">
        <f>IF(CC66&gt;0,HLOOKUP(CC66,[1]Trav!$C$11:$O$31,$CA$105),0)</f>
        <v>0</v>
      </c>
      <c r="CD112" s="183">
        <f>IF(CD66&gt;0,HLOOKUP(CD66,[1]Trav!$C$11:$O$31,$CA$105),0)</f>
        <v>0</v>
      </c>
      <c r="CE112" s="183">
        <f>IF(CE66&gt;0,HLOOKUP(CE66,[1]Trav!$C$11:$O$31,$CA$105),0)</f>
        <v>0</v>
      </c>
      <c r="CF112" s="183">
        <f>IF(CF66&gt;0,HLOOKUP(CF66,[1]Trav!$C$11:$O$31,$CA$105),0)</f>
        <v>0</v>
      </c>
      <c r="CG112" s="183">
        <f>IF(CG66&gt;0,HLOOKUP(CG66,[1]Trav!$C$11:$O$31,$CA$105),0)</f>
        <v>0</v>
      </c>
      <c r="CH112" s="183">
        <f>IF(CH66&gt;0,HLOOKUP(CH66,[1]Trav!$C$11:$O$31,$CA$105),0)</f>
        <v>0</v>
      </c>
      <c r="CI112" s="183">
        <f>IF(CI66&gt;0,HLOOKUP(CI66,[1]Trav!$C$11:$O$31,$CA$105),0)</f>
        <v>0</v>
      </c>
      <c r="CJ112" s="183">
        <f>IF(CJ66&gt;0,HLOOKUP(CJ66,[1]Trav!$C$11:$O$31,$CA$105),0)</f>
        <v>0</v>
      </c>
      <c r="CK112" s="183">
        <f>IF(CK66&gt;0,HLOOKUP(CK66,[1]Trav!$C$11:$O$31,$CA$105),0)</f>
        <v>0</v>
      </c>
      <c r="CL112" s="183">
        <f>IF(CL66&gt;0,HLOOKUP(CL66,[1]Trav!$C$11:$O$31,$CA$105),0)</f>
        <v>0</v>
      </c>
      <c r="CM112" s="183">
        <f>IF(CM66&gt;0,HLOOKUP(CM66,[1]Trav!$C$11:$O$31,$CA$105),0)</f>
        <v>0</v>
      </c>
      <c r="CN112" s="183">
        <f>IF(CN66&gt;0,HLOOKUP(CN66,[1]Trav!$C$11:$O$31,$CA$105),0)</f>
        <v>0</v>
      </c>
      <c r="CO112" s="183">
        <f>IF(CO66&gt;0,HLOOKUP(CO66,[1]Trav!$C$11:$O$31,$CA$105),0)</f>
        <v>0</v>
      </c>
      <c r="CP112" s="183">
        <f>IF(CP66&gt;0,HLOOKUP(CP66,[1]Trav!$C$11:$O$31,$CA$105),0)</f>
        <v>0</v>
      </c>
      <c r="CQ112" s="183">
        <f>IF(CQ66&gt;0,HLOOKUP(CQ66,[1]Trav!$C$11:$O$31,$CA$105),0)</f>
        <v>0</v>
      </c>
      <c r="CR112" s="183">
        <f>IF(CR66&gt;0,HLOOKUP(CR66,[1]Trav!$C$11:$O$31,$CA$105),0)</f>
        <v>0</v>
      </c>
      <c r="CS112" s="183">
        <f>IF(CS66&gt;0,HLOOKUP(CS66,[1]Trav!$C$11:$O$31,$CA$105),0)</f>
        <v>0</v>
      </c>
      <c r="CT112" s="183">
        <f>IF(CT66&gt;0,HLOOKUP(CT66,[1]Trav!$C$11:$O$31,$CA$105),0)</f>
        <v>0</v>
      </c>
      <c r="CU112" s="183">
        <f>IF(CU66&gt;0,HLOOKUP(CU66,[1]Trav!$C$11:$O$31,$CA$105),0)</f>
        <v>0</v>
      </c>
      <c r="CV112" s="183">
        <f>IF(CV66&gt;0,HLOOKUP(CV66,[1]Trav!$C$11:$O$31,$CA$105),0)</f>
        <v>0</v>
      </c>
      <c r="CW112" s="183">
        <f>IF(CW66&gt;0,HLOOKUP(CW66,[1]Trav!$C$11:$O$31,$CA$105),0)</f>
        <v>0</v>
      </c>
      <c r="CX112" s="183">
        <f>IF(CX66&gt;0,HLOOKUP(CX66,[1]Trav!$C$11:$O$31,$CA$105),0)</f>
        <v>0</v>
      </c>
      <c r="CY112" s="183">
        <f>IF(CY66&gt;0,HLOOKUP(CY66,[1]Trav!$C$11:$O$31,$CA$105),0)</f>
        <v>0</v>
      </c>
      <c r="DC112" s="182" t="str">
        <f t="shared" si="82"/>
        <v>lot7</v>
      </c>
      <c r="DE112" s="183">
        <f>IF(DE66&gt;0,HLOOKUP(DE66,[1]Trav!$C$11:$O$31,$DD$105),0)</f>
        <v>0</v>
      </c>
      <c r="DF112" s="183">
        <f>IF(DF66&gt;0,HLOOKUP(DF66,[1]Trav!$C$11:$O$31,$DD$105),0)</f>
        <v>0</v>
      </c>
      <c r="DG112" s="183">
        <f>IF(DG66&gt;0,HLOOKUP(DG66,[1]Trav!$C$11:$O$31,$DD$105),0)</f>
        <v>0</v>
      </c>
      <c r="DH112" s="183">
        <f>IF(DH66&gt;0,HLOOKUP(DH66,[1]Trav!$C$11:$O$31,$DD$105),0)</f>
        <v>0</v>
      </c>
      <c r="DI112" s="183">
        <f>IF(DI66&gt;0,HLOOKUP(DI66,[1]Trav!$C$11:$O$31,$DD$105),0)</f>
        <v>0</v>
      </c>
      <c r="DJ112" s="183">
        <f>IF(DJ66&gt;0,HLOOKUP(DJ66,[1]Trav!$C$11:$O$31,$DD$105),0)</f>
        <v>0</v>
      </c>
      <c r="DK112" s="183">
        <f>IF(DK66&gt;0,HLOOKUP(DK66,[1]Trav!$C$11:$O$31,$DD$105),0)</f>
        <v>0</v>
      </c>
      <c r="DL112" s="183">
        <f>IF(DL66&gt;0,HLOOKUP(DL66,[1]Trav!$C$11:$O$31,$DD$105),0)</f>
        <v>0</v>
      </c>
      <c r="DM112" s="183">
        <f>IF(DM66&gt;0,HLOOKUP(DM66,[1]Trav!$C$11:$O$31,$DD$105),0)</f>
        <v>0</v>
      </c>
      <c r="DN112" s="183">
        <f>IF(DN66&gt;0,HLOOKUP(DN66,[1]Trav!$C$11:$O$31,$DD$105),0)</f>
        <v>0</v>
      </c>
      <c r="DO112" s="183">
        <f>IF(DO66&gt;0,HLOOKUP(DO66,[1]Trav!$C$11:$O$31,$DD$105),0)</f>
        <v>0</v>
      </c>
      <c r="DP112" s="183">
        <f>IF(DP66&gt;0,HLOOKUP(DP66,[1]Trav!$C$11:$O$31,$DD$105),0)</f>
        <v>0</v>
      </c>
      <c r="DQ112" s="183">
        <f>IF(DQ66&gt;0,HLOOKUP(DQ66,[1]Trav!$C$11:$O$31,$DD$105),0)</f>
        <v>0</v>
      </c>
      <c r="DR112" s="183">
        <f>IF(DR66&gt;0,HLOOKUP(DR66,[1]Trav!$C$11:$O$31,$DD$105),0)</f>
        <v>0</v>
      </c>
      <c r="DS112" s="183">
        <f>IF(DS66&gt;0,HLOOKUP(DS66,[1]Trav!$C$11:$O$31,$DD$105),0)</f>
        <v>0</v>
      </c>
      <c r="DT112" s="183">
        <f>IF(DT66&gt;0,HLOOKUP(DT66,[1]Trav!$C$11:$O$31,$DD$105),0)</f>
        <v>0</v>
      </c>
      <c r="DU112" s="183">
        <f>IF(DU66&gt;0,HLOOKUP(DU66,[1]Trav!$C$11:$O$31,$DD$105),0)</f>
        <v>0</v>
      </c>
      <c r="DV112" s="183">
        <f>IF(DV66&gt;0,HLOOKUP(DV66,[1]Trav!$C$11:$O$31,$DD$105),0)</f>
        <v>0</v>
      </c>
      <c r="DW112" s="183">
        <f>IF(DW66&gt;0,HLOOKUP(DW66,[1]Trav!$C$11:$O$31,$DD$105),0)</f>
        <v>0</v>
      </c>
      <c r="DX112" s="183">
        <f>IF(DX66&gt;0,HLOOKUP(DX66,[1]Trav!$C$11:$O$31,$DD$105),0)</f>
        <v>0</v>
      </c>
      <c r="DY112" s="183">
        <f>IF(DY66&gt;0,HLOOKUP(DY66,[1]Trav!$C$11:$O$31,$DD$105),0)</f>
        <v>0</v>
      </c>
      <c r="DZ112" s="183">
        <f>IF(DZ66&gt;0,HLOOKUP(DZ66,[1]Trav!$C$11:$O$31,$DD$105),0)</f>
        <v>0</v>
      </c>
      <c r="EA112" s="183">
        <f>IF(EA66&gt;0,HLOOKUP(EA66,[1]Trav!$C$11:$O$31,$DD$105),0)</f>
        <v>0</v>
      </c>
      <c r="EB112" s="183">
        <f>IF(EB66&gt;0,HLOOKUP(EB66,[1]Trav!$C$11:$O$31,$DD$105),0)</f>
        <v>0</v>
      </c>
    </row>
    <row r="113" spans="1:132" x14ac:dyDescent="0.25">
      <c r="A113" s="2" t="s">
        <v>844</v>
      </c>
      <c r="B113" s="30">
        <f>F76</f>
        <v>0</v>
      </c>
      <c r="D113" s="190"/>
      <c r="AT113" s="182" t="str">
        <f t="shared" si="80"/>
        <v>lot8</v>
      </c>
      <c r="AV113" s="183">
        <f>IF(AV67&gt;0,HLOOKUP(AV67,[1]Trav!$C$11:$O$31,$AU$105),0)</f>
        <v>0</v>
      </c>
      <c r="AW113" s="183">
        <f>IF(AW67&gt;0,HLOOKUP(AW67,[1]Trav!$C$11:$O$31,$AU$105),0)</f>
        <v>0</v>
      </c>
      <c r="AX113" s="183">
        <f>IF(AX67&gt;0,HLOOKUP(AX67,[1]Trav!$C$11:$O$31,$AU$105),0)</f>
        <v>0</v>
      </c>
      <c r="AY113" s="183">
        <f>IF(AY67&gt;0,HLOOKUP(AY67,[1]Trav!$C$11:$O$31,$AU$105),0)</f>
        <v>0</v>
      </c>
      <c r="AZ113" s="183">
        <f>IF(AZ67&gt;0,HLOOKUP(AZ67,[1]Trav!$C$11:$O$31,$AU$105),0)</f>
        <v>0</v>
      </c>
      <c r="BA113" s="183">
        <f>IF(BA67&gt;0,HLOOKUP(BA67,[1]Trav!$C$11:$O$31,$AU$105),0)</f>
        <v>0</v>
      </c>
      <c r="BB113" s="183">
        <f>IF(BB67&gt;0,HLOOKUP(BB67,[1]Trav!$C$11:$O$31,$AU$105),0)</f>
        <v>0</v>
      </c>
      <c r="BC113" s="183">
        <f>IF(BC67&gt;0,HLOOKUP(BC67,[1]Trav!$C$11:$O$31,$AU$105),0)</f>
        <v>0</v>
      </c>
      <c r="BD113" s="183">
        <f>IF(BD67&gt;0,HLOOKUP(BD67,[1]Trav!$C$11:$O$31,$AU$105),0)</f>
        <v>0</v>
      </c>
      <c r="BE113" s="183">
        <f>IF(BE67&gt;0,HLOOKUP(BE67,[1]Trav!$C$11:$O$31,$AU$105),0)</f>
        <v>0</v>
      </c>
      <c r="BF113" s="183">
        <f>IF(BF67&gt;0,HLOOKUP(BF67,[1]Trav!$C$11:$O$31,$AU$105),0)</f>
        <v>0</v>
      </c>
      <c r="BG113" s="183">
        <f>IF(BG67&gt;0,HLOOKUP(BG67,[1]Trav!$C$11:$O$31,$AU$105),0)</f>
        <v>0</v>
      </c>
      <c r="BH113" s="183">
        <f>IF(BH67&gt;0,HLOOKUP(BH67,[1]Trav!$C$11:$O$31,$AU$105),0)</f>
        <v>0</v>
      </c>
      <c r="BI113" s="183">
        <f>IF(BI67&gt;0,HLOOKUP(BI67,[1]Trav!$C$11:$O$31,$AU$105),0)</f>
        <v>0</v>
      </c>
      <c r="BJ113" s="183">
        <f>IF(BJ67&gt;0,HLOOKUP(BJ67,[1]Trav!$C$11:$O$31,$AU$105),0)</f>
        <v>0</v>
      </c>
      <c r="BK113" s="183">
        <f>IF(BK67&gt;0,HLOOKUP(BK67,[1]Trav!$C$11:$O$31,$AU$105),0)</f>
        <v>0</v>
      </c>
      <c r="BL113" s="183">
        <f>IF(BL67&gt;0,HLOOKUP(BL67,[1]Trav!$C$11:$O$31,$AU$105),0)</f>
        <v>0</v>
      </c>
      <c r="BM113" s="183">
        <f>IF(BM67&gt;0,HLOOKUP(BM67,[1]Trav!$C$11:$O$31,$AU$105),0)</f>
        <v>0</v>
      </c>
      <c r="BN113" s="183">
        <f>IF(BN67&gt;0,HLOOKUP(BN67,[1]Trav!$C$11:$O$31,$AU$105),0)</f>
        <v>0</v>
      </c>
      <c r="BO113" s="183">
        <f>IF(BO67&gt;0,HLOOKUP(BO67,[1]Trav!$C$11:$O$31,$AU$105),0)</f>
        <v>0</v>
      </c>
      <c r="BP113" s="183">
        <f>IF(BP67&gt;0,HLOOKUP(BP67,[1]Trav!$C$11:$O$31,$AU$105),0)</f>
        <v>0</v>
      </c>
      <c r="BQ113" s="183">
        <f>IF(BQ67&gt;0,HLOOKUP(BQ67,[1]Trav!$C$11:$O$31,$AU$105),0)</f>
        <v>0</v>
      </c>
      <c r="BR113" s="183">
        <f>IF(BR67&gt;0,HLOOKUP(BR67,[1]Trav!$C$11:$O$31,$AU$105),0)</f>
        <v>0</v>
      </c>
      <c r="BS113" s="183">
        <f>IF(BS67&gt;0,HLOOKUP(BS67,[1]Trav!$C$11:$O$31,$AU$105),0)</f>
        <v>0</v>
      </c>
      <c r="BZ113" s="182" t="str">
        <f t="shared" si="81"/>
        <v>lot8</v>
      </c>
      <c r="CB113" s="183">
        <f>IF(CB67&gt;0,HLOOKUP(CB67,[1]Trav!$C$11:$O$31,$CA$105),0)</f>
        <v>0</v>
      </c>
      <c r="CC113" s="183">
        <f>IF(CC67&gt;0,HLOOKUP(CC67,[1]Trav!$C$11:$O$31,$CA$105),0)</f>
        <v>0</v>
      </c>
      <c r="CD113" s="183">
        <f>IF(CD67&gt;0,HLOOKUP(CD67,[1]Trav!$C$11:$O$31,$CA$105),0)</f>
        <v>0</v>
      </c>
      <c r="CE113" s="183">
        <f>IF(CE67&gt;0,HLOOKUP(CE67,[1]Trav!$C$11:$O$31,$CA$105),0)</f>
        <v>0</v>
      </c>
      <c r="CF113" s="183">
        <f>IF(CF67&gt;0,HLOOKUP(CF67,[1]Trav!$C$11:$O$31,$CA$105),0)</f>
        <v>0</v>
      </c>
      <c r="CG113" s="183">
        <f>IF(CG67&gt;0,HLOOKUP(CG67,[1]Trav!$C$11:$O$31,$CA$105),0)</f>
        <v>0</v>
      </c>
      <c r="CH113" s="183">
        <f>IF(CH67&gt;0,HLOOKUP(CH67,[1]Trav!$C$11:$O$31,$CA$105),0)</f>
        <v>0</v>
      </c>
      <c r="CI113" s="183">
        <f>IF(CI67&gt;0,HLOOKUP(CI67,[1]Trav!$C$11:$O$31,$CA$105),0)</f>
        <v>0</v>
      </c>
      <c r="CJ113" s="183">
        <f>IF(CJ67&gt;0,HLOOKUP(CJ67,[1]Trav!$C$11:$O$31,$CA$105),0)</f>
        <v>0</v>
      </c>
      <c r="CK113" s="183">
        <f>IF(CK67&gt;0,HLOOKUP(CK67,[1]Trav!$C$11:$O$31,$CA$105),0)</f>
        <v>0</v>
      </c>
      <c r="CL113" s="183">
        <f>IF(CL67&gt;0,HLOOKUP(CL67,[1]Trav!$C$11:$O$31,$CA$105),0)</f>
        <v>0</v>
      </c>
      <c r="CM113" s="183">
        <f>IF(CM67&gt;0,HLOOKUP(CM67,[1]Trav!$C$11:$O$31,$CA$105),0)</f>
        <v>0</v>
      </c>
      <c r="CN113" s="183">
        <f>IF(CN67&gt;0,HLOOKUP(CN67,[1]Trav!$C$11:$O$31,$CA$105),0)</f>
        <v>0</v>
      </c>
      <c r="CO113" s="183">
        <f>IF(CO67&gt;0,HLOOKUP(CO67,[1]Trav!$C$11:$O$31,$CA$105),0)</f>
        <v>0</v>
      </c>
      <c r="CP113" s="183">
        <f>IF(CP67&gt;0,HLOOKUP(CP67,[1]Trav!$C$11:$O$31,$CA$105),0)</f>
        <v>0</v>
      </c>
      <c r="CQ113" s="183">
        <f>IF(CQ67&gt;0,HLOOKUP(CQ67,[1]Trav!$C$11:$O$31,$CA$105),0)</f>
        <v>0</v>
      </c>
      <c r="CR113" s="183">
        <f>IF(CR67&gt;0,HLOOKUP(CR67,[1]Trav!$C$11:$O$31,$CA$105),0)</f>
        <v>0</v>
      </c>
      <c r="CS113" s="183">
        <f>IF(CS67&gt;0,HLOOKUP(CS67,[1]Trav!$C$11:$O$31,$CA$105),0)</f>
        <v>0</v>
      </c>
      <c r="CT113" s="183">
        <f>IF(CT67&gt;0,HLOOKUP(CT67,[1]Trav!$C$11:$O$31,$CA$105),0)</f>
        <v>0</v>
      </c>
      <c r="CU113" s="183">
        <f>IF(CU67&gt;0,HLOOKUP(CU67,[1]Trav!$C$11:$O$31,$CA$105),0)</f>
        <v>0</v>
      </c>
      <c r="CV113" s="183">
        <f>IF(CV67&gt;0,HLOOKUP(CV67,[1]Trav!$C$11:$O$31,$CA$105),0)</f>
        <v>0</v>
      </c>
      <c r="CW113" s="183">
        <f>IF(CW67&gt;0,HLOOKUP(CW67,[1]Trav!$C$11:$O$31,$CA$105),0)</f>
        <v>0</v>
      </c>
      <c r="CX113" s="183">
        <f>IF(CX67&gt;0,HLOOKUP(CX67,[1]Trav!$C$11:$O$31,$CA$105),0)</f>
        <v>0</v>
      </c>
      <c r="CY113" s="183">
        <f>IF(CY67&gt;0,HLOOKUP(CY67,[1]Trav!$C$11:$O$31,$CA$105),0)</f>
        <v>0</v>
      </c>
      <c r="DC113" s="182" t="str">
        <f t="shared" si="82"/>
        <v>lot8</v>
      </c>
      <c r="DE113" s="183">
        <f>IF(DE67&gt;0,HLOOKUP(DE67,[1]Trav!$C$11:$O$31,$DD$105),0)</f>
        <v>0</v>
      </c>
      <c r="DF113" s="183">
        <f>IF(DF67&gt;0,HLOOKUP(DF67,[1]Trav!$C$11:$O$31,$DD$105),0)</f>
        <v>0</v>
      </c>
      <c r="DG113" s="183">
        <f>IF(DG67&gt;0,HLOOKUP(DG67,[1]Trav!$C$11:$O$31,$DD$105),0)</f>
        <v>0</v>
      </c>
      <c r="DH113" s="183">
        <f>IF(DH67&gt;0,HLOOKUP(DH67,[1]Trav!$C$11:$O$31,$DD$105),0)</f>
        <v>0</v>
      </c>
      <c r="DI113" s="183">
        <f>IF(DI67&gt;0,HLOOKUP(DI67,[1]Trav!$C$11:$O$31,$DD$105),0)</f>
        <v>0</v>
      </c>
      <c r="DJ113" s="183">
        <f>IF(DJ67&gt;0,HLOOKUP(DJ67,[1]Trav!$C$11:$O$31,$DD$105),0)</f>
        <v>0</v>
      </c>
      <c r="DK113" s="183">
        <f>IF(DK67&gt;0,HLOOKUP(DK67,[1]Trav!$C$11:$O$31,$DD$105),0)</f>
        <v>0</v>
      </c>
      <c r="DL113" s="183">
        <f>IF(DL67&gt;0,HLOOKUP(DL67,[1]Trav!$C$11:$O$31,$DD$105),0)</f>
        <v>0</v>
      </c>
      <c r="DM113" s="183">
        <f>IF(DM67&gt;0,HLOOKUP(DM67,[1]Trav!$C$11:$O$31,$DD$105),0)</f>
        <v>0</v>
      </c>
      <c r="DN113" s="183">
        <f>IF(DN67&gt;0,HLOOKUP(DN67,[1]Trav!$C$11:$O$31,$DD$105),0)</f>
        <v>0</v>
      </c>
      <c r="DO113" s="183">
        <f>IF(DO67&gt;0,HLOOKUP(DO67,[1]Trav!$C$11:$O$31,$DD$105),0)</f>
        <v>0</v>
      </c>
      <c r="DP113" s="183">
        <f>IF(DP67&gt;0,HLOOKUP(DP67,[1]Trav!$C$11:$O$31,$DD$105),0)</f>
        <v>0</v>
      </c>
      <c r="DQ113" s="183">
        <f>IF(DQ67&gt;0,HLOOKUP(DQ67,[1]Trav!$C$11:$O$31,$DD$105),0)</f>
        <v>0</v>
      </c>
      <c r="DR113" s="183">
        <f>IF(DR67&gt;0,HLOOKUP(DR67,[1]Trav!$C$11:$O$31,$DD$105),0)</f>
        <v>0</v>
      </c>
      <c r="DS113" s="183">
        <f>IF(DS67&gt;0,HLOOKUP(DS67,[1]Trav!$C$11:$O$31,$DD$105),0)</f>
        <v>0</v>
      </c>
      <c r="DT113" s="183">
        <f>IF(DT67&gt;0,HLOOKUP(DT67,[1]Trav!$C$11:$O$31,$DD$105),0)</f>
        <v>0</v>
      </c>
      <c r="DU113" s="183">
        <f>IF(DU67&gt;0,HLOOKUP(DU67,[1]Trav!$C$11:$O$31,$DD$105),0)</f>
        <v>0</v>
      </c>
      <c r="DV113" s="183">
        <f>IF(DV67&gt;0,HLOOKUP(DV67,[1]Trav!$C$11:$O$31,$DD$105),0)</f>
        <v>0</v>
      </c>
      <c r="DW113" s="183">
        <f>IF(DW67&gt;0,HLOOKUP(DW67,[1]Trav!$C$11:$O$31,$DD$105),0)</f>
        <v>0</v>
      </c>
      <c r="DX113" s="183">
        <f>IF(DX67&gt;0,HLOOKUP(DX67,[1]Trav!$C$11:$O$31,$DD$105),0)</f>
        <v>0</v>
      </c>
      <c r="DY113" s="183">
        <f>IF(DY67&gt;0,HLOOKUP(DY67,[1]Trav!$C$11:$O$31,$DD$105),0)</f>
        <v>0</v>
      </c>
      <c r="DZ113" s="183">
        <f>IF(DZ67&gt;0,HLOOKUP(DZ67,[1]Trav!$C$11:$O$31,$DD$105),0)</f>
        <v>0</v>
      </c>
      <c r="EA113" s="183">
        <f>IF(EA67&gt;0,HLOOKUP(EA67,[1]Trav!$C$11:$O$31,$DD$105),0)</f>
        <v>0</v>
      </c>
      <c r="EB113" s="183">
        <f>IF(EB67&gt;0,HLOOKUP(EB67,[1]Trav!$C$11:$O$31,$DD$105),0)</f>
        <v>0</v>
      </c>
    </row>
    <row r="114" spans="1:132" x14ac:dyDescent="0.25">
      <c r="A114" s="2" t="s">
        <v>845</v>
      </c>
      <c r="B114" s="30">
        <f>F81</f>
        <v>0</v>
      </c>
      <c r="D114" s="190"/>
      <c r="AT114" s="182" t="str">
        <f t="shared" si="80"/>
        <v>lot9</v>
      </c>
      <c r="AV114" s="183">
        <f>IF(AV68&gt;0,HLOOKUP(AV68,[1]Trav!$C$11:$O$31,$AU$105),0)</f>
        <v>0</v>
      </c>
      <c r="AW114" s="183">
        <f>IF(AW68&gt;0,HLOOKUP(AW68,[1]Trav!$C$11:$O$31,$AU$105),0)</f>
        <v>0</v>
      </c>
      <c r="AX114" s="183">
        <f>IF(AX68&gt;0,HLOOKUP(AX68,[1]Trav!$C$11:$O$31,$AU$105),0)</f>
        <v>0</v>
      </c>
      <c r="AY114" s="183">
        <f>IF(AY68&gt;0,HLOOKUP(AY68,[1]Trav!$C$11:$O$31,$AU$105),0)</f>
        <v>0</v>
      </c>
      <c r="AZ114" s="183">
        <f>IF(AZ68&gt;0,HLOOKUP(AZ68,[1]Trav!$C$11:$O$31,$AU$105),0)</f>
        <v>0</v>
      </c>
      <c r="BA114" s="183">
        <f>IF(BA68&gt;0,HLOOKUP(BA68,[1]Trav!$C$11:$O$31,$AU$105),0)</f>
        <v>0</v>
      </c>
      <c r="BB114" s="183">
        <f>IF(BB68&gt;0,HLOOKUP(BB68,[1]Trav!$C$11:$O$31,$AU$105),0)</f>
        <v>0</v>
      </c>
      <c r="BC114" s="183">
        <f>IF(BC68&gt;0,HLOOKUP(BC68,[1]Trav!$C$11:$O$31,$AU$105),0)</f>
        <v>0</v>
      </c>
      <c r="BD114" s="183">
        <f>IF(BD68&gt;0,HLOOKUP(BD68,[1]Trav!$C$11:$O$31,$AU$105),0)</f>
        <v>0</v>
      </c>
      <c r="BE114" s="183">
        <f>IF(BE68&gt;0,HLOOKUP(BE68,[1]Trav!$C$11:$O$31,$AU$105),0)</f>
        <v>0</v>
      </c>
      <c r="BF114" s="183">
        <f>IF(BF68&gt;0,HLOOKUP(BF68,[1]Trav!$C$11:$O$31,$AU$105),0)</f>
        <v>0</v>
      </c>
      <c r="BG114" s="183">
        <f>IF(BG68&gt;0,HLOOKUP(BG68,[1]Trav!$C$11:$O$31,$AU$105),0)</f>
        <v>0</v>
      </c>
      <c r="BH114" s="183">
        <f>IF(BH68&gt;0,HLOOKUP(BH68,[1]Trav!$C$11:$O$31,$AU$105),0)</f>
        <v>0</v>
      </c>
      <c r="BI114" s="183">
        <f>IF(BI68&gt;0,HLOOKUP(BI68,[1]Trav!$C$11:$O$31,$AU$105),0)</f>
        <v>0</v>
      </c>
      <c r="BJ114" s="183">
        <f>IF(BJ68&gt;0,HLOOKUP(BJ68,[1]Trav!$C$11:$O$31,$AU$105),0)</f>
        <v>0</v>
      </c>
      <c r="BK114" s="183">
        <f>IF(BK68&gt;0,HLOOKUP(BK68,[1]Trav!$C$11:$O$31,$AU$105),0)</f>
        <v>0</v>
      </c>
      <c r="BL114" s="183">
        <f>IF(BL68&gt;0,HLOOKUP(BL68,[1]Trav!$C$11:$O$31,$AU$105),0)</f>
        <v>0</v>
      </c>
      <c r="BM114" s="183">
        <f>IF(BM68&gt;0,HLOOKUP(BM68,[1]Trav!$C$11:$O$31,$AU$105),0)</f>
        <v>0</v>
      </c>
      <c r="BN114" s="183">
        <f>IF(BN68&gt;0,HLOOKUP(BN68,[1]Trav!$C$11:$O$31,$AU$105),0)</f>
        <v>0</v>
      </c>
      <c r="BO114" s="183">
        <f>IF(BO68&gt;0,HLOOKUP(BO68,[1]Trav!$C$11:$O$31,$AU$105),0)</f>
        <v>0</v>
      </c>
      <c r="BP114" s="183">
        <f>IF(BP68&gt;0,HLOOKUP(BP68,[1]Trav!$C$11:$O$31,$AU$105),0)</f>
        <v>0</v>
      </c>
      <c r="BQ114" s="183">
        <f>IF(BQ68&gt;0,HLOOKUP(BQ68,[1]Trav!$C$11:$O$31,$AU$105),0)</f>
        <v>0</v>
      </c>
      <c r="BR114" s="183">
        <f>IF(BR68&gt;0,HLOOKUP(BR68,[1]Trav!$C$11:$O$31,$AU$105),0)</f>
        <v>0</v>
      </c>
      <c r="BS114" s="183">
        <f>IF(BS68&gt;0,HLOOKUP(BS68,[1]Trav!$C$11:$O$31,$AU$105),0)</f>
        <v>0</v>
      </c>
      <c r="BZ114" s="182" t="str">
        <f t="shared" si="81"/>
        <v>lot9</v>
      </c>
      <c r="CB114" s="183">
        <f>IF(CB68&gt;0,HLOOKUP(CB68,[1]Trav!$C$11:$O$31,$CA$105),0)</f>
        <v>0</v>
      </c>
      <c r="CC114" s="183">
        <f>IF(CC68&gt;0,HLOOKUP(CC68,[1]Trav!$C$11:$O$31,$CA$105),0)</f>
        <v>0</v>
      </c>
      <c r="CD114" s="183">
        <f>IF(CD68&gt;0,HLOOKUP(CD68,[1]Trav!$C$11:$O$31,$CA$105),0)</f>
        <v>0</v>
      </c>
      <c r="CE114" s="183">
        <f>IF(CE68&gt;0,HLOOKUP(CE68,[1]Trav!$C$11:$O$31,$CA$105),0)</f>
        <v>0</v>
      </c>
      <c r="CF114" s="183">
        <f>IF(CF68&gt;0,HLOOKUP(CF68,[1]Trav!$C$11:$O$31,$CA$105),0)</f>
        <v>0</v>
      </c>
      <c r="CG114" s="183">
        <f>IF(CG68&gt;0,HLOOKUP(CG68,[1]Trav!$C$11:$O$31,$CA$105),0)</f>
        <v>0</v>
      </c>
      <c r="CH114" s="183">
        <f>IF(CH68&gt;0,HLOOKUP(CH68,[1]Trav!$C$11:$O$31,$CA$105),0)</f>
        <v>0</v>
      </c>
      <c r="CI114" s="183">
        <f>IF(CI68&gt;0,HLOOKUP(CI68,[1]Trav!$C$11:$O$31,$CA$105),0)</f>
        <v>0</v>
      </c>
      <c r="CJ114" s="183">
        <f>IF(CJ68&gt;0,HLOOKUP(CJ68,[1]Trav!$C$11:$O$31,$CA$105),0)</f>
        <v>0</v>
      </c>
      <c r="CK114" s="183">
        <f>IF(CK68&gt;0,HLOOKUP(CK68,[1]Trav!$C$11:$O$31,$CA$105),0)</f>
        <v>0</v>
      </c>
      <c r="CL114" s="183">
        <f>IF(CL68&gt;0,HLOOKUP(CL68,[1]Trav!$C$11:$O$31,$CA$105),0)</f>
        <v>0</v>
      </c>
      <c r="CM114" s="183">
        <f>IF(CM68&gt;0,HLOOKUP(CM68,[1]Trav!$C$11:$O$31,$CA$105),0)</f>
        <v>0</v>
      </c>
      <c r="CN114" s="183">
        <f>IF(CN68&gt;0,HLOOKUP(CN68,[1]Trav!$C$11:$O$31,$CA$105),0)</f>
        <v>0</v>
      </c>
      <c r="CO114" s="183">
        <f>IF(CO68&gt;0,HLOOKUP(CO68,[1]Trav!$C$11:$O$31,$CA$105),0)</f>
        <v>0</v>
      </c>
      <c r="CP114" s="183">
        <f>IF(CP68&gt;0,HLOOKUP(CP68,[1]Trav!$C$11:$O$31,$CA$105),0)</f>
        <v>0</v>
      </c>
      <c r="CQ114" s="183">
        <f>IF(CQ68&gt;0,HLOOKUP(CQ68,[1]Trav!$C$11:$O$31,$CA$105),0)</f>
        <v>0</v>
      </c>
      <c r="CR114" s="183">
        <f>IF(CR68&gt;0,HLOOKUP(CR68,[1]Trav!$C$11:$O$31,$CA$105),0)</f>
        <v>0</v>
      </c>
      <c r="CS114" s="183">
        <f>IF(CS68&gt;0,HLOOKUP(CS68,[1]Trav!$C$11:$O$31,$CA$105),0)</f>
        <v>0</v>
      </c>
      <c r="CT114" s="183">
        <f>IF(CT68&gt;0,HLOOKUP(CT68,[1]Trav!$C$11:$O$31,$CA$105),0)</f>
        <v>0</v>
      </c>
      <c r="CU114" s="183">
        <f>IF(CU68&gt;0,HLOOKUP(CU68,[1]Trav!$C$11:$O$31,$CA$105),0)</f>
        <v>0</v>
      </c>
      <c r="CV114" s="183">
        <f>IF(CV68&gt;0,HLOOKUP(CV68,[1]Trav!$C$11:$O$31,$CA$105),0)</f>
        <v>0</v>
      </c>
      <c r="CW114" s="183">
        <f>IF(CW68&gt;0,HLOOKUP(CW68,[1]Trav!$C$11:$O$31,$CA$105),0)</f>
        <v>0</v>
      </c>
      <c r="CX114" s="183">
        <f>IF(CX68&gt;0,HLOOKUP(CX68,[1]Trav!$C$11:$O$31,$CA$105),0)</f>
        <v>0</v>
      </c>
      <c r="CY114" s="183">
        <f>IF(CY68&gt;0,HLOOKUP(CY68,[1]Trav!$C$11:$O$31,$CA$105),0)</f>
        <v>0</v>
      </c>
      <c r="DC114" s="182" t="str">
        <f t="shared" si="82"/>
        <v>lot9</v>
      </c>
      <c r="DE114" s="183">
        <f>IF(DE68&gt;0,HLOOKUP(DE68,[1]Trav!$C$11:$O$31,$DD$105),0)</f>
        <v>0</v>
      </c>
      <c r="DF114" s="183">
        <f>IF(DF68&gt;0,HLOOKUP(DF68,[1]Trav!$C$11:$O$31,$DD$105),0)</f>
        <v>0</v>
      </c>
      <c r="DG114" s="183">
        <f>IF(DG68&gt;0,HLOOKUP(DG68,[1]Trav!$C$11:$O$31,$DD$105),0)</f>
        <v>0</v>
      </c>
      <c r="DH114" s="183">
        <f>IF(DH68&gt;0,HLOOKUP(DH68,[1]Trav!$C$11:$O$31,$DD$105),0)</f>
        <v>0</v>
      </c>
      <c r="DI114" s="183">
        <f>IF(DI68&gt;0,HLOOKUP(DI68,[1]Trav!$C$11:$O$31,$DD$105),0)</f>
        <v>0</v>
      </c>
      <c r="DJ114" s="183">
        <f>IF(DJ68&gt;0,HLOOKUP(DJ68,[1]Trav!$C$11:$O$31,$DD$105),0)</f>
        <v>0</v>
      </c>
      <c r="DK114" s="183">
        <f>IF(DK68&gt;0,HLOOKUP(DK68,[1]Trav!$C$11:$O$31,$DD$105),0)</f>
        <v>0</v>
      </c>
      <c r="DL114" s="183">
        <f>IF(DL68&gt;0,HLOOKUP(DL68,[1]Trav!$C$11:$O$31,$DD$105),0)</f>
        <v>0</v>
      </c>
      <c r="DM114" s="183">
        <f>IF(DM68&gt;0,HLOOKUP(DM68,[1]Trav!$C$11:$O$31,$DD$105),0)</f>
        <v>0</v>
      </c>
      <c r="DN114" s="183">
        <f>IF(DN68&gt;0,HLOOKUP(DN68,[1]Trav!$C$11:$O$31,$DD$105),0)</f>
        <v>0</v>
      </c>
      <c r="DO114" s="183">
        <f>IF(DO68&gt;0,HLOOKUP(DO68,[1]Trav!$C$11:$O$31,$DD$105),0)</f>
        <v>0</v>
      </c>
      <c r="DP114" s="183">
        <f>IF(DP68&gt;0,HLOOKUP(DP68,[1]Trav!$C$11:$O$31,$DD$105),0)</f>
        <v>0</v>
      </c>
      <c r="DQ114" s="183">
        <f>IF(DQ68&gt;0,HLOOKUP(DQ68,[1]Trav!$C$11:$O$31,$DD$105),0)</f>
        <v>0</v>
      </c>
      <c r="DR114" s="183">
        <f>IF(DR68&gt;0,HLOOKUP(DR68,[1]Trav!$C$11:$O$31,$DD$105),0)</f>
        <v>0</v>
      </c>
      <c r="DS114" s="183">
        <f>IF(DS68&gt;0,HLOOKUP(DS68,[1]Trav!$C$11:$O$31,$DD$105),0)</f>
        <v>0</v>
      </c>
      <c r="DT114" s="183">
        <f>IF(DT68&gt;0,HLOOKUP(DT68,[1]Trav!$C$11:$O$31,$DD$105),0)</f>
        <v>0</v>
      </c>
      <c r="DU114" s="183">
        <f>IF(DU68&gt;0,HLOOKUP(DU68,[1]Trav!$C$11:$O$31,$DD$105),0)</f>
        <v>0</v>
      </c>
      <c r="DV114" s="183">
        <f>IF(DV68&gt;0,HLOOKUP(DV68,[1]Trav!$C$11:$O$31,$DD$105),0)</f>
        <v>0</v>
      </c>
      <c r="DW114" s="183">
        <f>IF(DW68&gt;0,HLOOKUP(DW68,[1]Trav!$C$11:$O$31,$DD$105),0)</f>
        <v>0</v>
      </c>
      <c r="DX114" s="183">
        <f>IF(DX68&gt;0,HLOOKUP(DX68,[1]Trav!$C$11:$O$31,$DD$105),0)</f>
        <v>0</v>
      </c>
      <c r="DY114" s="183">
        <f>IF(DY68&gt;0,HLOOKUP(DY68,[1]Trav!$C$11:$O$31,$DD$105),0)</f>
        <v>0</v>
      </c>
      <c r="DZ114" s="183">
        <f>IF(DZ68&gt;0,HLOOKUP(DZ68,[1]Trav!$C$11:$O$31,$DD$105),0)</f>
        <v>0</v>
      </c>
      <c r="EA114" s="183">
        <f>IF(EA68&gt;0,HLOOKUP(EA68,[1]Trav!$C$11:$O$31,$DD$105),0)</f>
        <v>0</v>
      </c>
      <c r="EB114" s="183">
        <f>IF(EB68&gt;0,HLOOKUP(EB68,[1]Trav!$C$11:$O$31,$DD$105),0)</f>
        <v>0</v>
      </c>
    </row>
    <row r="115" spans="1:132" x14ac:dyDescent="0.25">
      <c r="A115" s="2" t="s">
        <v>846</v>
      </c>
      <c r="B115" s="30">
        <f>F83+F84</f>
        <v>0</v>
      </c>
      <c r="D115" s="190"/>
      <c r="AT115" s="182" t="str">
        <f t="shared" si="80"/>
        <v>lot10</v>
      </c>
      <c r="AV115" s="183">
        <f>IF(AV69&gt;0,HLOOKUP(AV69,[1]Trav!$C$11:$O$31,$AU$105),0)</f>
        <v>0</v>
      </c>
      <c r="AW115" s="183">
        <f>IF(AW69&gt;0,HLOOKUP(AW69,[1]Trav!$C$11:$O$31,$AU$105),0)</f>
        <v>0</v>
      </c>
      <c r="AX115" s="183">
        <f>IF(AX69&gt;0,HLOOKUP(AX69,[1]Trav!$C$11:$O$31,$AU$105),0)</f>
        <v>0</v>
      </c>
      <c r="AY115" s="183">
        <f>IF(AY69&gt;0,HLOOKUP(AY69,[1]Trav!$C$11:$O$31,$AU$105),0)</f>
        <v>0</v>
      </c>
      <c r="AZ115" s="183">
        <f>IF(AZ69&gt;0,HLOOKUP(AZ69,[1]Trav!$C$11:$O$31,$AU$105),0)</f>
        <v>0</v>
      </c>
      <c r="BA115" s="183">
        <f>IF(BA69&gt;0,HLOOKUP(BA69,[1]Trav!$C$11:$O$31,$AU$105),0)</f>
        <v>0</v>
      </c>
      <c r="BB115" s="183">
        <f>IF(BB69&gt;0,HLOOKUP(BB69,[1]Trav!$C$11:$O$31,$AU$105),0)</f>
        <v>0</v>
      </c>
      <c r="BC115" s="183">
        <f>IF(BC69&gt;0,HLOOKUP(BC69,[1]Trav!$C$11:$O$31,$AU$105),0)</f>
        <v>0</v>
      </c>
      <c r="BD115" s="183">
        <f>IF(BD69&gt;0,HLOOKUP(BD69,[1]Trav!$C$11:$O$31,$AU$105),0)</f>
        <v>0</v>
      </c>
      <c r="BE115" s="183">
        <f>IF(BE69&gt;0,HLOOKUP(BE69,[1]Trav!$C$11:$O$31,$AU$105),0)</f>
        <v>0</v>
      </c>
      <c r="BF115" s="183">
        <f>IF(BF69&gt;0,HLOOKUP(BF69,[1]Trav!$C$11:$O$31,$AU$105),0)</f>
        <v>0</v>
      </c>
      <c r="BG115" s="183">
        <f>IF(BG69&gt;0,HLOOKUP(BG69,[1]Trav!$C$11:$O$31,$AU$105),0)</f>
        <v>0</v>
      </c>
      <c r="BH115" s="183">
        <f>IF(BH69&gt;0,HLOOKUP(BH69,[1]Trav!$C$11:$O$31,$AU$105),0)</f>
        <v>0</v>
      </c>
      <c r="BI115" s="183">
        <f>IF(BI69&gt;0,HLOOKUP(BI69,[1]Trav!$C$11:$O$31,$AU$105),0)</f>
        <v>0</v>
      </c>
      <c r="BJ115" s="183">
        <f>IF(BJ69&gt;0,HLOOKUP(BJ69,[1]Trav!$C$11:$O$31,$AU$105),0)</f>
        <v>0</v>
      </c>
      <c r="BK115" s="183">
        <f>IF(BK69&gt;0,HLOOKUP(BK69,[1]Trav!$C$11:$O$31,$AU$105),0)</f>
        <v>0</v>
      </c>
      <c r="BL115" s="183">
        <f>IF(BL69&gt;0,HLOOKUP(BL69,[1]Trav!$C$11:$O$31,$AU$105),0)</f>
        <v>0</v>
      </c>
      <c r="BM115" s="183">
        <f>IF(BM69&gt;0,HLOOKUP(BM69,[1]Trav!$C$11:$O$31,$AU$105),0)</f>
        <v>0</v>
      </c>
      <c r="BN115" s="183">
        <f>IF(BN69&gt;0,HLOOKUP(BN69,[1]Trav!$C$11:$O$31,$AU$105),0)</f>
        <v>0</v>
      </c>
      <c r="BO115" s="183">
        <f>IF(BO69&gt;0,HLOOKUP(BO69,[1]Trav!$C$11:$O$31,$AU$105),0)</f>
        <v>0</v>
      </c>
      <c r="BP115" s="183">
        <f>IF(BP69&gt;0,HLOOKUP(BP69,[1]Trav!$C$11:$O$31,$AU$105),0)</f>
        <v>0</v>
      </c>
      <c r="BQ115" s="183">
        <f>IF(BQ69&gt;0,HLOOKUP(BQ69,[1]Trav!$C$11:$O$31,$AU$105),0)</f>
        <v>0</v>
      </c>
      <c r="BR115" s="183">
        <f>IF(BR69&gt;0,HLOOKUP(BR69,[1]Trav!$C$11:$O$31,$AU$105),0)</f>
        <v>0</v>
      </c>
      <c r="BS115" s="183">
        <f>IF(BS69&gt;0,HLOOKUP(BS69,[1]Trav!$C$11:$O$31,$AU$105),0)</f>
        <v>0</v>
      </c>
      <c r="BZ115" s="182" t="str">
        <f t="shared" si="81"/>
        <v>lot10</v>
      </c>
      <c r="CB115" s="183">
        <f>IF(CB69&gt;0,HLOOKUP(CB69,[1]Trav!$C$11:$O$31,$CA$105),0)</f>
        <v>0</v>
      </c>
      <c r="CC115" s="183">
        <f>IF(CC69&gt;0,HLOOKUP(CC69,[1]Trav!$C$11:$O$31,$CA$105),0)</f>
        <v>0</v>
      </c>
      <c r="CD115" s="183">
        <f>IF(CD69&gt;0,HLOOKUP(CD69,[1]Trav!$C$11:$O$31,$CA$105),0)</f>
        <v>0</v>
      </c>
      <c r="CE115" s="183">
        <f>IF(CE69&gt;0,HLOOKUP(CE69,[1]Trav!$C$11:$O$31,$CA$105),0)</f>
        <v>0</v>
      </c>
      <c r="CF115" s="183">
        <f>IF(CF69&gt;0,HLOOKUP(CF69,[1]Trav!$C$11:$O$31,$CA$105),0)</f>
        <v>0</v>
      </c>
      <c r="CG115" s="183">
        <f>IF(CG69&gt;0,HLOOKUP(CG69,[1]Trav!$C$11:$O$31,$CA$105),0)</f>
        <v>0</v>
      </c>
      <c r="CH115" s="183">
        <f>IF(CH69&gt;0,HLOOKUP(CH69,[1]Trav!$C$11:$O$31,$CA$105),0)</f>
        <v>0</v>
      </c>
      <c r="CI115" s="183">
        <f>IF(CI69&gt;0,HLOOKUP(CI69,[1]Trav!$C$11:$O$31,$CA$105),0)</f>
        <v>0</v>
      </c>
      <c r="CJ115" s="183">
        <f>IF(CJ69&gt;0,HLOOKUP(CJ69,[1]Trav!$C$11:$O$31,$CA$105),0)</f>
        <v>0</v>
      </c>
      <c r="CK115" s="183">
        <f>IF(CK69&gt;0,HLOOKUP(CK69,[1]Trav!$C$11:$O$31,$CA$105),0)</f>
        <v>0</v>
      </c>
      <c r="CL115" s="183">
        <f>IF(CL69&gt;0,HLOOKUP(CL69,[1]Trav!$C$11:$O$31,$CA$105),0)</f>
        <v>0</v>
      </c>
      <c r="CM115" s="183">
        <f>IF(CM69&gt;0,HLOOKUP(CM69,[1]Trav!$C$11:$O$31,$CA$105),0)</f>
        <v>0</v>
      </c>
      <c r="CN115" s="183">
        <f>IF(CN69&gt;0,HLOOKUP(CN69,[1]Trav!$C$11:$O$31,$CA$105),0)</f>
        <v>0</v>
      </c>
      <c r="CO115" s="183">
        <f>IF(CO69&gt;0,HLOOKUP(CO69,[1]Trav!$C$11:$O$31,$CA$105),0)</f>
        <v>0</v>
      </c>
      <c r="CP115" s="183">
        <f>IF(CP69&gt;0,HLOOKUP(CP69,[1]Trav!$C$11:$O$31,$CA$105),0)</f>
        <v>0</v>
      </c>
      <c r="CQ115" s="183">
        <f>IF(CQ69&gt;0,HLOOKUP(CQ69,[1]Trav!$C$11:$O$31,$CA$105),0)</f>
        <v>0</v>
      </c>
      <c r="CR115" s="183">
        <f>IF(CR69&gt;0,HLOOKUP(CR69,[1]Trav!$C$11:$O$31,$CA$105),0)</f>
        <v>0</v>
      </c>
      <c r="CS115" s="183">
        <f>IF(CS69&gt;0,HLOOKUP(CS69,[1]Trav!$C$11:$O$31,$CA$105),0)</f>
        <v>0</v>
      </c>
      <c r="CT115" s="183">
        <f>IF(CT69&gt;0,HLOOKUP(CT69,[1]Trav!$C$11:$O$31,$CA$105),0)</f>
        <v>0</v>
      </c>
      <c r="CU115" s="183">
        <f>IF(CU69&gt;0,HLOOKUP(CU69,[1]Trav!$C$11:$O$31,$CA$105),0)</f>
        <v>0</v>
      </c>
      <c r="CV115" s="183">
        <f>IF(CV69&gt;0,HLOOKUP(CV69,[1]Trav!$C$11:$O$31,$CA$105),0)</f>
        <v>0</v>
      </c>
      <c r="CW115" s="183">
        <f>IF(CW69&gt;0,HLOOKUP(CW69,[1]Trav!$C$11:$O$31,$CA$105),0)</f>
        <v>0</v>
      </c>
      <c r="CX115" s="183">
        <f>IF(CX69&gt;0,HLOOKUP(CX69,[1]Trav!$C$11:$O$31,$CA$105),0)</f>
        <v>0</v>
      </c>
      <c r="CY115" s="183">
        <f>IF(CY69&gt;0,HLOOKUP(CY69,[1]Trav!$C$11:$O$31,$CA$105),0)</f>
        <v>0</v>
      </c>
      <c r="DC115" s="182" t="str">
        <f t="shared" si="82"/>
        <v>lot10</v>
      </c>
      <c r="DE115" s="183">
        <f>IF(DE69&gt;0,HLOOKUP(DE69,[1]Trav!$C$11:$O$31,$DD$105),0)</f>
        <v>0</v>
      </c>
      <c r="DF115" s="183">
        <f>IF(DF69&gt;0,HLOOKUP(DF69,[1]Trav!$C$11:$O$31,$DD$105),0)</f>
        <v>0</v>
      </c>
      <c r="DG115" s="183">
        <f>IF(DG69&gt;0,HLOOKUP(DG69,[1]Trav!$C$11:$O$31,$DD$105),0)</f>
        <v>0</v>
      </c>
      <c r="DH115" s="183">
        <f>IF(DH69&gt;0,HLOOKUP(DH69,[1]Trav!$C$11:$O$31,$DD$105),0)</f>
        <v>0</v>
      </c>
      <c r="DI115" s="183">
        <f>IF(DI69&gt;0,HLOOKUP(DI69,[1]Trav!$C$11:$O$31,$DD$105),0)</f>
        <v>0</v>
      </c>
      <c r="DJ115" s="183">
        <f>IF(DJ69&gt;0,HLOOKUP(DJ69,[1]Trav!$C$11:$O$31,$DD$105),0)</f>
        <v>0</v>
      </c>
      <c r="DK115" s="183">
        <f>IF(DK69&gt;0,HLOOKUP(DK69,[1]Trav!$C$11:$O$31,$DD$105),0)</f>
        <v>0</v>
      </c>
      <c r="DL115" s="183">
        <f>IF(DL69&gt;0,HLOOKUP(DL69,[1]Trav!$C$11:$O$31,$DD$105),0)</f>
        <v>0</v>
      </c>
      <c r="DM115" s="183">
        <f>IF(DM69&gt;0,HLOOKUP(DM69,[1]Trav!$C$11:$O$31,$DD$105),0)</f>
        <v>0</v>
      </c>
      <c r="DN115" s="183">
        <f>IF(DN69&gt;0,HLOOKUP(DN69,[1]Trav!$C$11:$O$31,$DD$105),0)</f>
        <v>0</v>
      </c>
      <c r="DO115" s="183">
        <f>IF(DO69&gt;0,HLOOKUP(DO69,[1]Trav!$C$11:$O$31,$DD$105),0)</f>
        <v>0</v>
      </c>
      <c r="DP115" s="183">
        <f>IF(DP69&gt;0,HLOOKUP(DP69,[1]Trav!$C$11:$O$31,$DD$105),0)</f>
        <v>0</v>
      </c>
      <c r="DQ115" s="183">
        <f>IF(DQ69&gt;0,HLOOKUP(DQ69,[1]Trav!$C$11:$O$31,$DD$105),0)</f>
        <v>0</v>
      </c>
      <c r="DR115" s="183">
        <f>IF(DR69&gt;0,HLOOKUP(DR69,[1]Trav!$C$11:$O$31,$DD$105),0)</f>
        <v>0</v>
      </c>
      <c r="DS115" s="183">
        <f>IF(DS69&gt;0,HLOOKUP(DS69,[1]Trav!$C$11:$O$31,$DD$105),0)</f>
        <v>0</v>
      </c>
      <c r="DT115" s="183">
        <f>IF(DT69&gt;0,HLOOKUP(DT69,[1]Trav!$C$11:$O$31,$DD$105),0)</f>
        <v>0</v>
      </c>
      <c r="DU115" s="183">
        <f>IF(DU69&gt;0,HLOOKUP(DU69,[1]Trav!$C$11:$O$31,$DD$105),0)</f>
        <v>0</v>
      </c>
      <c r="DV115" s="183">
        <f>IF(DV69&gt;0,HLOOKUP(DV69,[1]Trav!$C$11:$O$31,$DD$105),0)</f>
        <v>0</v>
      </c>
      <c r="DW115" s="183">
        <f>IF(DW69&gt;0,HLOOKUP(DW69,[1]Trav!$C$11:$O$31,$DD$105),0)</f>
        <v>0</v>
      </c>
      <c r="DX115" s="183">
        <f>IF(DX69&gt;0,HLOOKUP(DX69,[1]Trav!$C$11:$O$31,$DD$105),0)</f>
        <v>0</v>
      </c>
      <c r="DY115" s="183">
        <f>IF(DY69&gt;0,HLOOKUP(DY69,[1]Trav!$C$11:$O$31,$DD$105),0)</f>
        <v>0</v>
      </c>
      <c r="DZ115" s="183">
        <f>IF(DZ69&gt;0,HLOOKUP(DZ69,[1]Trav!$C$11:$O$31,$DD$105),0)</f>
        <v>0</v>
      </c>
      <c r="EA115" s="183">
        <f>IF(EA69&gt;0,HLOOKUP(EA69,[1]Trav!$C$11:$O$31,$DD$105),0)</f>
        <v>0</v>
      </c>
      <c r="EB115" s="183">
        <f>IF(EB69&gt;0,HLOOKUP(EB69,[1]Trav!$C$11:$O$31,$DD$105),0)</f>
        <v>0</v>
      </c>
    </row>
    <row r="116" spans="1:132" x14ac:dyDescent="0.25">
      <c r="A116" s="2" t="s">
        <v>847</v>
      </c>
      <c r="B116" s="30">
        <f>F86</f>
        <v>0</v>
      </c>
      <c r="D116" s="190"/>
      <c r="CB116" s="165"/>
      <c r="CC116" s="165"/>
      <c r="CD116" s="165"/>
      <c r="CE116" s="165"/>
      <c r="CF116" s="165"/>
      <c r="CG116" s="165"/>
      <c r="CH116" s="165"/>
      <c r="CI116" s="165"/>
      <c r="CJ116" s="165"/>
      <c r="CK116" s="165"/>
      <c r="CL116" s="165"/>
      <c r="CM116" s="165"/>
      <c r="CN116" s="165"/>
      <c r="CO116" s="165"/>
      <c r="CP116" s="165"/>
      <c r="CQ116" s="165"/>
      <c r="CR116" s="165"/>
      <c r="CS116" s="165"/>
      <c r="CT116" s="165"/>
      <c r="CU116" s="165"/>
      <c r="CV116" s="165"/>
      <c r="CW116" s="165"/>
      <c r="CX116" s="165"/>
      <c r="CY116" s="165"/>
      <c r="DE116" s="165"/>
      <c r="DF116" s="165"/>
      <c r="DG116" s="165"/>
      <c r="DH116" s="165"/>
      <c r="DI116" s="165"/>
      <c r="DJ116" s="165"/>
      <c r="DK116" s="165"/>
      <c r="DL116" s="165"/>
      <c r="DM116" s="165"/>
      <c r="DN116" s="165"/>
      <c r="DO116" s="165"/>
      <c r="DP116" s="165"/>
      <c r="DQ116" s="165"/>
      <c r="DR116" s="165"/>
      <c r="DS116" s="165"/>
      <c r="DT116" s="165"/>
      <c r="DU116" s="165"/>
      <c r="DV116" s="165"/>
      <c r="DW116" s="165"/>
      <c r="DX116" s="165"/>
      <c r="DY116" s="165"/>
      <c r="DZ116" s="165"/>
      <c r="EA116" s="165"/>
      <c r="EB116" s="165"/>
    </row>
    <row r="117" spans="1:132" x14ac:dyDescent="0.25">
      <c r="D117" s="190"/>
      <c r="AT117" s="40" t="s">
        <v>848</v>
      </c>
      <c r="AV117" s="168">
        <f>SUM(AV106:AV115)</f>
        <v>0</v>
      </c>
      <c r="AW117" s="168">
        <f t="shared" ref="AW117:BS117" si="83">SUM(AW106:AW115)</f>
        <v>0</v>
      </c>
      <c r="AX117" s="168">
        <f t="shared" si="83"/>
        <v>0</v>
      </c>
      <c r="AY117" s="168">
        <f t="shared" si="83"/>
        <v>0</v>
      </c>
      <c r="AZ117" s="168">
        <f t="shared" si="83"/>
        <v>14</v>
      </c>
      <c r="BA117" s="168">
        <f t="shared" si="83"/>
        <v>14</v>
      </c>
      <c r="BB117" s="168">
        <f t="shared" si="83"/>
        <v>7</v>
      </c>
      <c r="BC117" s="168">
        <f t="shared" si="83"/>
        <v>7</v>
      </c>
      <c r="BD117" s="168">
        <f t="shared" si="83"/>
        <v>7</v>
      </c>
      <c r="BE117" s="168">
        <f t="shared" si="83"/>
        <v>17.5</v>
      </c>
      <c r="BF117" s="168">
        <f t="shared" si="83"/>
        <v>17.5</v>
      </c>
      <c r="BG117" s="168">
        <f t="shared" si="83"/>
        <v>17.5</v>
      </c>
      <c r="BH117" s="168">
        <f t="shared" si="83"/>
        <v>17.5</v>
      </c>
      <c r="BI117" s="168">
        <f t="shared" si="83"/>
        <v>17.5</v>
      </c>
      <c r="BJ117" s="168">
        <f t="shared" si="83"/>
        <v>17.5</v>
      </c>
      <c r="BK117" s="168">
        <f t="shared" si="83"/>
        <v>17.5</v>
      </c>
      <c r="BL117" s="168">
        <f t="shared" si="83"/>
        <v>17.5</v>
      </c>
      <c r="BM117" s="168">
        <f t="shared" si="83"/>
        <v>17.5</v>
      </c>
      <c r="BN117" s="168">
        <f t="shared" si="83"/>
        <v>17.5</v>
      </c>
      <c r="BO117" s="168">
        <f t="shared" si="83"/>
        <v>17.5</v>
      </c>
      <c r="BP117" s="168">
        <f t="shared" si="83"/>
        <v>21</v>
      </c>
      <c r="BQ117" s="168">
        <f t="shared" si="83"/>
        <v>0</v>
      </c>
      <c r="BR117" s="168">
        <f t="shared" si="83"/>
        <v>0</v>
      </c>
      <c r="BS117" s="168">
        <f t="shared" si="83"/>
        <v>0</v>
      </c>
      <c r="CA117" s="40" t="s">
        <v>848</v>
      </c>
      <c r="CB117" s="168">
        <f>SUM(CB106:CB115)</f>
        <v>0</v>
      </c>
      <c r="CC117" s="168">
        <f t="shared" ref="CC117:CY117" si="84">SUM(CC106:CC115)</f>
        <v>0</v>
      </c>
      <c r="CD117" s="168">
        <f t="shared" si="84"/>
        <v>0</v>
      </c>
      <c r="CE117" s="168">
        <f t="shared" si="84"/>
        <v>0</v>
      </c>
      <c r="CF117" s="168">
        <f t="shared" si="84"/>
        <v>0</v>
      </c>
      <c r="CG117" s="168">
        <f t="shared" si="84"/>
        <v>0</v>
      </c>
      <c r="CH117" s="168">
        <f t="shared" si="84"/>
        <v>0</v>
      </c>
      <c r="CI117" s="168">
        <f t="shared" si="84"/>
        <v>0</v>
      </c>
      <c r="CJ117" s="168">
        <f t="shared" si="84"/>
        <v>0</v>
      </c>
      <c r="CK117" s="168">
        <f t="shared" si="84"/>
        <v>0</v>
      </c>
      <c r="CL117" s="168">
        <f t="shared" si="84"/>
        <v>0</v>
      </c>
      <c r="CM117" s="168">
        <f t="shared" si="84"/>
        <v>0</v>
      </c>
      <c r="CN117" s="168">
        <f t="shared" si="84"/>
        <v>0</v>
      </c>
      <c r="CO117" s="168">
        <f t="shared" si="84"/>
        <v>0</v>
      </c>
      <c r="CP117" s="168">
        <f t="shared" si="84"/>
        <v>0</v>
      </c>
      <c r="CQ117" s="168">
        <f t="shared" si="84"/>
        <v>0</v>
      </c>
      <c r="CR117" s="168">
        <f t="shared" si="84"/>
        <v>0</v>
      </c>
      <c r="CS117" s="168">
        <f t="shared" si="84"/>
        <v>0</v>
      </c>
      <c r="CT117" s="168">
        <f t="shared" si="84"/>
        <v>0</v>
      </c>
      <c r="CU117" s="168">
        <f t="shared" si="84"/>
        <v>0</v>
      </c>
      <c r="CV117" s="168">
        <f t="shared" si="84"/>
        <v>0</v>
      </c>
      <c r="CW117" s="168">
        <f t="shared" si="84"/>
        <v>0</v>
      </c>
      <c r="CX117" s="168">
        <f t="shared" si="84"/>
        <v>0</v>
      </c>
      <c r="CY117" s="168">
        <f t="shared" si="84"/>
        <v>0</v>
      </c>
      <c r="DD117" s="40" t="s">
        <v>848</v>
      </c>
      <c r="DE117" s="168">
        <f>SUM(DE106:DE115)</f>
        <v>0</v>
      </c>
      <c r="DF117" s="168">
        <f t="shared" ref="DF117:EB117" si="85">SUM(DF106:DF115)</f>
        <v>0</v>
      </c>
      <c r="DG117" s="168">
        <f t="shared" si="85"/>
        <v>0</v>
      </c>
      <c r="DH117" s="168">
        <f t="shared" si="85"/>
        <v>0</v>
      </c>
      <c r="DI117" s="168">
        <f t="shared" si="85"/>
        <v>0</v>
      </c>
      <c r="DJ117" s="168">
        <f t="shared" si="85"/>
        <v>0</v>
      </c>
      <c r="DK117" s="168">
        <f t="shared" si="85"/>
        <v>0</v>
      </c>
      <c r="DL117" s="168">
        <f t="shared" si="85"/>
        <v>0</v>
      </c>
      <c r="DM117" s="168">
        <f t="shared" si="85"/>
        <v>0</v>
      </c>
      <c r="DN117" s="168">
        <f t="shared" si="85"/>
        <v>0</v>
      </c>
      <c r="DO117" s="168">
        <f t="shared" si="85"/>
        <v>0</v>
      </c>
      <c r="DP117" s="168">
        <f t="shared" si="85"/>
        <v>0</v>
      </c>
      <c r="DQ117" s="168">
        <f t="shared" si="85"/>
        <v>0</v>
      </c>
      <c r="DR117" s="168">
        <f t="shared" si="85"/>
        <v>0</v>
      </c>
      <c r="DS117" s="168">
        <f t="shared" si="85"/>
        <v>0</v>
      </c>
      <c r="DT117" s="168">
        <f t="shared" si="85"/>
        <v>0</v>
      </c>
      <c r="DU117" s="168">
        <f t="shared" si="85"/>
        <v>0</v>
      </c>
      <c r="DV117" s="168">
        <f t="shared" si="85"/>
        <v>0</v>
      </c>
      <c r="DW117" s="168">
        <f t="shared" si="85"/>
        <v>0</v>
      </c>
      <c r="DX117" s="168">
        <f t="shared" si="85"/>
        <v>0</v>
      </c>
      <c r="DY117" s="168">
        <f t="shared" si="85"/>
        <v>0</v>
      </c>
      <c r="DZ117" s="168">
        <f t="shared" si="85"/>
        <v>0</v>
      </c>
      <c r="EA117" s="168">
        <f t="shared" si="85"/>
        <v>0</v>
      </c>
      <c r="EB117" s="168">
        <f t="shared" si="85"/>
        <v>0</v>
      </c>
    </row>
    <row r="118" spans="1:132" x14ac:dyDescent="0.25">
      <c r="A118" s="2" t="s">
        <v>849</v>
      </c>
      <c r="B118" s="194">
        <f>B91+B95+B99+B103</f>
        <v>1683.4531199999992</v>
      </c>
      <c r="D118" s="195">
        <f>B118/Troupeau!$B$17</f>
        <v>42.08632799999998</v>
      </c>
      <c r="CB118" s="165"/>
      <c r="CC118" s="165"/>
      <c r="CD118" s="165"/>
      <c r="CE118" s="165"/>
      <c r="CF118" s="165"/>
      <c r="CG118" s="165"/>
      <c r="CH118" s="165"/>
      <c r="CI118" s="165"/>
      <c r="CJ118" s="165"/>
      <c r="CK118" s="165"/>
      <c r="CL118" s="165"/>
      <c r="CM118" s="165"/>
      <c r="CN118" s="165"/>
      <c r="CO118" s="165"/>
      <c r="CP118" s="165"/>
      <c r="CQ118" s="165"/>
      <c r="CR118" s="165"/>
      <c r="CS118" s="165"/>
      <c r="CT118" s="165"/>
      <c r="CU118" s="165"/>
      <c r="CV118" s="165"/>
      <c r="CW118" s="165"/>
      <c r="CX118" s="165"/>
      <c r="CY118" s="165"/>
      <c r="DE118" s="165"/>
      <c r="DF118" s="165"/>
      <c r="DG118" s="165"/>
      <c r="DH118" s="165"/>
      <c r="DI118" s="165"/>
      <c r="DJ118" s="165"/>
      <c r="DK118" s="165"/>
      <c r="DL118" s="165"/>
      <c r="DM118" s="165"/>
      <c r="DN118" s="165"/>
      <c r="DO118" s="165"/>
      <c r="DP118" s="165"/>
      <c r="DQ118" s="165"/>
      <c r="DR118" s="165"/>
      <c r="DS118" s="165"/>
      <c r="DT118" s="165"/>
      <c r="DU118" s="165"/>
      <c r="DV118" s="165"/>
      <c r="DW118" s="165"/>
      <c r="DX118" s="165"/>
      <c r="DY118" s="165"/>
      <c r="DZ118" s="165"/>
      <c r="EA118" s="165"/>
      <c r="EB118" s="165"/>
    </row>
    <row r="119" spans="1:132" x14ac:dyDescent="0.25">
      <c r="A119" s="2" t="s">
        <v>850</v>
      </c>
      <c r="B119" s="194">
        <f t="shared" ref="B119" si="86">B92+B96+B100+B104</f>
        <v>0</v>
      </c>
      <c r="D119" s="195">
        <f>IF(B119=0,0,B119/Troupeau!$C$17)</f>
        <v>0</v>
      </c>
      <c r="CB119" s="165"/>
      <c r="CC119" s="165"/>
      <c r="CD119" s="165"/>
      <c r="CE119" s="165"/>
      <c r="CF119" s="165"/>
      <c r="CG119" s="165"/>
      <c r="CH119" s="165"/>
      <c r="CI119" s="165"/>
      <c r="CJ119" s="165"/>
      <c r="CK119" s="165"/>
      <c r="CL119" s="165"/>
      <c r="CM119" s="165"/>
      <c r="CN119" s="165"/>
      <c r="CO119" s="165"/>
      <c r="CP119" s="165"/>
      <c r="CQ119" s="165"/>
      <c r="CR119" s="165"/>
      <c r="CS119" s="165"/>
      <c r="CT119" s="165"/>
      <c r="CU119" s="165"/>
      <c r="CV119" s="165"/>
      <c r="CW119" s="165"/>
      <c r="CX119" s="165"/>
      <c r="CY119" s="165"/>
      <c r="DE119" s="165"/>
      <c r="DF119" s="165"/>
      <c r="DG119" s="165"/>
      <c r="DH119" s="165"/>
      <c r="DI119" s="165"/>
      <c r="DJ119" s="165"/>
      <c r="DK119" s="165"/>
      <c r="DL119" s="165"/>
      <c r="DM119" s="165"/>
      <c r="DN119" s="165"/>
      <c r="DO119" s="165"/>
      <c r="DP119" s="165"/>
      <c r="DQ119" s="165"/>
      <c r="DR119" s="165"/>
      <c r="DS119" s="165"/>
      <c r="DT119" s="165"/>
      <c r="DU119" s="165"/>
      <c r="DV119" s="165"/>
      <c r="DW119" s="165"/>
      <c r="DX119" s="165"/>
      <c r="DY119" s="165"/>
      <c r="DZ119" s="165"/>
      <c r="EA119" s="165"/>
      <c r="EB119" s="165"/>
    </row>
    <row r="120" spans="1:132" x14ac:dyDescent="0.25">
      <c r="A120" s="2" t="s">
        <v>851</v>
      </c>
      <c r="B120" s="194">
        <f>B93+B97+B101+B105</f>
        <v>0</v>
      </c>
      <c r="D120" s="195">
        <f>IF(B120=0,0,B120/Troupeau!$D$17)</f>
        <v>0</v>
      </c>
    </row>
    <row r="122" spans="1:132" x14ac:dyDescent="0.25">
      <c r="A122" s="2" t="s">
        <v>852</v>
      </c>
      <c r="B122" s="194">
        <f>SUM(B118:B120)</f>
        <v>1683.4531199999992</v>
      </c>
    </row>
    <row r="123" spans="1:132" x14ac:dyDescent="0.25">
      <c r="A123" s="2" t="s">
        <v>839</v>
      </c>
      <c r="B123" s="30">
        <f>B108</f>
        <v>270</v>
      </c>
    </row>
    <row r="124" spans="1:132" x14ac:dyDescent="0.25">
      <c r="A124" s="2" t="s">
        <v>853</v>
      </c>
      <c r="B124" s="30">
        <f>B107</f>
        <v>400</v>
      </c>
    </row>
    <row r="125" spans="1:132" x14ac:dyDescent="0.25">
      <c r="A125" s="2" t="s">
        <v>854</v>
      </c>
      <c r="B125" s="30">
        <f>B112+B113</f>
        <v>0</v>
      </c>
    </row>
    <row r="126" spans="1:132" x14ac:dyDescent="0.25">
      <c r="A126" s="2" t="s">
        <v>855</v>
      </c>
      <c r="B126" s="30">
        <f>B114+B115+B116</f>
        <v>0</v>
      </c>
    </row>
    <row r="128" spans="1:132" x14ac:dyDescent="0.25">
      <c r="A128" s="2" t="s">
        <v>856</v>
      </c>
      <c r="B128" s="194">
        <f>SUM(B122:B126)</f>
        <v>2353.4531199999992</v>
      </c>
    </row>
    <row r="129" spans="1:2" x14ac:dyDescent="0.25">
      <c r="A129" s="2" t="s">
        <v>857</v>
      </c>
      <c r="B129" s="30">
        <f>IF(Scénario!K129=1,Travail!F77+Travail!F86,F86)</f>
        <v>0</v>
      </c>
    </row>
    <row r="130" spans="1:2" x14ac:dyDescent="0.25">
      <c r="A130" s="2" t="s">
        <v>858</v>
      </c>
      <c r="B130" s="194">
        <f>ROUND((B128-B129)/(Scénario!K4+Scénario!K6),0)</f>
        <v>2353</v>
      </c>
    </row>
    <row r="206" spans="3:3" x14ac:dyDescent="0.25">
      <c r="C206">
        <f>SUM(Travail!F63:F65)</f>
        <v>160</v>
      </c>
    </row>
  </sheetData>
  <mergeCells count="12">
    <mergeCell ref="AC1:AD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M289"/>
  <sheetViews>
    <sheetView topLeftCell="R22" zoomScale="90" zoomScaleNormal="90" workbookViewId="0">
      <selection activeCell="T38" sqref="T38"/>
    </sheetView>
  </sheetViews>
  <sheetFormatPr baseColWidth="10" defaultRowHeight="15" x14ac:dyDescent="0.25"/>
  <cols>
    <col min="1" max="1" width="52.85546875" bestFit="1" customWidth="1"/>
    <col min="2" max="8" width="11.85546875" customWidth="1"/>
    <col min="10" max="14" width="11.5703125" customWidth="1"/>
    <col min="15" max="15" width="5.5703125" style="201" customWidth="1"/>
    <col min="16" max="16" width="10.28515625" customWidth="1"/>
    <col min="17" max="17" width="11.42578125" customWidth="1"/>
    <col min="32" max="32" width="10.85546875" customWidth="1"/>
    <col min="37" max="37" width="4.28515625" customWidth="1"/>
    <col min="38" max="38" width="11.42578125" style="5"/>
    <col min="59" max="59" width="11.42578125" style="14"/>
  </cols>
  <sheetData>
    <row r="2" spans="1:59" ht="15" customHeight="1" x14ac:dyDescent="0.3">
      <c r="A2" s="198" t="s">
        <v>859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9" t="s">
        <v>860</v>
      </c>
      <c r="R2" s="23" t="s">
        <v>861</v>
      </c>
      <c r="S2" s="23"/>
      <c r="T2" t="s">
        <v>862</v>
      </c>
    </row>
    <row r="3" spans="1:59" ht="18.75" x14ac:dyDescent="0.3">
      <c r="A3" s="200"/>
      <c r="B3" s="33" t="s">
        <v>863</v>
      </c>
      <c r="C3" s="33" t="s">
        <v>864</v>
      </c>
      <c r="D3" s="33" t="s">
        <v>865</v>
      </c>
      <c r="E3" s="165"/>
      <c r="F3" s="33" t="s">
        <v>866</v>
      </c>
      <c r="G3" s="33" t="s">
        <v>867</v>
      </c>
      <c r="H3" s="33" t="s">
        <v>868</v>
      </c>
      <c r="I3" s="166"/>
    </row>
    <row r="4" spans="1:59" x14ac:dyDescent="0.25">
      <c r="B4" s="165" t="str">
        <f>Troupeau!B3</f>
        <v>BV</v>
      </c>
      <c r="C4" s="165">
        <f>Troupeau!C3</f>
        <v>0</v>
      </c>
      <c r="D4" s="165">
        <f>Troupeau!D3</f>
        <v>0</v>
      </c>
      <c r="E4" s="165"/>
      <c r="F4" s="165" t="str">
        <f>+B4</f>
        <v>BV</v>
      </c>
      <c r="G4" s="165">
        <f t="shared" ref="G4:H4" si="0">+C4</f>
        <v>0</v>
      </c>
      <c r="H4" s="165">
        <f t="shared" si="0"/>
        <v>0</v>
      </c>
      <c r="I4" s="166"/>
      <c r="J4" s="33" t="s">
        <v>13</v>
      </c>
      <c r="K4" s="165" t="str">
        <f>Troupeau!B3</f>
        <v>BV</v>
      </c>
      <c r="L4" s="165">
        <f>Troupeau!C3</f>
        <v>0</v>
      </c>
      <c r="M4" s="165">
        <f>Troupeau!D3</f>
        <v>0</v>
      </c>
      <c r="O4" s="202"/>
      <c r="R4" s="5"/>
      <c r="S4" s="5"/>
      <c r="T4" s="14" t="s">
        <v>869</v>
      </c>
      <c r="U4" s="14"/>
      <c r="V4" s="14"/>
      <c r="W4" s="14"/>
      <c r="AB4" s="2" t="s">
        <v>870</v>
      </c>
    </row>
    <row r="5" spans="1:59" x14ac:dyDescent="0.25">
      <c r="A5" t="s">
        <v>871</v>
      </c>
      <c r="B5" s="168">
        <f>T6-(T5/100*T6)</f>
        <v>0</v>
      </c>
      <c r="C5" s="168">
        <f>U6-(U5/100*U6)</f>
        <v>0</v>
      </c>
      <c r="D5" s="168">
        <f>V6-(V5/100*V6)</f>
        <v>0</v>
      </c>
      <c r="E5" s="165"/>
      <c r="F5" s="183">
        <f>IF(B$4="OL",$Y$5,IF(B$4="BL",[1]Eco!$B$53,0))</f>
        <v>0</v>
      </c>
      <c r="G5" s="183">
        <f>IF(C$4="OL",$Y$5,IF(C$4="BL",[1]Eco!$B$53,0))</f>
        <v>0</v>
      </c>
      <c r="H5" s="183">
        <f>IF(D$4="OL",$Y$5,IF(D$4="BL",[1]Eco!$B$53,0))</f>
        <v>0</v>
      </c>
      <c r="I5" s="166"/>
      <c r="J5" s="168">
        <f>ROUND((B5*F5+C5*G5+D5*H5+E5*I5)/1000,0)</f>
        <v>0</v>
      </c>
      <c r="K5" s="168">
        <f>ROUND(B5*F5/1000,0)</f>
        <v>0</v>
      </c>
      <c r="L5" s="168">
        <f t="shared" ref="L5:M6" si="1">ROUND(C5*G5/1000,0)</f>
        <v>0</v>
      </c>
      <c r="M5" s="168">
        <f t="shared" si="1"/>
        <v>0</v>
      </c>
      <c r="O5" s="203"/>
      <c r="R5" s="204"/>
      <c r="S5" s="204" t="s">
        <v>872</v>
      </c>
      <c r="T5" s="30">
        <f>Scénario!K16</f>
        <v>0</v>
      </c>
      <c r="U5" s="14"/>
      <c r="V5" s="14"/>
      <c r="X5" s="14" t="s">
        <v>873</v>
      </c>
      <c r="Y5" s="30">
        <f>IF(Scénario!K17=1,[1]Eco!$B$51,[1]Eco!$B$52)</f>
        <v>1030</v>
      </c>
      <c r="AB5" t="s">
        <v>874</v>
      </c>
      <c r="AC5" t="s">
        <v>17</v>
      </c>
      <c r="AD5" t="s">
        <v>278</v>
      </c>
      <c r="AF5" s="165" t="s">
        <v>875</v>
      </c>
      <c r="AG5" s="165" t="s">
        <v>876</v>
      </c>
      <c r="AH5" s="165" t="s">
        <v>877</v>
      </c>
      <c r="AI5" s="165" t="s">
        <v>878</v>
      </c>
      <c r="AJ5" s="165" t="s">
        <v>879</v>
      </c>
    </row>
    <row r="6" spans="1:59" x14ac:dyDescent="0.25">
      <c r="A6" t="s">
        <v>880</v>
      </c>
      <c r="B6" s="168">
        <f>T6-B5</f>
        <v>0</v>
      </c>
      <c r="C6" s="168">
        <f>U6-C5</f>
        <v>0</v>
      </c>
      <c r="D6" s="168">
        <f>V6-D5</f>
        <v>0</v>
      </c>
      <c r="E6" s="165"/>
      <c r="F6" s="183">
        <f>IF(B$4="OL",$Y$6,0)</f>
        <v>0</v>
      </c>
      <c r="G6" s="183">
        <f t="shared" ref="G6:H6" si="2">IF(C$4="OL",$Y$6,0)</f>
        <v>0</v>
      </c>
      <c r="H6" s="183">
        <f t="shared" si="2"/>
        <v>0</v>
      </c>
      <c r="I6" s="166"/>
      <c r="J6" s="168">
        <f>ROUND((B6*F6+C6*G6+D6*H6+E6*I6)/1000,0)</f>
        <v>0</v>
      </c>
      <c r="K6" s="168">
        <f>ROUND(B6*F6/1000,0)</f>
        <v>0</v>
      </c>
      <c r="L6" s="168">
        <f t="shared" si="1"/>
        <v>0</v>
      </c>
      <c r="M6" s="168">
        <f t="shared" si="1"/>
        <v>0</v>
      </c>
      <c r="O6" s="203"/>
      <c r="P6" s="5"/>
      <c r="R6" s="204"/>
      <c r="S6" s="204" t="s">
        <v>881</v>
      </c>
      <c r="T6" s="30">
        <f>Troupeau!B35</f>
        <v>0</v>
      </c>
      <c r="U6" s="14"/>
      <c r="V6" s="14"/>
      <c r="X6" s="14" t="s">
        <v>882</v>
      </c>
      <c r="Y6" s="30">
        <f>IF(Scénario!K17=1,[1]Eco!$B$55,[1]Eco!$B$56)</f>
        <v>0</v>
      </c>
      <c r="AA6">
        <v>1</v>
      </c>
      <c r="AB6" s="30">
        <f>'Alim -Surf'!D34</f>
        <v>6</v>
      </c>
      <c r="AC6" s="30" t="str">
        <f>LEFT('Alim -Surf'!B34,10)</f>
        <v>maïs ensil</v>
      </c>
      <c r="AD6" s="30">
        <f>+'Alim -Surf'!K34</f>
        <v>0</v>
      </c>
      <c r="AE6" s="30"/>
      <c r="AF6" s="168">
        <f>IF($AC6=AF$5,$AD6,0)</f>
        <v>0</v>
      </c>
      <c r="AG6" s="168">
        <f t="shared" ref="AG6:AJ15" si="3">IF($AC6=AG$5,$AD6,0)</f>
        <v>0</v>
      </c>
      <c r="AH6" s="168">
        <f t="shared" si="3"/>
        <v>0</v>
      </c>
      <c r="AI6" s="168">
        <f t="shared" si="3"/>
        <v>0</v>
      </c>
      <c r="AJ6" s="168">
        <f t="shared" si="3"/>
        <v>0</v>
      </c>
    </row>
    <row r="7" spans="1:59" x14ac:dyDescent="0.25">
      <c r="B7" s="165"/>
      <c r="C7" s="165"/>
      <c r="D7" s="165"/>
      <c r="E7" s="165"/>
      <c r="F7" s="165"/>
      <c r="G7" s="165"/>
      <c r="H7" s="166"/>
      <c r="I7" s="166"/>
      <c r="J7" s="166"/>
      <c r="K7" s="166"/>
      <c r="L7" s="166"/>
      <c r="M7" s="166"/>
      <c r="O7" s="203"/>
      <c r="P7" s="5"/>
      <c r="R7" s="5"/>
      <c r="S7" s="5"/>
      <c r="AA7">
        <v>2</v>
      </c>
      <c r="AB7" s="30">
        <f>'Alim -Surf'!D35</f>
        <v>0</v>
      </c>
      <c r="AC7" s="30" t="str">
        <f>LEFT('Alim -Surf'!B35,10)</f>
        <v>0</v>
      </c>
      <c r="AD7" s="30">
        <f>+'Alim -Surf'!K35</f>
        <v>0</v>
      </c>
      <c r="AE7" s="30"/>
      <c r="AF7" s="168">
        <f t="shared" ref="AF7:AF15" si="4">IF($AC7=AF$5,$AD7,0)</f>
        <v>0</v>
      </c>
      <c r="AG7" s="168">
        <f t="shared" si="3"/>
        <v>0</v>
      </c>
      <c r="AH7" s="168">
        <f t="shared" si="3"/>
        <v>0</v>
      </c>
      <c r="AI7" s="168">
        <f t="shared" si="3"/>
        <v>0</v>
      </c>
      <c r="AJ7" s="168">
        <f t="shared" si="3"/>
        <v>0</v>
      </c>
    </row>
    <row r="8" spans="1:59" x14ac:dyDescent="0.25">
      <c r="A8" s="5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AA8">
        <v>3</v>
      </c>
      <c r="AB8" s="30">
        <f>'Alim -Surf'!D36</f>
        <v>0</v>
      </c>
      <c r="AC8" s="30" t="str">
        <f>LEFT('Alim -Surf'!B36,10)</f>
        <v>0</v>
      </c>
      <c r="AD8" s="30">
        <f>+'Alim -Surf'!K36</f>
        <v>0</v>
      </c>
      <c r="AE8" s="30"/>
      <c r="AF8" s="168">
        <f t="shared" si="4"/>
        <v>0</v>
      </c>
      <c r="AG8" s="168">
        <f t="shared" si="3"/>
        <v>0</v>
      </c>
      <c r="AH8" s="168">
        <f t="shared" si="3"/>
        <v>0</v>
      </c>
      <c r="AI8" s="168">
        <f t="shared" si="3"/>
        <v>0</v>
      </c>
      <c r="AJ8" s="168">
        <f t="shared" si="3"/>
        <v>0</v>
      </c>
    </row>
    <row r="9" spans="1:59" x14ac:dyDescent="0.25">
      <c r="A9" s="5" t="s">
        <v>883</v>
      </c>
      <c r="B9" s="168">
        <f>Troupeau!B43</f>
        <v>16.5</v>
      </c>
      <c r="C9" s="168">
        <f>Troupeau!C43</f>
        <v>0</v>
      </c>
      <c r="D9" s="168">
        <f>Troupeau!D43</f>
        <v>0</v>
      </c>
      <c r="E9" s="166"/>
      <c r="F9" s="183">
        <f>HLOOKUP(Troupeau!$J$17,[1]Anx!$A$122:$CO$164,'Calcul éco'!$O9)</f>
        <v>912</v>
      </c>
      <c r="G9" s="183">
        <f>HLOOKUP(Troupeau!$K$17,[1]Anx!$A$122:$CO$164,'Calcul éco'!$O9)</f>
        <v>8</v>
      </c>
      <c r="H9" s="183">
        <f>HLOOKUP(Troupeau!$L$17,[1]Anx!$A$122:$CO$164,'Calcul éco'!$O9)</f>
        <v>8</v>
      </c>
      <c r="I9" s="166"/>
      <c r="J9" s="168">
        <f>ROUND((B9*F9+C9*G9+D9*H9+E9*I9),0)</f>
        <v>15048</v>
      </c>
      <c r="K9" s="168">
        <f>ROUND(B9*F9,0)</f>
        <v>15048</v>
      </c>
      <c r="L9" s="168">
        <f t="shared" ref="L9:M16" si="5">ROUND(C9*G9,0)</f>
        <v>0</v>
      </c>
      <c r="M9" s="168">
        <f t="shared" si="5"/>
        <v>0</v>
      </c>
      <c r="O9" s="205">
        <v>8</v>
      </c>
      <c r="P9" s="5"/>
      <c r="S9" s="37" t="s">
        <v>884</v>
      </c>
      <c r="T9" s="36" t="s">
        <v>869</v>
      </c>
      <c r="U9" s="165" t="s">
        <v>885</v>
      </c>
      <c r="V9" s="36" t="s">
        <v>886</v>
      </c>
      <c r="W9" s="165" t="s">
        <v>887</v>
      </c>
      <c r="AA9">
        <v>4</v>
      </c>
      <c r="AB9" s="30">
        <f>'Alim -Surf'!D37</f>
        <v>0</v>
      </c>
      <c r="AC9" s="30" t="str">
        <f>LEFT('Alim -Surf'!B37,10)</f>
        <v>0</v>
      </c>
      <c r="AD9" s="30">
        <f>+'Alim -Surf'!K37</f>
        <v>0</v>
      </c>
      <c r="AE9" s="30"/>
      <c r="AF9" s="168">
        <f t="shared" si="4"/>
        <v>0</v>
      </c>
      <c r="AG9" s="168">
        <f t="shared" si="3"/>
        <v>0</v>
      </c>
      <c r="AH9" s="168">
        <f t="shared" si="3"/>
        <v>0</v>
      </c>
      <c r="AI9" s="168">
        <f t="shared" si="3"/>
        <v>0</v>
      </c>
      <c r="AJ9" s="168">
        <f t="shared" si="3"/>
        <v>0</v>
      </c>
    </row>
    <row r="10" spans="1:59" x14ac:dyDescent="0.25">
      <c r="A10" s="5" t="s">
        <v>888</v>
      </c>
      <c r="B10" s="168">
        <f>Troupeau!B39</f>
        <v>10.5</v>
      </c>
      <c r="C10" s="168">
        <f>Troupeau!C39</f>
        <v>0</v>
      </c>
      <c r="D10" s="168">
        <f>Troupeau!D39</f>
        <v>0</v>
      </c>
      <c r="E10" s="166"/>
      <c r="F10" s="183">
        <f>HLOOKUP(Troupeau!$J$17,[1]Anx!$A$122:$CO$164,'Calcul éco'!$O10)</f>
        <v>787.19999999999993</v>
      </c>
      <c r="G10" s="183">
        <f>HLOOKUP(Troupeau!$K$17,[1]Anx!$A$122:$CO$164,'Calcul éco'!$O10)</f>
        <v>13</v>
      </c>
      <c r="H10" s="183">
        <f>HLOOKUP(Troupeau!$L$17,[1]Anx!$A$122:$CO$164,'Calcul éco'!$O10)</f>
        <v>13</v>
      </c>
      <c r="I10" s="166"/>
      <c r="J10" s="168">
        <f t="shared" ref="J10:J16" si="6">ROUND((B10*F10+C10*G10+D10*H10+E10*I10),0)</f>
        <v>8266</v>
      </c>
      <c r="K10" s="168">
        <f t="shared" ref="K10:K16" si="7">ROUND(B10*F10,0)</f>
        <v>8266</v>
      </c>
      <c r="L10" s="168">
        <f t="shared" si="5"/>
        <v>0</v>
      </c>
      <c r="M10" s="168">
        <f t="shared" si="5"/>
        <v>0</v>
      </c>
      <c r="O10" s="205">
        <v>13</v>
      </c>
      <c r="P10" s="5"/>
      <c r="Q10" s="5"/>
      <c r="R10" s="5"/>
      <c r="S10" s="32" t="s">
        <v>889</v>
      </c>
      <c r="T10" s="168">
        <f>Scénario!K18</f>
        <v>50</v>
      </c>
      <c r="U10" s="168">
        <f>Scénario!K19</f>
        <v>0</v>
      </c>
      <c r="V10" s="168">
        <f>Scénario!K20</f>
        <v>0</v>
      </c>
      <c r="W10" s="168">
        <f>Scénario!K21</f>
        <v>0</v>
      </c>
      <c r="AA10">
        <v>5</v>
      </c>
      <c r="AB10" s="30">
        <f>'Alim -Surf'!D38</f>
        <v>0</v>
      </c>
      <c r="AC10" s="30" t="str">
        <f>LEFT('Alim -Surf'!B38,10)</f>
        <v>0</v>
      </c>
      <c r="AD10" s="30">
        <f>+'Alim -Surf'!K38</f>
        <v>0</v>
      </c>
      <c r="AE10" s="30"/>
      <c r="AF10" s="168">
        <f t="shared" si="4"/>
        <v>0</v>
      </c>
      <c r="AG10" s="168">
        <f t="shared" si="3"/>
        <v>0</v>
      </c>
      <c r="AH10" s="168">
        <f t="shared" si="3"/>
        <v>0</v>
      </c>
      <c r="AI10" s="168">
        <f t="shared" si="3"/>
        <v>0</v>
      </c>
      <c r="AJ10" s="168">
        <f t="shared" si="3"/>
        <v>0</v>
      </c>
    </row>
    <row r="11" spans="1:59" x14ac:dyDescent="0.25">
      <c r="A11" s="5" t="s">
        <v>890</v>
      </c>
      <c r="B11" s="168">
        <f>SUM(Troupeau!B44:B46)</f>
        <v>0</v>
      </c>
      <c r="C11" s="168">
        <f>SUM(Troupeau!C44:C46)</f>
        <v>0</v>
      </c>
      <c r="D11" s="168">
        <f>SUM(Troupeau!D44:D46)</f>
        <v>0</v>
      </c>
      <c r="E11" s="166"/>
      <c r="F11" s="183">
        <f>HLOOKUP(Troupeau!$J$17,[1]Anx!$A$122:$CO$164,'Calcul éco'!$O11)</f>
        <v>0</v>
      </c>
      <c r="G11" s="183">
        <f>HLOOKUP(Troupeau!$K$17,[1]Anx!$A$122:$CO$164,'Calcul éco'!$O11)</f>
        <v>18</v>
      </c>
      <c r="H11" s="183">
        <f>HLOOKUP(Troupeau!$L$17,[1]Anx!$A$122:$CO$164,'Calcul éco'!$O11)</f>
        <v>18</v>
      </c>
      <c r="I11" s="166"/>
      <c r="J11" s="168">
        <f t="shared" si="6"/>
        <v>0</v>
      </c>
      <c r="K11" s="168">
        <f t="shared" si="7"/>
        <v>0</v>
      </c>
      <c r="L11" s="168">
        <f t="shared" si="5"/>
        <v>0</v>
      </c>
      <c r="M11" s="168">
        <f t="shared" si="5"/>
        <v>0</v>
      </c>
      <c r="O11" s="205">
        <v>18</v>
      </c>
      <c r="P11" s="5"/>
      <c r="Q11" s="5"/>
      <c r="R11" s="32"/>
      <c r="S11" s="32" t="s">
        <v>891</v>
      </c>
      <c r="T11" s="168">
        <f>Troupeau!B37</f>
        <v>6</v>
      </c>
      <c r="U11" s="168">
        <f>Troupeau!C37</f>
        <v>0</v>
      </c>
      <c r="V11" s="168">
        <f>Troupeau!D37</f>
        <v>0</v>
      </c>
      <c r="W11" s="168">
        <f>Troupeau!E37</f>
        <v>0</v>
      </c>
      <c r="AA11">
        <v>6</v>
      </c>
      <c r="AB11" s="30">
        <f>'Alim -Surf'!D39</f>
        <v>0</v>
      </c>
      <c r="AC11" s="30" t="str">
        <f>LEFT('Alim -Surf'!B39,10)</f>
        <v>0</v>
      </c>
      <c r="AD11" s="30">
        <f>+'Alim -Surf'!K39</f>
        <v>0</v>
      </c>
      <c r="AE11" s="30"/>
      <c r="AF11" s="168">
        <f t="shared" si="4"/>
        <v>0</v>
      </c>
      <c r="AG11" s="168">
        <f t="shared" si="3"/>
        <v>0</v>
      </c>
      <c r="AH11" s="168">
        <f t="shared" si="3"/>
        <v>0</v>
      </c>
      <c r="AI11" s="168">
        <f t="shared" si="3"/>
        <v>0</v>
      </c>
      <c r="AJ11" s="168">
        <f t="shared" si="3"/>
        <v>0</v>
      </c>
    </row>
    <row r="12" spans="1:59" s="5" customFormat="1" x14ac:dyDescent="0.25">
      <c r="A12" s="5" t="s">
        <v>892</v>
      </c>
      <c r="B12" s="168">
        <f>SUM(Troupeau!B40:B42)</f>
        <v>0</v>
      </c>
      <c r="C12" s="168">
        <f>SUM(Troupeau!C40:C42)</f>
        <v>0</v>
      </c>
      <c r="D12" s="168">
        <f>SUM(Troupeau!D40:D42)</f>
        <v>0</v>
      </c>
      <c r="E12" s="166"/>
      <c r="F12" s="183">
        <f>HLOOKUP(Troupeau!$J$17,[1]Anx!$A$122:$CO$164,'Calcul éco'!$O12)</f>
        <v>0</v>
      </c>
      <c r="G12" s="183">
        <f>HLOOKUP(Troupeau!$K$17,[1]Anx!$A$122:$CO$164,'Calcul éco'!$O12)</f>
        <v>23</v>
      </c>
      <c r="H12" s="183">
        <f>HLOOKUP(Troupeau!$L$17,[1]Anx!$A$122:$CO$164,'Calcul éco'!$O12)</f>
        <v>23</v>
      </c>
      <c r="I12" s="166"/>
      <c r="J12" s="168">
        <f t="shared" si="6"/>
        <v>0</v>
      </c>
      <c r="K12" s="168">
        <f t="shared" si="7"/>
        <v>0</v>
      </c>
      <c r="L12" s="168">
        <f t="shared" si="5"/>
        <v>0</v>
      </c>
      <c r="M12" s="168">
        <f t="shared" si="5"/>
        <v>0</v>
      </c>
      <c r="N12"/>
      <c r="O12" s="205">
        <v>23</v>
      </c>
      <c r="S12" s="32" t="s">
        <v>893</v>
      </c>
      <c r="T12" s="168">
        <f>ROUNDDOWN(T11*T10/100,0)</f>
        <v>3</v>
      </c>
      <c r="U12" s="168">
        <f t="shared" ref="U12:W12" si="8">ROUNDDOWN(U11*U10/100,0)</f>
        <v>0</v>
      </c>
      <c r="V12" s="168">
        <f t="shared" si="8"/>
        <v>0</v>
      </c>
      <c r="W12" s="168">
        <f t="shared" si="8"/>
        <v>0</v>
      </c>
      <c r="AA12">
        <v>7</v>
      </c>
      <c r="AB12" s="30">
        <f>'Alim -Surf'!D40</f>
        <v>0</v>
      </c>
      <c r="AC12" s="30" t="str">
        <f>LEFT('Alim -Surf'!B40,10)</f>
        <v>0</v>
      </c>
      <c r="AD12" s="30">
        <f>+'Alim -Surf'!K40</f>
        <v>0</v>
      </c>
      <c r="AE12" s="30"/>
      <c r="AF12" s="168">
        <f t="shared" si="4"/>
        <v>0</v>
      </c>
      <c r="AG12" s="168">
        <f t="shared" si="3"/>
        <v>0</v>
      </c>
      <c r="AH12" s="168">
        <f t="shared" si="3"/>
        <v>0</v>
      </c>
      <c r="AI12" s="168">
        <f t="shared" si="3"/>
        <v>0</v>
      </c>
      <c r="AJ12" s="168">
        <f t="shared" si="3"/>
        <v>0</v>
      </c>
      <c r="BG12" s="32"/>
    </row>
    <row r="13" spans="1:59" s="5" customFormat="1" x14ac:dyDescent="0.25">
      <c r="A13" s="5" t="s">
        <v>894</v>
      </c>
      <c r="B13" s="168">
        <f>T11-B14</f>
        <v>3</v>
      </c>
      <c r="C13" s="168">
        <f>U11-C14</f>
        <v>0</v>
      </c>
      <c r="D13" s="168">
        <f>V11-D14</f>
        <v>0</v>
      </c>
      <c r="E13" s="166"/>
      <c r="F13" s="183">
        <f>HLOOKUP(Troupeau!$J$17,[1]Anx!$A$122:$CO$164,'Calcul éco'!$O13)</f>
        <v>1251.2</v>
      </c>
      <c r="G13" s="183">
        <f>HLOOKUP(Troupeau!$K$17,[1]Anx!$A$122:$CO$164,'Calcul éco'!$O13)</f>
        <v>28</v>
      </c>
      <c r="H13" s="183">
        <f>HLOOKUP(Troupeau!$L$17,[1]Anx!$A$122:$CO$164,'Calcul éco'!$O13)</f>
        <v>28</v>
      </c>
      <c r="I13" s="166"/>
      <c r="J13" s="168">
        <f t="shared" si="6"/>
        <v>3754</v>
      </c>
      <c r="K13" s="168">
        <f t="shared" si="7"/>
        <v>3754</v>
      </c>
      <c r="L13" s="168">
        <f t="shared" si="5"/>
        <v>0</v>
      </c>
      <c r="M13" s="168">
        <f t="shared" si="5"/>
        <v>0</v>
      </c>
      <c r="N13"/>
      <c r="O13" s="205">
        <v>28</v>
      </c>
      <c r="AA13">
        <v>8</v>
      </c>
      <c r="AB13" s="30">
        <f>'Alim -Surf'!D41</f>
        <v>0</v>
      </c>
      <c r="AC13" s="30" t="str">
        <f>LEFT('Alim -Surf'!B41,10)</f>
        <v>0</v>
      </c>
      <c r="AD13" s="30">
        <f>+'Alim -Surf'!K41</f>
        <v>0</v>
      </c>
      <c r="AE13" s="30"/>
      <c r="AF13" s="168">
        <f t="shared" si="4"/>
        <v>0</v>
      </c>
      <c r="AG13" s="168">
        <f t="shared" si="3"/>
        <v>0</v>
      </c>
      <c r="AH13" s="168">
        <f t="shared" si="3"/>
        <v>0</v>
      </c>
      <c r="AI13" s="168">
        <f t="shared" si="3"/>
        <v>0</v>
      </c>
      <c r="AJ13" s="168">
        <f t="shared" si="3"/>
        <v>0</v>
      </c>
      <c r="BG13" s="32"/>
    </row>
    <row r="14" spans="1:59" s="5" customFormat="1" x14ac:dyDescent="0.25">
      <c r="A14" s="5" t="s">
        <v>895</v>
      </c>
      <c r="B14" s="168">
        <f>ROUNDDOWN(T11*T10/100,0)</f>
        <v>3</v>
      </c>
      <c r="C14" s="168">
        <f t="shared" ref="C14:D14" si="9">ROUNDDOWN(U11*U10/100,0)</f>
        <v>0</v>
      </c>
      <c r="D14" s="168">
        <f t="shared" si="9"/>
        <v>0</v>
      </c>
      <c r="E14" s="166"/>
      <c r="F14" s="183">
        <f>HLOOKUP(Troupeau!$J$17,[1]Anx!$A$122:$CO$164,'Calcul éco'!$O14)</f>
        <v>2151.6</v>
      </c>
      <c r="G14" s="183">
        <f>HLOOKUP(Troupeau!$K$17,[1]Anx!$A$122:$CO$164,'Calcul éco'!$O14)</f>
        <v>33</v>
      </c>
      <c r="H14" s="183">
        <f>HLOOKUP(Troupeau!$L$17,[1]Anx!$A$122:$CO$164,'Calcul éco'!$O14)</f>
        <v>33</v>
      </c>
      <c r="I14" s="166"/>
      <c r="J14" s="168">
        <f t="shared" si="6"/>
        <v>6455</v>
      </c>
      <c r="K14" s="168">
        <f t="shared" si="7"/>
        <v>6455</v>
      </c>
      <c r="L14" s="168">
        <f t="shared" si="5"/>
        <v>0</v>
      </c>
      <c r="M14" s="168">
        <f t="shared" si="5"/>
        <v>0</v>
      </c>
      <c r="N14"/>
      <c r="O14" s="205">
        <v>33</v>
      </c>
      <c r="Q14" s="23" t="s">
        <v>870</v>
      </c>
      <c r="AA14">
        <v>9</v>
      </c>
      <c r="AB14" s="30">
        <f>'Alim -Surf'!D42</f>
        <v>0</v>
      </c>
      <c r="AC14" s="30" t="str">
        <f>LEFT('Alim -Surf'!B42,10)</f>
        <v>0</v>
      </c>
      <c r="AD14" s="30">
        <f>+'Alim -Surf'!K42</f>
        <v>0</v>
      </c>
      <c r="AE14" s="30"/>
      <c r="AF14" s="168">
        <f t="shared" si="4"/>
        <v>0</v>
      </c>
      <c r="AG14" s="168">
        <f t="shared" si="3"/>
        <v>0</v>
      </c>
      <c r="AH14" s="168">
        <f t="shared" si="3"/>
        <v>0</v>
      </c>
      <c r="AI14" s="168">
        <f t="shared" si="3"/>
        <v>0</v>
      </c>
      <c r="AJ14" s="168">
        <f t="shared" si="3"/>
        <v>0</v>
      </c>
      <c r="BG14" s="32"/>
    </row>
    <row r="15" spans="1:59" s="5" customFormat="1" x14ac:dyDescent="0.25">
      <c r="A15" s="5" t="s">
        <v>896</v>
      </c>
      <c r="B15" s="168">
        <f>Troupeau!B38</f>
        <v>0.66666666666666652</v>
      </c>
      <c r="C15" s="168">
        <f>Troupeau!C38</f>
        <v>0</v>
      </c>
      <c r="D15" s="168">
        <f>Troupeau!D38</f>
        <v>0</v>
      </c>
      <c r="E15" s="166"/>
      <c r="F15" s="183">
        <f>HLOOKUP(Troupeau!$J$17,[1]Anx!$A$122:$CO$164,'Calcul éco'!$O15)</f>
        <v>1644.0000000000002</v>
      </c>
      <c r="G15" s="183">
        <f>HLOOKUP(Troupeau!$K$17,[1]Anx!$A$122:$CO$164,'Calcul éco'!$O15)</f>
        <v>38</v>
      </c>
      <c r="H15" s="183">
        <f>HLOOKUP(Troupeau!$L$17,[1]Anx!$A$122:$CO$164,'Calcul éco'!$O15)</f>
        <v>38</v>
      </c>
      <c r="I15" s="166"/>
      <c r="J15" s="168">
        <f t="shared" si="6"/>
        <v>1096</v>
      </c>
      <c r="K15" s="168">
        <f t="shared" si="7"/>
        <v>1096</v>
      </c>
      <c r="L15" s="168">
        <f t="shared" si="5"/>
        <v>0</v>
      </c>
      <c r="M15" s="168">
        <f t="shared" si="5"/>
        <v>0</v>
      </c>
      <c r="N15"/>
      <c r="O15" s="205">
        <v>38</v>
      </c>
      <c r="R15" s="5" t="s">
        <v>897</v>
      </c>
      <c r="S15" s="32" t="s">
        <v>898</v>
      </c>
      <c r="T15" s="5" t="s">
        <v>899</v>
      </c>
      <c r="AA15">
        <v>10</v>
      </c>
      <c r="AB15" s="30">
        <f>'Alim -Surf'!D43</f>
        <v>0</v>
      </c>
      <c r="AC15" s="30" t="str">
        <f>LEFT('Alim -Surf'!B43,10)</f>
        <v>0</v>
      </c>
      <c r="AD15" s="30">
        <f>+'Alim -Surf'!K43</f>
        <v>0</v>
      </c>
      <c r="AE15" s="30"/>
      <c r="AF15" s="168">
        <f t="shared" si="4"/>
        <v>0</v>
      </c>
      <c r="AG15" s="168">
        <f t="shared" si="3"/>
        <v>0</v>
      </c>
      <c r="AH15" s="168">
        <f t="shared" si="3"/>
        <v>0</v>
      </c>
      <c r="AI15" s="168">
        <f t="shared" si="3"/>
        <v>0</v>
      </c>
      <c r="AJ15" s="168">
        <f t="shared" si="3"/>
        <v>0</v>
      </c>
      <c r="BG15" s="32"/>
    </row>
    <row r="16" spans="1:59" s="5" customFormat="1" x14ac:dyDescent="0.25">
      <c r="A16" s="5" t="s">
        <v>900</v>
      </c>
      <c r="B16" s="168">
        <f>+B15</f>
        <v>0.66666666666666652</v>
      </c>
      <c r="C16" s="168">
        <f t="shared" ref="C16:D16" si="10">+C15</f>
        <v>0</v>
      </c>
      <c r="D16" s="168">
        <f t="shared" si="10"/>
        <v>0</v>
      </c>
      <c r="E16" s="166"/>
      <c r="F16" s="183">
        <f>HLOOKUP(Troupeau!$J$17,[1]Anx!$A$122:$CO$164,'Calcul éco'!$O16)</f>
        <v>-2527.8000000000002</v>
      </c>
      <c r="G16" s="183">
        <f>HLOOKUP(Troupeau!$K$17,[1]Anx!$A$122:$CO$164,'Calcul éco'!$O16)</f>
        <v>43</v>
      </c>
      <c r="H16" s="183">
        <f>HLOOKUP(Troupeau!$L$17,[1]Anx!$A$122:$CO$164,'Calcul éco'!$O16)</f>
        <v>43</v>
      </c>
      <c r="I16" s="166"/>
      <c r="J16" s="168">
        <f t="shared" si="6"/>
        <v>-1685</v>
      </c>
      <c r="K16" s="168">
        <f t="shared" si="7"/>
        <v>-1685</v>
      </c>
      <c r="L16" s="168">
        <f t="shared" si="5"/>
        <v>0</v>
      </c>
      <c r="M16" s="168">
        <f t="shared" si="5"/>
        <v>0</v>
      </c>
      <c r="N16"/>
      <c r="O16" s="205">
        <v>43</v>
      </c>
      <c r="Q16" s="5" t="s">
        <v>875</v>
      </c>
      <c r="R16" s="30">
        <f>'Alim -Surf'!K13</f>
        <v>-2.6</v>
      </c>
      <c r="S16" s="5">
        <f>IF(R16&gt;0,R16,0)</f>
        <v>0</v>
      </c>
      <c r="T16" s="5">
        <f>IF(R16&lt;0,-R16,0)</f>
        <v>2.6</v>
      </c>
      <c r="AF16" s="62">
        <f>SUM(AF6:AF15)</f>
        <v>0</v>
      </c>
      <c r="AG16" s="62">
        <f t="shared" ref="AG16:AJ16" si="11">SUM(AG6:AG15)</f>
        <v>0</v>
      </c>
      <c r="AH16" s="62">
        <f t="shared" si="11"/>
        <v>0</v>
      </c>
      <c r="AI16" s="62">
        <f t="shared" si="11"/>
        <v>0</v>
      </c>
      <c r="AJ16" s="62">
        <f t="shared" si="11"/>
        <v>0</v>
      </c>
      <c r="BG16" s="32"/>
    </row>
    <row r="17" spans="1:143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P17" s="5"/>
      <c r="Q17" s="5" t="s">
        <v>901</v>
      </c>
      <c r="R17" s="30">
        <f>'Alim -Surf'!K14</f>
        <v>-2.6999999999999997</v>
      </c>
      <c r="S17" s="5">
        <f>IF(R17&gt;0,R17,0)</f>
        <v>0</v>
      </c>
      <c r="T17" s="5">
        <f t="shared" ref="T17:T18" si="12">IF(R17&lt;0,-R17,0)</f>
        <v>2.6999999999999997</v>
      </c>
      <c r="U17" s="5"/>
      <c r="V17" s="5"/>
      <c r="W17" s="5"/>
      <c r="X17" s="5"/>
      <c r="Y17" s="5"/>
      <c r="Z17" s="5"/>
      <c r="AA17" s="5"/>
      <c r="AB17" s="5"/>
      <c r="AC17" s="168" t="s">
        <v>278</v>
      </c>
      <c r="AD17" s="168" t="s">
        <v>897</v>
      </c>
      <c r="AE17" s="168" t="s">
        <v>902</v>
      </c>
      <c r="AF17" s="168" t="s">
        <v>903</v>
      </c>
      <c r="AI17" s="5"/>
      <c r="AJ17" s="5"/>
      <c r="AK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32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</row>
    <row r="18" spans="1:143" x14ac:dyDescent="0.25">
      <c r="A18" s="5" t="s">
        <v>904</v>
      </c>
      <c r="B18" s="165"/>
      <c r="C18" s="36" t="s">
        <v>905</v>
      </c>
      <c r="D18" s="33" t="s">
        <v>906</v>
      </c>
      <c r="E18" s="166"/>
      <c r="F18" s="36" t="s">
        <v>907</v>
      </c>
      <c r="G18" s="36" t="s">
        <v>908</v>
      </c>
      <c r="H18" s="166"/>
      <c r="I18" s="166"/>
      <c r="J18" s="5"/>
      <c r="K18" s="5"/>
      <c r="L18" s="5"/>
      <c r="M18" s="5"/>
      <c r="N18" s="5"/>
      <c r="P18" s="5"/>
      <c r="Q18" s="5" t="s">
        <v>909</v>
      </c>
      <c r="R18" s="30">
        <f>'Alim -Surf'!K15</f>
        <v>0</v>
      </c>
      <c r="S18" s="5">
        <f>IF(R18&gt;0,R18,0)</f>
        <v>0</v>
      </c>
      <c r="T18" s="5">
        <f t="shared" si="12"/>
        <v>0</v>
      </c>
      <c r="U18" s="5"/>
      <c r="V18" s="5"/>
      <c r="W18" s="5"/>
      <c r="X18" s="5"/>
      <c r="Y18" s="5"/>
      <c r="Z18" s="5"/>
      <c r="AA18" s="5"/>
      <c r="AB18" s="32" t="s">
        <v>875</v>
      </c>
      <c r="AC18" s="168">
        <f>SUM(AF6:AF15)</f>
        <v>0</v>
      </c>
      <c r="AD18" s="168">
        <f>'Alim -Surf'!K13</f>
        <v>-2.6</v>
      </c>
      <c r="AE18" s="168">
        <f>IF(AD18&gt;=0,AD18,0)</f>
        <v>0</v>
      </c>
      <c r="AF18" s="168">
        <f>IF(AD18&gt;=0,AC18-AD18,AC18)</f>
        <v>0</v>
      </c>
      <c r="AI18" s="5"/>
      <c r="AJ18" s="5"/>
      <c r="AK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32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</row>
    <row r="19" spans="1:143" x14ac:dyDescent="0.25">
      <c r="A19" s="168" t="s">
        <v>875</v>
      </c>
      <c r="B19" s="168"/>
      <c r="C19" s="168">
        <f>AE18</f>
        <v>0</v>
      </c>
      <c r="D19" s="168">
        <f>AF18</f>
        <v>0</v>
      </c>
      <c r="E19" s="165"/>
      <c r="F19" s="183">
        <f>VLOOKUP(A19,[1]Eco!$A$61:$B$71,2)</f>
        <v>168</v>
      </c>
      <c r="G19" s="165">
        <f>[1]Conc!$D$5</f>
        <v>200</v>
      </c>
      <c r="H19" s="165"/>
      <c r="I19" s="165"/>
      <c r="J19" s="168">
        <f>C19*F19+D19*G19</f>
        <v>0</v>
      </c>
      <c r="K19" s="168"/>
      <c r="L19" s="168"/>
      <c r="M19" s="168"/>
      <c r="N19" s="168"/>
      <c r="O19" s="203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32" t="s">
        <v>910</v>
      </c>
      <c r="AC19" s="168">
        <f>SUM(AG6:AI15)</f>
        <v>0</v>
      </c>
      <c r="AD19" s="168">
        <f>'Alim -Surf'!K14</f>
        <v>-2.6999999999999997</v>
      </c>
      <c r="AE19" s="168">
        <f>IF(AD19&gt;=0,AD19,0)</f>
        <v>0</v>
      </c>
      <c r="AF19" s="168">
        <f>IF(AD19&gt;=0,AC19-AD19,AC19)</f>
        <v>0</v>
      </c>
      <c r="AI19" s="5"/>
      <c r="AJ19" s="5"/>
      <c r="AK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32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</row>
    <row r="20" spans="1:143" x14ac:dyDescent="0.25">
      <c r="A20" s="168" t="s">
        <v>910</v>
      </c>
      <c r="B20" s="168"/>
      <c r="C20" s="168">
        <f>AE19</f>
        <v>0</v>
      </c>
      <c r="D20" s="168">
        <f t="shared" ref="D20:D21" si="13">AF19</f>
        <v>0</v>
      </c>
      <c r="E20" s="165"/>
      <c r="F20" s="183">
        <f>VLOOKUP(A20,[1]Eco!$A$61:$B$71,2)</f>
        <v>152</v>
      </c>
      <c r="G20" s="165">
        <f>[1]Conc!$D$6</f>
        <v>165</v>
      </c>
      <c r="H20" s="165"/>
      <c r="I20" s="165"/>
      <c r="J20" s="168">
        <f>C20*F20+D20*G20</f>
        <v>0</v>
      </c>
      <c r="K20" s="168"/>
      <c r="L20" s="168"/>
      <c r="M20" s="168"/>
      <c r="N20" s="168"/>
      <c r="O20" s="203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32" t="s">
        <v>911</v>
      </c>
      <c r="AC20" s="168">
        <f>SUM(AJ6:AJ15)</f>
        <v>0</v>
      </c>
      <c r="AD20" s="168">
        <f>'Alim -Surf'!K15</f>
        <v>0</v>
      </c>
      <c r="AE20" s="168">
        <f>IF(AD20&gt;=0,AD20,0)</f>
        <v>0</v>
      </c>
      <c r="AF20" s="168">
        <f>IF(AD20&gt;=0,AC20-AD20,AC20)</f>
        <v>0</v>
      </c>
      <c r="AG20" s="5"/>
      <c r="AH20" s="5"/>
      <c r="AI20" s="5"/>
      <c r="AJ20" s="5"/>
      <c r="AK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32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</row>
    <row r="21" spans="1:143" s="5" customFormat="1" x14ac:dyDescent="0.25">
      <c r="A21" s="168" t="s">
        <v>879</v>
      </c>
      <c r="B21" s="168"/>
      <c r="C21" s="168">
        <f>AE20</f>
        <v>0</v>
      </c>
      <c r="D21" s="168">
        <f t="shared" si="13"/>
        <v>0</v>
      </c>
      <c r="E21" s="165"/>
      <c r="F21" s="183">
        <f>VLOOKUP(A21,[1]Eco!$A$61:$B$71,2)</f>
        <v>329</v>
      </c>
      <c r="G21" s="165">
        <f>[1]Conc!$D$7</f>
        <v>0</v>
      </c>
      <c r="H21" s="165"/>
      <c r="I21" s="165"/>
      <c r="J21" s="168">
        <f t="shared" ref="J21" si="14">C21*F21+D21*G21</f>
        <v>0</v>
      </c>
      <c r="K21" s="168"/>
      <c r="L21" s="168"/>
      <c r="M21" s="168"/>
      <c r="N21" s="168"/>
      <c r="O21" s="203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M21"/>
      <c r="AN21"/>
      <c r="BG21" s="32"/>
    </row>
    <row r="22" spans="1:143" s="5" customFormat="1" x14ac:dyDescent="0.25">
      <c r="A22"/>
      <c r="B22"/>
      <c r="C22"/>
      <c r="D22"/>
      <c r="E22"/>
      <c r="F22"/>
      <c r="G22" s="166"/>
      <c r="H22" s="166"/>
      <c r="I22" s="166"/>
      <c r="J22" s="166"/>
      <c r="K22" s="168"/>
      <c r="L22" s="168"/>
      <c r="M22" s="168"/>
      <c r="N22" s="168"/>
      <c r="O22" s="203"/>
      <c r="P22"/>
      <c r="U22"/>
      <c r="V22"/>
      <c r="W22"/>
      <c r="X22"/>
      <c r="Y22"/>
      <c r="Z22" t="s">
        <v>912</v>
      </c>
      <c r="AA22"/>
      <c r="AB22"/>
      <c r="AC22"/>
      <c r="AD22"/>
      <c r="AE22" t="s">
        <v>913</v>
      </c>
      <c r="AF22"/>
      <c r="AG22"/>
      <c r="AH22"/>
      <c r="AI22" t="s">
        <v>914</v>
      </c>
      <c r="AJ22"/>
      <c r="AK22"/>
      <c r="AM22"/>
      <c r="AN22" t="s">
        <v>915</v>
      </c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 s="14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</row>
    <row r="23" spans="1:143" x14ac:dyDescent="0.25">
      <c r="G23" s="166"/>
      <c r="H23" s="166"/>
      <c r="I23" s="166"/>
      <c r="J23" s="166"/>
      <c r="K23" s="168"/>
      <c r="L23" s="168"/>
      <c r="M23" s="168"/>
      <c r="N23" s="168"/>
      <c r="O23" s="203"/>
      <c r="Q23" s="18"/>
      <c r="R23" s="5"/>
      <c r="S23" s="5"/>
      <c r="T23" s="5"/>
      <c r="Z23" s="5" t="s">
        <v>916</v>
      </c>
    </row>
    <row r="24" spans="1:143" x14ac:dyDescent="0.25">
      <c r="G24" s="166"/>
      <c r="H24" s="166"/>
      <c r="I24" s="166"/>
      <c r="J24" s="166"/>
      <c r="K24" s="168"/>
      <c r="L24" s="168"/>
      <c r="M24" s="168"/>
      <c r="N24" s="168"/>
      <c r="O24" s="203"/>
      <c r="Q24" s="18"/>
      <c r="R24" s="2" t="s">
        <v>917</v>
      </c>
      <c r="S24" s="18"/>
      <c r="T24" s="5" t="s">
        <v>918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M24" s="5"/>
      <c r="AN24" s="5"/>
    </row>
    <row r="25" spans="1:143" x14ac:dyDescent="0.25">
      <c r="G25" s="166"/>
      <c r="H25" s="166"/>
      <c r="I25" s="166"/>
      <c r="J25" s="166"/>
      <c r="K25" s="168"/>
      <c r="L25" s="168"/>
      <c r="M25" s="168"/>
      <c r="N25" s="168"/>
      <c r="O25" s="203"/>
      <c r="Q25" s="5"/>
      <c r="R25" s="5"/>
      <c r="S25" s="5"/>
      <c r="T25" s="30">
        <f>IF(Scénario!K2="Exploit. Ind.",1,Scénario!K3)</f>
        <v>1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M25" s="5"/>
      <c r="AN25" s="5"/>
    </row>
    <row r="26" spans="1:143" x14ac:dyDescent="0.25">
      <c r="G26" s="166"/>
      <c r="H26" s="166"/>
      <c r="I26" s="166"/>
      <c r="J26" s="166"/>
      <c r="K26" s="168"/>
      <c r="L26" s="168"/>
      <c r="M26" s="168"/>
      <c r="N26" s="168"/>
      <c r="O26" s="203"/>
      <c r="P26" s="5"/>
      <c r="R26" t="s">
        <v>919</v>
      </c>
      <c r="X26" t="s">
        <v>920</v>
      </c>
      <c r="AA26" s="165" t="s">
        <v>921</v>
      </c>
      <c r="AB26" s="165" t="s">
        <v>922</v>
      </c>
      <c r="AC26" s="165" t="s">
        <v>696</v>
      </c>
      <c r="AD26" s="5"/>
      <c r="AE26" s="165" t="s">
        <v>921</v>
      </c>
      <c r="AF26" s="165" t="s">
        <v>923</v>
      </c>
      <c r="AG26" s="165" t="s">
        <v>696</v>
      </c>
      <c r="AI26" s="165" t="s">
        <v>921</v>
      </c>
      <c r="AJ26" s="165" t="s">
        <v>924</v>
      </c>
      <c r="AK26" s="165" t="s">
        <v>696</v>
      </c>
      <c r="AL26" s="166"/>
      <c r="AN26" s="165" t="s">
        <v>921</v>
      </c>
      <c r="AO26" s="165" t="s">
        <v>925</v>
      </c>
      <c r="AP26" s="165" t="s">
        <v>696</v>
      </c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32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</row>
    <row r="27" spans="1:143" x14ac:dyDescent="0.25">
      <c r="G27" s="166"/>
      <c r="H27" s="166"/>
      <c r="I27" s="166"/>
      <c r="J27" s="166"/>
      <c r="K27" s="168"/>
      <c r="L27" s="168"/>
      <c r="M27" s="168"/>
      <c r="N27" s="168"/>
      <c r="O27" s="203"/>
      <c r="P27" s="5"/>
      <c r="R27" s="165" t="s">
        <v>869</v>
      </c>
      <c r="S27" s="165" t="s">
        <v>885</v>
      </c>
      <c r="T27" s="165" t="s">
        <v>886</v>
      </c>
      <c r="U27" s="165" t="s">
        <v>887</v>
      </c>
      <c r="V27" s="165" t="s">
        <v>13</v>
      </c>
      <c r="X27" s="15" t="s">
        <v>926</v>
      </c>
      <c r="Z27" s="206" t="s">
        <v>927</v>
      </c>
      <c r="AA27" s="183">
        <f>[1]Eco!$F$4</f>
        <v>166</v>
      </c>
      <c r="AB27" s="207">
        <f>IF(X28&gt;50,50,X28)</f>
        <v>40</v>
      </c>
      <c r="AC27" s="168">
        <f>AA27*AB27</f>
        <v>6640</v>
      </c>
      <c r="AD27" s="5" t="s">
        <v>928</v>
      </c>
      <c r="AE27" s="183">
        <f>[1]Eco!$F$9</f>
        <v>24.3</v>
      </c>
      <c r="AF27" s="207">
        <f>IF(X30&gt;500,500,X30)</f>
        <v>0</v>
      </c>
      <c r="AG27" s="207">
        <f>AE27*AF27</f>
        <v>0</v>
      </c>
      <c r="AI27" s="183">
        <f>[1]Eco!$B$11</f>
        <v>15</v>
      </c>
      <c r="AJ27" s="168">
        <f>IF(X32&gt;400,400,X32)</f>
        <v>0</v>
      </c>
      <c r="AK27" s="168">
        <f>AI27*AJ27</f>
        <v>0</v>
      </c>
      <c r="AL27" s="166"/>
      <c r="AM27" s="14" t="s">
        <v>929</v>
      </c>
      <c r="AN27" s="183">
        <f>[1]Eco!$B$14</f>
        <v>77</v>
      </c>
      <c r="AO27" s="168">
        <f>IF(X29&gt;30,30,X29)</f>
        <v>0</v>
      </c>
      <c r="AP27" s="168">
        <f>AN27*AO27</f>
        <v>0</v>
      </c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32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</row>
    <row r="28" spans="1:143" x14ac:dyDescent="0.25">
      <c r="G28" s="166"/>
      <c r="H28" s="166"/>
      <c r="I28" s="166"/>
      <c r="J28" s="166"/>
      <c r="K28" s="168"/>
      <c r="L28" s="168"/>
      <c r="M28" s="168"/>
      <c r="N28" s="168"/>
      <c r="O28" s="203"/>
      <c r="Q28" s="14" t="s">
        <v>454</v>
      </c>
      <c r="R28" s="168">
        <f>IF(Troupeau!B$3="BV",Troupeau!B$17,0)</f>
        <v>40</v>
      </c>
      <c r="S28" s="168">
        <f>IF(Troupeau!C$3="BV",Troupeau!C$17,0)</f>
        <v>0</v>
      </c>
      <c r="T28" s="168">
        <f>IF(Troupeau!D$3="BV",Troupeau!D$17,0)</f>
        <v>0</v>
      </c>
      <c r="U28" s="168">
        <f>IF(Troupeau!E$3="BV",Troupeau!E$17,0)</f>
        <v>0</v>
      </c>
      <c r="V28" s="168">
        <f>SUM(R28:U28)</f>
        <v>40</v>
      </c>
      <c r="W28" s="14" t="s">
        <v>454</v>
      </c>
      <c r="X28" s="168">
        <f>V28/$T$25</f>
        <v>40</v>
      </c>
      <c r="Z28" s="14" t="s">
        <v>930</v>
      </c>
      <c r="AA28" s="183">
        <f>[1]Eco!$F$5</f>
        <v>121</v>
      </c>
      <c r="AB28" s="207">
        <f>IF(X28&lt;51,0,IF(X28&gt;99,49,X28-50))</f>
        <v>0</v>
      </c>
      <c r="AC28" s="168">
        <f t="shared" ref="AC28:AC29" si="15">AA28*AB28</f>
        <v>0</v>
      </c>
      <c r="AD28" s="5" t="s">
        <v>931</v>
      </c>
      <c r="AE28" s="183">
        <f>[1]Eco!$F$10</f>
        <v>22.3</v>
      </c>
      <c r="AF28" s="207">
        <f>IF(X30&gt;500,X30-500,0)</f>
        <v>0</v>
      </c>
      <c r="AG28" s="207">
        <f>AE28*AF28</f>
        <v>0</v>
      </c>
      <c r="AJ28" s="40" t="s">
        <v>932</v>
      </c>
      <c r="AK28" s="62">
        <f>AK27*T25</f>
        <v>0</v>
      </c>
      <c r="AL28" s="36"/>
      <c r="AM28" s="14" t="s">
        <v>933</v>
      </c>
      <c r="AN28" s="183">
        <f>[1]Eco!$B$15</f>
        <v>38</v>
      </c>
      <c r="AO28" s="168">
        <f>IF(X29&gt;40,40,X29)</f>
        <v>0</v>
      </c>
      <c r="AP28" s="168">
        <f>AN28*AO28</f>
        <v>0</v>
      </c>
    </row>
    <row r="29" spans="1:143" x14ac:dyDescent="0.25">
      <c r="A29" s="15" t="s">
        <v>934</v>
      </c>
      <c r="B29" s="14"/>
      <c r="C29" s="168">
        <f>IF('Alim -Surf'!K9&gt;0,'Alim -Surf'!K9,0)</f>
        <v>0</v>
      </c>
      <c r="D29" s="183">
        <f>[1]Eco!$C$71</f>
        <v>80</v>
      </c>
      <c r="E29" s="166"/>
      <c r="F29" s="166"/>
      <c r="G29" s="166"/>
      <c r="H29" s="166"/>
      <c r="I29" s="166"/>
      <c r="J29" s="168">
        <f>IF(C29&gt;0,C29*D29,0)</f>
        <v>0</v>
      </c>
      <c r="K29" s="168"/>
      <c r="L29" s="168"/>
      <c r="M29" s="168"/>
      <c r="N29" s="168"/>
      <c r="O29" s="203"/>
      <c r="Q29" s="14" t="s">
        <v>491</v>
      </c>
      <c r="R29" s="168">
        <f>IF(Troupeau!B$3="BL",Troupeau!B$17,0)</f>
        <v>0</v>
      </c>
      <c r="S29" s="168">
        <f>IF(Troupeau!C$3="BL",Troupeau!C$17,0)</f>
        <v>0</v>
      </c>
      <c r="T29" s="168">
        <f>IF(Troupeau!D$3="BL",Troupeau!D$17,0)</f>
        <v>0</v>
      </c>
      <c r="U29" s="168">
        <f>IF(Troupeau!E$3="BL",Troupeau!E$17,0)</f>
        <v>0</v>
      </c>
      <c r="V29" s="168">
        <f t="shared" ref="V29:V32" si="16">SUM(R29:U29)</f>
        <v>0</v>
      </c>
      <c r="W29" s="14" t="s">
        <v>491</v>
      </c>
      <c r="X29" s="168">
        <f>V29/$T$25</f>
        <v>0</v>
      </c>
      <c r="Z29" s="14" t="s">
        <v>935</v>
      </c>
      <c r="AA29" s="183">
        <f>[1]Eco!$F$6</f>
        <v>62</v>
      </c>
      <c r="AB29" s="207">
        <f>IF(X28&gt;139,40,IF(X28&gt;99,X28-99,0))</f>
        <v>0</v>
      </c>
      <c r="AC29" s="168">
        <f t="shared" si="15"/>
        <v>0</v>
      </c>
      <c r="AF29" s="40" t="s">
        <v>932</v>
      </c>
      <c r="AG29" s="62">
        <f>SUM(AG27:AG28)*T25</f>
        <v>0</v>
      </c>
      <c r="AO29" s="40" t="s">
        <v>932</v>
      </c>
      <c r="AP29" s="62">
        <f>IF(Scénario!K10=1,'Calcul éco'!AP27,'Calcul éco'!AP28)*T25</f>
        <v>0</v>
      </c>
    </row>
    <row r="30" spans="1:143" x14ac:dyDescent="0.25">
      <c r="A30" s="15" t="s">
        <v>936</v>
      </c>
      <c r="B30" s="166"/>
      <c r="C30" s="168">
        <f>IF('Alim -Surf'!K27&gt;0,'Alim -Surf'!K27,0)</f>
        <v>3.1539180000000044</v>
      </c>
      <c r="D30" s="183">
        <f>[1]Eco!$C$72</f>
        <v>135</v>
      </c>
      <c r="E30" s="166"/>
      <c r="F30" s="166"/>
      <c r="G30" s="166"/>
      <c r="H30" s="166"/>
      <c r="I30" s="166"/>
      <c r="J30" s="168">
        <f t="shared" ref="J30" si="17">IF(C30&gt;0,C30*D30,0)</f>
        <v>425.77893000000063</v>
      </c>
      <c r="K30" s="168"/>
      <c r="L30" s="168"/>
      <c r="M30" s="168"/>
      <c r="N30" s="168"/>
      <c r="O30" s="203"/>
      <c r="Q30" s="14" t="s">
        <v>495</v>
      </c>
      <c r="R30" s="168">
        <f>IF(Troupeau!B$3="OL",Troupeau!B$17,0)</f>
        <v>0</v>
      </c>
      <c r="S30" s="168">
        <f>IF(Troupeau!C$3="OL",Troupeau!C$17,0)</f>
        <v>0</v>
      </c>
      <c r="T30" s="168">
        <f>IF(Troupeau!D$3="OL",Troupeau!D$17,0)</f>
        <v>0</v>
      </c>
      <c r="U30" s="168">
        <f>IF(Troupeau!E$3="OL",Troupeau!E$17,0)</f>
        <v>0</v>
      </c>
      <c r="V30" s="168">
        <f t="shared" si="16"/>
        <v>0</v>
      </c>
      <c r="W30" s="14" t="s">
        <v>937</v>
      </c>
      <c r="X30" s="168">
        <f>(V30+V31)/$T$25</f>
        <v>0</v>
      </c>
      <c r="AB30" s="40" t="s">
        <v>932</v>
      </c>
      <c r="AC30" s="62">
        <f>SUM(AC27:AC29)*T25</f>
        <v>6640</v>
      </c>
    </row>
    <row r="31" spans="1:143" s="5" customFormat="1" x14ac:dyDescent="0.25">
      <c r="B31" s="18"/>
      <c r="D31" s="18"/>
      <c r="J31"/>
      <c r="K31"/>
      <c r="L31"/>
      <c r="M31"/>
      <c r="N31"/>
      <c r="O31" s="201"/>
      <c r="P31"/>
      <c r="Q31" s="14" t="s">
        <v>938</v>
      </c>
      <c r="R31" s="168">
        <f>IF(Troupeau!B$3="OV",Troupeau!B$17,0)</f>
        <v>0</v>
      </c>
      <c r="S31" s="168">
        <f>IF(Troupeau!C$3="OV",Troupeau!C$17,0)</f>
        <v>0</v>
      </c>
      <c r="T31" s="168">
        <f>IF(Troupeau!D$3="OV",Troupeau!D$17,0)</f>
        <v>0</v>
      </c>
      <c r="U31" s="168">
        <f>IF(Troupeau!E$3="OV",Troupeau!E$17,0)</f>
        <v>0</v>
      </c>
      <c r="V31" s="168">
        <f t="shared" si="16"/>
        <v>0</v>
      </c>
      <c r="W31" s="14"/>
      <c r="X31" s="166"/>
      <c r="Y31"/>
      <c r="Z31"/>
      <c r="AA31"/>
      <c r="AB31"/>
      <c r="AC31"/>
      <c r="AD31"/>
      <c r="AE31" s="298"/>
      <c r="AF31" s="298"/>
      <c r="AG31" s="299" t="s">
        <v>1433</v>
      </c>
      <c r="AH31" s="299"/>
      <c r="AI31" s="299"/>
      <c r="AJ31" s="299" t="s">
        <v>1434</v>
      </c>
      <c r="AK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 s="14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</row>
    <row r="32" spans="1:143" x14ac:dyDescent="0.25">
      <c r="A32" s="2" t="s">
        <v>939</v>
      </c>
      <c r="Q32" s="14" t="s">
        <v>940</v>
      </c>
      <c r="R32" s="168">
        <f>IF(Troupeau!B$3="CP",Troupeau!B$17,0)</f>
        <v>0</v>
      </c>
      <c r="S32" s="168">
        <f>IF(Troupeau!C$3="CP",Troupeau!C$17,0)</f>
        <v>0</v>
      </c>
      <c r="T32" s="168">
        <f>IF(Troupeau!D$3="CP",Troupeau!D$17,0)</f>
        <v>0</v>
      </c>
      <c r="U32" s="168">
        <f>IF(Troupeau!E$3="CP",Troupeau!E$17,0)</f>
        <v>0</v>
      </c>
      <c r="V32" s="168">
        <f t="shared" si="16"/>
        <v>0</v>
      </c>
      <c r="W32" s="14" t="s">
        <v>940</v>
      </c>
      <c r="X32" s="168">
        <f>V32/T25</f>
        <v>0</v>
      </c>
      <c r="AE32" s="298"/>
      <c r="AF32" s="298"/>
      <c r="AG32" s="298" t="s">
        <v>1435</v>
      </c>
      <c r="AH32" s="298" t="s">
        <v>1436</v>
      </c>
      <c r="AI32" s="298" t="s">
        <v>170</v>
      </c>
      <c r="AJ32" s="298" t="s">
        <v>1437</v>
      </c>
    </row>
    <row r="33" spans="1:143" x14ac:dyDescent="0.25">
      <c r="A33" s="2" t="s">
        <v>941</v>
      </c>
      <c r="Q33" s="165"/>
      <c r="R33" s="165"/>
      <c r="S33" s="165"/>
      <c r="T33" s="165"/>
      <c r="U33" s="165"/>
      <c r="X33" s="166"/>
      <c r="AE33" s="298"/>
      <c r="AF33" s="298" t="s">
        <v>454</v>
      </c>
      <c r="AG33" s="298">
        <f>V28</f>
        <v>40</v>
      </c>
      <c r="AH33" s="298">
        <f>ROUND(AG33*0.24,0)</f>
        <v>10</v>
      </c>
      <c r="AI33" s="298">
        <f>AG33+AH33*1.5*0.6</f>
        <v>49</v>
      </c>
      <c r="AJ33" s="298"/>
    </row>
    <row r="34" spans="1:143" x14ac:dyDescent="0.25">
      <c r="A34" t="s">
        <v>942</v>
      </c>
      <c r="J34" s="168">
        <f>AC30</f>
        <v>6640</v>
      </c>
      <c r="K34" s="168"/>
      <c r="L34" s="168"/>
      <c r="M34" s="168"/>
      <c r="N34" s="168"/>
      <c r="O34" s="203"/>
      <c r="Q34" s="197" t="s">
        <v>943</v>
      </c>
      <c r="R34" s="168">
        <f>AB228</f>
        <v>0</v>
      </c>
      <c r="S34" s="165"/>
      <c r="T34" s="152"/>
      <c r="U34" s="165"/>
      <c r="X34" s="166"/>
      <c r="AB34" s="14"/>
      <c r="AE34" s="298"/>
      <c r="AF34" s="298" t="s">
        <v>491</v>
      </c>
      <c r="AG34" s="298">
        <f t="shared" ref="AG34:AG35" si="18">V29</f>
        <v>0</v>
      </c>
      <c r="AH34" s="298">
        <f>ROUND(AG34*0.3,0)</f>
        <v>0</v>
      </c>
      <c r="AI34" s="298">
        <f t="shared" ref="AI34" si="19">AG34+AH34*1.5*0.6</f>
        <v>0</v>
      </c>
      <c r="AJ34" s="298"/>
    </row>
    <row r="35" spans="1:143" x14ac:dyDescent="0.25">
      <c r="A35" t="s">
        <v>944</v>
      </c>
      <c r="J35" s="168">
        <f>AP29</f>
        <v>0</v>
      </c>
      <c r="K35" s="168"/>
      <c r="L35" s="168"/>
      <c r="M35" s="168"/>
      <c r="N35" s="168"/>
      <c r="O35" s="203"/>
      <c r="X35" s="2" t="s">
        <v>945</v>
      </c>
      <c r="Y35" s="14" t="s">
        <v>946</v>
      </c>
      <c r="Z35" s="62" t="str">
        <f>Scénario!K9</f>
        <v>M1</v>
      </c>
      <c r="AE35" s="298"/>
      <c r="AF35" s="298" t="s">
        <v>495</v>
      </c>
      <c r="AG35" s="298">
        <f t="shared" si="18"/>
        <v>0</v>
      </c>
      <c r="AH35" s="298"/>
      <c r="AI35" s="298">
        <f>AG35*0.15</f>
        <v>0</v>
      </c>
      <c r="AJ35" s="298"/>
    </row>
    <row r="36" spans="1:143" x14ac:dyDescent="0.25">
      <c r="A36" t="s">
        <v>947</v>
      </c>
      <c r="P36" s="5"/>
      <c r="Q36" s="5"/>
      <c r="R36" s="5"/>
      <c r="S36" s="5"/>
      <c r="T36" s="5"/>
      <c r="U36" s="5"/>
      <c r="V36" s="5"/>
      <c r="W36" s="5"/>
      <c r="X36" s="5"/>
      <c r="Y36" s="5" t="s">
        <v>948</v>
      </c>
      <c r="Z36" s="62" t="str">
        <f>IF(Y53&gt;50,CONCATENATE(Z35,"O"),Z35)</f>
        <v>M1</v>
      </c>
      <c r="AA36" s="5"/>
      <c r="AB36" s="14" t="s">
        <v>949</v>
      </c>
      <c r="AC36" s="183">
        <f>VLOOKUP(Z36,[1]Eco!$A$36:$B$45,2)</f>
        <v>235</v>
      </c>
      <c r="AD36" s="5"/>
      <c r="AE36" s="298"/>
      <c r="AF36" s="300" t="s">
        <v>655</v>
      </c>
      <c r="AG36" s="298"/>
      <c r="AH36" s="298"/>
      <c r="AI36" s="298">
        <f>SUM(AI33:AI35)</f>
        <v>49</v>
      </c>
      <c r="AJ36" s="300">
        <f>ROUND(AI36/V46,2)</f>
        <v>1.4</v>
      </c>
      <c r="AK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32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</row>
    <row r="37" spans="1:143" x14ac:dyDescent="0.25">
      <c r="A37" t="s">
        <v>950</v>
      </c>
      <c r="J37" s="168">
        <f>AG29</f>
        <v>0</v>
      </c>
      <c r="K37" s="168"/>
      <c r="L37" s="168"/>
      <c r="M37" s="168"/>
      <c r="N37" s="168"/>
      <c r="O37" s="203"/>
      <c r="S37" s="40" t="s">
        <v>951</v>
      </c>
      <c r="T37" t="s">
        <v>952</v>
      </c>
      <c r="U37" t="s">
        <v>953</v>
      </c>
      <c r="V37" t="s">
        <v>954</v>
      </c>
      <c r="X37" s="166"/>
      <c r="AB37" s="165" t="s">
        <v>955</v>
      </c>
      <c r="AC37" s="165" t="s">
        <v>921</v>
      </c>
      <c r="AD37" s="165" t="s">
        <v>696</v>
      </c>
      <c r="AE37" s="301" t="s">
        <v>1438</v>
      </c>
      <c r="AF37" s="298"/>
      <c r="AG37" s="298"/>
      <c r="AH37" s="298"/>
      <c r="AI37" s="298"/>
      <c r="AJ37" s="299" t="s">
        <v>1439</v>
      </c>
    </row>
    <row r="38" spans="1:143" x14ac:dyDescent="0.25">
      <c r="A38" t="s">
        <v>956</v>
      </c>
      <c r="J38" s="168">
        <f>AK28</f>
        <v>0</v>
      </c>
      <c r="K38" s="168"/>
      <c r="L38" s="168"/>
      <c r="M38" s="168"/>
      <c r="N38" s="168"/>
      <c r="O38" s="203"/>
      <c r="S38" s="14" t="s">
        <v>957</v>
      </c>
      <c r="T38" s="168">
        <f>SUM('Alim -Surf'!E34:E43)</f>
        <v>2.7</v>
      </c>
      <c r="U38" s="168">
        <v>1</v>
      </c>
      <c r="V38" s="168">
        <f>T38*U38</f>
        <v>2.7</v>
      </c>
      <c r="Y38" s="14" t="s">
        <v>958</v>
      </c>
      <c r="Z38" s="30">
        <f>V46</f>
        <v>35.1</v>
      </c>
      <c r="AA38" s="14" t="s">
        <v>959</v>
      </c>
      <c r="AB38" s="168">
        <f>IF(Z39&gt;25, 25,Z39)</f>
        <v>25</v>
      </c>
      <c r="AC38" s="168">
        <f>AC40+AC36</f>
        <v>305</v>
      </c>
      <c r="AD38" s="168">
        <f>AB38*AC38</f>
        <v>7625</v>
      </c>
      <c r="AE38" s="300">
        <f>IF($AJ$40=0,AB38*$AC$40,AD38*$AJ$40/100)</f>
        <v>7625</v>
      </c>
      <c r="AF38" s="298"/>
      <c r="AG38" s="298"/>
      <c r="AH38" s="298"/>
      <c r="AI38" s="302" t="s">
        <v>1440</v>
      </c>
      <c r="AJ38" s="300">
        <f>VLOOKUP(Z35,[1]Eco!$I$37:$K$41,2)</f>
        <v>1.7</v>
      </c>
    </row>
    <row r="39" spans="1:143" x14ac:dyDescent="0.25">
      <c r="A39" t="s">
        <v>960</v>
      </c>
      <c r="B39" s="30">
        <f>R34</f>
        <v>0</v>
      </c>
      <c r="C39" s="208">
        <f>[1]Eco!$B$17</f>
        <v>141</v>
      </c>
      <c r="J39" s="168">
        <f>B39*C39</f>
        <v>0</v>
      </c>
      <c r="K39" s="168"/>
      <c r="L39" s="168"/>
      <c r="M39" s="168"/>
      <c r="N39" s="168"/>
      <c r="O39" s="203"/>
      <c r="S39" s="14" t="s">
        <v>269</v>
      </c>
      <c r="T39" s="168">
        <f>'Alim -Surf'!O7</f>
        <v>32.4</v>
      </c>
      <c r="U39" s="168">
        <f>[1]Eco!$B$20/100</f>
        <v>1</v>
      </c>
      <c r="V39" s="168">
        <f t="shared" ref="V39:V41" si="20">T39*U39</f>
        <v>32.4</v>
      </c>
      <c r="Y39" s="14" t="s">
        <v>961</v>
      </c>
      <c r="Z39" s="30">
        <f>Z38/T25</f>
        <v>35.1</v>
      </c>
      <c r="AA39" s="14" t="s">
        <v>962</v>
      </c>
      <c r="AB39" s="168">
        <f>IF(Z39&gt;50,25,IF(Z39&gt;25,Z39-25,0))</f>
        <v>10.100000000000001</v>
      </c>
      <c r="AC39" s="168">
        <f>AC40+0.66*AC36</f>
        <v>225.1</v>
      </c>
      <c r="AD39" s="168">
        <f t="shared" ref="AD39:AD40" si="21">AB39*AC39</f>
        <v>2273.5100000000002</v>
      </c>
      <c r="AE39" s="300">
        <f>IF($AJ$40=0,AB39*$AC$40,AD39*$AJ$40/100)</f>
        <v>2273.5100000000002</v>
      </c>
      <c r="AF39" s="298"/>
      <c r="AG39" s="298"/>
      <c r="AH39" s="298"/>
      <c r="AI39" s="302" t="s">
        <v>1441</v>
      </c>
      <c r="AJ39" s="300">
        <f>VLOOKUP(Z36,[1]Eco!$I$37:$K$41,3)</f>
        <v>2.5</v>
      </c>
    </row>
    <row r="40" spans="1:143" x14ac:dyDescent="0.25">
      <c r="A40" t="s">
        <v>550</v>
      </c>
      <c r="B40" s="30">
        <f>Scénario!K38</f>
        <v>0</v>
      </c>
      <c r="C40" s="208">
        <f>[1]Eco!$B$18</f>
        <v>35</v>
      </c>
      <c r="J40" s="168">
        <f>B40*C40</f>
        <v>0</v>
      </c>
      <c r="K40" s="168"/>
      <c r="L40" s="168"/>
      <c r="M40" s="168"/>
      <c r="N40" s="168"/>
      <c r="O40" s="203"/>
      <c r="S40" s="14" t="s">
        <v>270</v>
      </c>
      <c r="T40" s="168">
        <f>'Alim -Surf'!O29</f>
        <v>0</v>
      </c>
      <c r="U40" s="168">
        <f>[1]Eco!$B$21/100</f>
        <v>1</v>
      </c>
      <c r="V40" s="168">
        <f t="shared" si="20"/>
        <v>0</v>
      </c>
      <c r="AA40" s="14" t="s">
        <v>963</v>
      </c>
      <c r="AB40" s="168">
        <f>IF(Z39&gt;75,25,IF(Z39&gt;50,Z39-50,0))</f>
        <v>0</v>
      </c>
      <c r="AC40" s="183">
        <f>[1]Eco!$B$34</f>
        <v>70</v>
      </c>
      <c r="AD40" s="168">
        <f t="shared" si="21"/>
        <v>0</v>
      </c>
      <c r="AE40" s="300">
        <f>IF($AJ$40=0,AB40*$AC$40,AD40*$AJ$40/100)</f>
        <v>0</v>
      </c>
      <c r="AF40" s="298"/>
      <c r="AG40" s="298"/>
      <c r="AH40" s="298"/>
      <c r="AI40" s="302" t="s">
        <v>1442</v>
      </c>
      <c r="AJ40" s="300">
        <f>IF(AJ36&lt;=AJ38,100,IF(AJ36&lt;=AJ39,90,0))</f>
        <v>100</v>
      </c>
    </row>
    <row r="41" spans="1:143" x14ac:dyDescent="0.25">
      <c r="A41" s="23" t="s">
        <v>964</v>
      </c>
      <c r="B41" s="5"/>
      <c r="C41" s="5"/>
      <c r="D41" s="5"/>
      <c r="E41" s="5"/>
      <c r="F41" s="5"/>
      <c r="G41" s="5"/>
      <c r="H41" s="5"/>
      <c r="I41" s="5"/>
      <c r="J41" s="166"/>
      <c r="K41" s="166"/>
      <c r="L41" s="166"/>
      <c r="M41" s="166"/>
      <c r="N41" s="166"/>
      <c r="O41" s="203"/>
      <c r="S41" s="14" t="s">
        <v>271</v>
      </c>
      <c r="T41" s="168">
        <f>'Alim -Surf'!O51</f>
        <v>0</v>
      </c>
      <c r="U41" s="168">
        <f>[1]Eco!$B$22/100</f>
        <v>0.6</v>
      </c>
      <c r="V41" s="168">
        <f t="shared" si="20"/>
        <v>0</v>
      </c>
      <c r="AC41" s="40" t="s">
        <v>932</v>
      </c>
      <c r="AD41" s="62">
        <f>SUM(AD38:AD40)*T25</f>
        <v>9898.51</v>
      </c>
      <c r="AE41" s="303">
        <f>ROUND(SUM(AE38:AE40)*T25,0)</f>
        <v>9899</v>
      </c>
      <c r="AF41" s="298"/>
      <c r="AG41" s="298"/>
      <c r="AH41" s="298"/>
      <c r="AI41" s="298"/>
      <c r="AJ41" s="298"/>
    </row>
    <row r="42" spans="1:143" x14ac:dyDescent="0.25">
      <c r="A42" t="s">
        <v>965</v>
      </c>
      <c r="B42" s="30">
        <f>V46</f>
        <v>35.1</v>
      </c>
      <c r="C42" s="208">
        <f>[1]Eco!$B$24</f>
        <v>97</v>
      </c>
      <c r="J42" s="168">
        <f>B42*C42</f>
        <v>3404.7000000000003</v>
      </c>
      <c r="K42" s="168"/>
      <c r="L42" s="168"/>
      <c r="M42" s="168"/>
      <c r="N42" s="168"/>
      <c r="O42" s="203"/>
      <c r="R42" s="209"/>
      <c r="S42" s="204" t="s">
        <v>966</v>
      </c>
      <c r="T42" s="168">
        <f>AA228</f>
        <v>0</v>
      </c>
      <c r="X42" s="210"/>
      <c r="Y42" s="210"/>
      <c r="Z42" s="210"/>
      <c r="AA42" s="210"/>
      <c r="AB42" s="210"/>
      <c r="AC42" s="210"/>
      <c r="AD42" s="210"/>
      <c r="AE42" s="210"/>
      <c r="AF42" s="210" t="s">
        <v>967</v>
      </c>
      <c r="AG42" s="210" t="s">
        <v>968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1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</row>
    <row r="43" spans="1:143" x14ac:dyDescent="0.25">
      <c r="A43" s="5" t="s">
        <v>969</v>
      </c>
      <c r="B43" s="30">
        <f>IF(Z39&gt;52,52,Z39)*T25</f>
        <v>35.1</v>
      </c>
      <c r="C43" s="208">
        <f>[1]Eco!$B$31</f>
        <v>49</v>
      </c>
      <c r="D43" s="5"/>
      <c r="E43" s="5"/>
      <c r="F43" s="5"/>
      <c r="G43" s="5"/>
      <c r="H43" s="5"/>
      <c r="I43" s="5"/>
      <c r="J43" s="168">
        <f>B43*C43</f>
        <v>1719.9</v>
      </c>
      <c r="K43" s="168"/>
      <c r="L43" s="168"/>
      <c r="M43" s="168"/>
      <c r="N43" s="168"/>
      <c r="O43" s="203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1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</row>
    <row r="44" spans="1:143" x14ac:dyDescent="0.25">
      <c r="A44" s="5" t="s">
        <v>970</v>
      </c>
      <c r="B44" s="30">
        <f>B42</f>
        <v>35.1</v>
      </c>
      <c r="C44" s="208">
        <f>[1]Eco!$B$29</f>
        <v>67</v>
      </c>
      <c r="D44" s="5"/>
      <c r="E44" s="5"/>
      <c r="F44" s="5"/>
      <c r="G44" s="5"/>
      <c r="H44" s="5"/>
      <c r="I44" s="5"/>
      <c r="J44" s="168">
        <f>B44*C44</f>
        <v>2351.7000000000003</v>
      </c>
      <c r="K44" s="168"/>
      <c r="L44" s="168"/>
      <c r="M44" s="168"/>
      <c r="N44" s="168"/>
      <c r="O44" s="203"/>
      <c r="U44" s="40" t="s">
        <v>971</v>
      </c>
      <c r="V44" s="62">
        <f>SUM(V38:V41)-T42</f>
        <v>35.1</v>
      </c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1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0"/>
      <c r="CW44" s="210"/>
      <c r="CX44" s="210"/>
      <c r="CY44" s="210"/>
      <c r="CZ44" s="210"/>
      <c r="DA44" s="210"/>
      <c r="DB44" s="210"/>
      <c r="DC44" s="210"/>
      <c r="DD44" s="210"/>
      <c r="DE44" s="210"/>
      <c r="DF44" s="210"/>
      <c r="DG44" s="210"/>
      <c r="DH44" s="210"/>
      <c r="DI44" s="210"/>
      <c r="DJ44" s="210"/>
      <c r="DK44" s="210"/>
      <c r="DL44" s="210"/>
      <c r="DM44" s="210"/>
      <c r="DN44" s="210"/>
      <c r="DO44" s="210"/>
      <c r="DP44" s="210"/>
      <c r="DQ44" s="210"/>
      <c r="DR44" s="210"/>
      <c r="DS44" s="210"/>
      <c r="DT44" s="210"/>
      <c r="DU44" s="210"/>
      <c r="DV44" s="210"/>
      <c r="DW44" s="210"/>
      <c r="DX44" s="210"/>
      <c r="DY44" s="210"/>
      <c r="DZ44" s="210"/>
      <c r="EA44" s="210"/>
      <c r="EB44" s="210"/>
      <c r="EC44" s="210"/>
      <c r="ED44" s="210"/>
      <c r="EE44" s="210"/>
      <c r="EF44" s="210"/>
      <c r="EG44" s="210"/>
      <c r="EH44" s="210"/>
      <c r="EI44" s="210"/>
      <c r="EJ44" s="210"/>
    </row>
    <row r="45" spans="1:143" x14ac:dyDescent="0.25">
      <c r="A45" s="2" t="s">
        <v>972</v>
      </c>
      <c r="J45" s="168">
        <f>AD41</f>
        <v>9898.51</v>
      </c>
      <c r="K45" s="168"/>
      <c r="L45" s="168"/>
      <c r="M45" s="168"/>
      <c r="N45" s="168"/>
      <c r="O45" s="203"/>
      <c r="U45" s="14" t="s">
        <v>973</v>
      </c>
      <c r="V45" s="168">
        <f>S55</f>
        <v>0</v>
      </c>
      <c r="X45" s="210" t="s">
        <v>974</v>
      </c>
      <c r="Y45" s="210"/>
      <c r="Z45" s="210"/>
      <c r="AA45" s="210"/>
      <c r="AB45" s="210"/>
      <c r="AC45" s="210"/>
      <c r="AD45" s="210"/>
      <c r="AE45" s="210"/>
      <c r="AF45" s="212" t="s">
        <v>557</v>
      </c>
      <c r="AG45" s="210"/>
      <c r="AH45" s="210" t="s">
        <v>975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2" t="s">
        <v>588</v>
      </c>
      <c r="BH45" s="210"/>
      <c r="BI45" s="210" t="s">
        <v>975</v>
      </c>
      <c r="BJ45" s="210"/>
      <c r="BK45" s="210"/>
      <c r="BL45" s="210"/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2" t="s">
        <v>721</v>
      </c>
      <c r="CJ45" s="212"/>
      <c r="CK45" s="212" t="s">
        <v>975</v>
      </c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0"/>
      <c r="CW45" s="210"/>
      <c r="CX45" s="210"/>
      <c r="CY45" s="210"/>
      <c r="CZ45" s="210"/>
      <c r="DA45" s="210"/>
      <c r="DB45" s="210"/>
      <c r="DC45" s="210"/>
      <c r="DD45" s="210"/>
      <c r="DE45" s="210"/>
      <c r="DF45" s="210"/>
      <c r="DG45" s="210"/>
      <c r="DH45" s="210"/>
      <c r="DI45" s="210"/>
      <c r="DJ45" s="210"/>
      <c r="DK45" s="212" t="s">
        <v>976</v>
      </c>
      <c r="DL45" s="212"/>
      <c r="DM45" s="212" t="s">
        <v>975</v>
      </c>
      <c r="DN45" s="210"/>
      <c r="DO45" s="210"/>
      <c r="DP45" s="210"/>
      <c r="DQ45" s="210"/>
      <c r="DR45" s="210"/>
      <c r="DS45" s="210"/>
      <c r="DT45" s="210"/>
      <c r="DU45" s="210"/>
      <c r="DV45" s="210"/>
      <c r="DW45" s="210"/>
      <c r="DX45" s="210"/>
      <c r="DY45" s="210"/>
      <c r="DZ45" s="210"/>
      <c r="EA45" s="210"/>
      <c r="EB45" s="210"/>
      <c r="EC45" s="210"/>
      <c r="ED45" s="210"/>
      <c r="EE45" s="210"/>
      <c r="EF45" s="210"/>
      <c r="EG45" s="210"/>
      <c r="EH45" s="210"/>
      <c r="EI45" s="210"/>
      <c r="EJ45" s="210"/>
    </row>
    <row r="46" spans="1:143" s="216" customFormat="1" x14ac:dyDescent="0.25">
      <c r="A46" s="2" t="s">
        <v>977</v>
      </c>
      <c r="B46"/>
      <c r="C46"/>
      <c r="D46"/>
      <c r="E46"/>
      <c r="F46"/>
      <c r="G46"/>
      <c r="H46"/>
      <c r="I46"/>
      <c r="J46" s="168">
        <f>V263</f>
        <v>0</v>
      </c>
      <c r="K46" s="168"/>
      <c r="L46" s="168"/>
      <c r="M46" s="168"/>
      <c r="N46" s="168"/>
      <c r="O46" s="213"/>
      <c r="P46"/>
      <c r="Q46"/>
      <c r="R46"/>
      <c r="S46"/>
      <c r="T46"/>
      <c r="U46" s="40" t="s">
        <v>978</v>
      </c>
      <c r="V46" s="62">
        <f>V44+V45</f>
        <v>35.1</v>
      </c>
      <c r="W46"/>
      <c r="X46" s="210"/>
      <c r="Y46" s="214" t="s">
        <v>869</v>
      </c>
      <c r="Z46" s="214" t="s">
        <v>885</v>
      </c>
      <c r="AA46" s="214" t="s">
        <v>886</v>
      </c>
      <c r="AB46" s="214" t="s">
        <v>887</v>
      </c>
      <c r="AC46" s="214" t="s">
        <v>13</v>
      </c>
      <c r="AD46" s="210"/>
      <c r="AE46" s="210"/>
      <c r="AF46" s="210"/>
      <c r="AG46" s="210"/>
      <c r="AH46" s="215">
        <v>1</v>
      </c>
      <c r="AI46" s="215">
        <v>2</v>
      </c>
      <c r="AJ46" s="215">
        <v>3</v>
      </c>
      <c r="AK46" s="215">
        <v>4</v>
      </c>
      <c r="AL46" s="215">
        <v>5</v>
      </c>
      <c r="AM46" s="215">
        <v>6</v>
      </c>
      <c r="AN46" s="215">
        <v>7</v>
      </c>
      <c r="AO46" s="215">
        <v>8</v>
      </c>
      <c r="AP46" s="215">
        <v>9</v>
      </c>
      <c r="AQ46" s="215">
        <v>10</v>
      </c>
      <c r="AR46" s="215">
        <v>11</v>
      </c>
      <c r="AS46" s="215">
        <v>12</v>
      </c>
      <c r="AT46" s="215">
        <v>13</v>
      </c>
      <c r="AU46" s="215">
        <v>14</v>
      </c>
      <c r="AV46" s="215">
        <v>15</v>
      </c>
      <c r="AW46" s="215">
        <v>16</v>
      </c>
      <c r="AX46" s="215">
        <v>17</v>
      </c>
      <c r="AY46" s="215">
        <v>18</v>
      </c>
      <c r="AZ46" s="215">
        <v>19</v>
      </c>
      <c r="BA46" s="215">
        <v>20</v>
      </c>
      <c r="BB46" s="215">
        <v>21</v>
      </c>
      <c r="BC46" s="215">
        <v>22</v>
      </c>
      <c r="BD46" s="215">
        <v>23</v>
      </c>
      <c r="BE46" s="215">
        <v>24</v>
      </c>
      <c r="BF46" s="210"/>
      <c r="BG46" s="211"/>
      <c r="BH46" s="210"/>
      <c r="BI46" s="214">
        <v>1</v>
      </c>
      <c r="BJ46" s="214">
        <v>2</v>
      </c>
      <c r="BK46" s="214">
        <v>3</v>
      </c>
      <c r="BL46" s="214">
        <v>4</v>
      </c>
      <c r="BM46" s="214">
        <v>5</v>
      </c>
      <c r="BN46" s="214">
        <v>6</v>
      </c>
      <c r="BO46" s="214">
        <v>7</v>
      </c>
      <c r="BP46" s="214">
        <v>8</v>
      </c>
      <c r="BQ46" s="214">
        <v>9</v>
      </c>
      <c r="BR46" s="214">
        <v>10</v>
      </c>
      <c r="BS46" s="214">
        <v>11</v>
      </c>
      <c r="BT46" s="214">
        <v>12</v>
      </c>
      <c r="BU46" s="214">
        <v>13</v>
      </c>
      <c r="BV46" s="214">
        <v>14</v>
      </c>
      <c r="BW46" s="214">
        <v>15</v>
      </c>
      <c r="BX46" s="214">
        <v>16</v>
      </c>
      <c r="BY46" s="214">
        <v>17</v>
      </c>
      <c r="BZ46" s="214">
        <v>18</v>
      </c>
      <c r="CA46" s="214">
        <v>19</v>
      </c>
      <c r="CB46" s="214">
        <v>20</v>
      </c>
      <c r="CC46" s="214">
        <v>21</v>
      </c>
      <c r="CD46" s="214">
        <v>22</v>
      </c>
      <c r="CE46" s="214">
        <v>23</v>
      </c>
      <c r="CF46" s="214">
        <v>24</v>
      </c>
      <c r="CG46" s="210"/>
      <c r="CH46" s="210"/>
      <c r="CI46" s="211"/>
      <c r="CJ46" s="210"/>
      <c r="CK46" s="214">
        <v>1</v>
      </c>
      <c r="CL46" s="214">
        <v>2</v>
      </c>
      <c r="CM46" s="214">
        <v>3</v>
      </c>
      <c r="CN46" s="214">
        <v>4</v>
      </c>
      <c r="CO46" s="214">
        <v>5</v>
      </c>
      <c r="CP46" s="214">
        <v>6</v>
      </c>
      <c r="CQ46" s="214">
        <v>7</v>
      </c>
      <c r="CR46" s="214">
        <v>8</v>
      </c>
      <c r="CS46" s="214">
        <v>9</v>
      </c>
      <c r="CT46" s="214">
        <v>10</v>
      </c>
      <c r="CU46" s="214">
        <v>11</v>
      </c>
      <c r="CV46" s="214">
        <v>12</v>
      </c>
      <c r="CW46" s="214">
        <v>13</v>
      </c>
      <c r="CX46" s="214">
        <v>14</v>
      </c>
      <c r="CY46" s="214">
        <v>15</v>
      </c>
      <c r="CZ46" s="214">
        <v>16</v>
      </c>
      <c r="DA46" s="214">
        <v>17</v>
      </c>
      <c r="DB46" s="214">
        <v>18</v>
      </c>
      <c r="DC46" s="214">
        <v>19</v>
      </c>
      <c r="DD46" s="214">
        <v>20</v>
      </c>
      <c r="DE46" s="214">
        <v>21</v>
      </c>
      <c r="DF46" s="214">
        <v>22</v>
      </c>
      <c r="DG46" s="214">
        <v>23</v>
      </c>
      <c r="DH46" s="214">
        <v>24</v>
      </c>
      <c r="DI46" s="214"/>
      <c r="DJ46" s="210"/>
      <c r="DK46" s="211"/>
      <c r="DL46" s="210"/>
      <c r="DM46" s="214">
        <v>1</v>
      </c>
      <c r="DN46" s="214">
        <v>2</v>
      </c>
      <c r="DO46" s="214">
        <v>3</v>
      </c>
      <c r="DP46" s="214">
        <v>4</v>
      </c>
      <c r="DQ46" s="214">
        <v>5</v>
      </c>
      <c r="DR46" s="214">
        <v>6</v>
      </c>
      <c r="DS46" s="214">
        <v>7</v>
      </c>
      <c r="DT46" s="214">
        <v>8</v>
      </c>
      <c r="DU46" s="214">
        <v>9</v>
      </c>
      <c r="DV46" s="214">
        <v>10</v>
      </c>
      <c r="DW46" s="214">
        <v>11</v>
      </c>
      <c r="DX46" s="214">
        <v>12</v>
      </c>
      <c r="DY46" s="214">
        <v>13</v>
      </c>
      <c r="DZ46" s="214">
        <v>14</v>
      </c>
      <c r="EA46" s="214">
        <v>15</v>
      </c>
      <c r="EB46" s="214">
        <v>16</v>
      </c>
      <c r="EC46" s="214">
        <v>17</v>
      </c>
      <c r="ED46" s="214">
        <v>18</v>
      </c>
      <c r="EE46" s="214">
        <v>19</v>
      </c>
      <c r="EF46" s="214">
        <v>20</v>
      </c>
      <c r="EG46" s="214">
        <v>21</v>
      </c>
      <c r="EH46" s="214">
        <v>22</v>
      </c>
      <c r="EI46" s="214">
        <v>23</v>
      </c>
      <c r="EJ46" s="214">
        <v>24</v>
      </c>
      <c r="EK46" s="165"/>
      <c r="EL46" s="165"/>
      <c r="EM46" s="165"/>
    </row>
    <row r="47" spans="1:143" x14ac:dyDescent="0.25">
      <c r="X47" s="211" t="s">
        <v>454</v>
      </c>
      <c r="Y47" s="214">
        <f>IF(Troupeau!B$3="BV",Troupeau!B$49,0)</f>
        <v>46.5</v>
      </c>
      <c r="Z47" s="214">
        <f>IF(Troupeau!C$3="BV",Troupeau!C$49,0)</f>
        <v>0</v>
      </c>
      <c r="AA47" s="214">
        <f>IF(Troupeau!D$3="BV",Troupeau!D$49,0)</f>
        <v>0</v>
      </c>
      <c r="AB47" s="214">
        <f>IF(Troupeau!E$3="BV",Troupeau!E$49,0)</f>
        <v>0</v>
      </c>
      <c r="AC47" s="214">
        <f>SUM(Y47:AB47)</f>
        <v>46.5</v>
      </c>
      <c r="AD47" s="210"/>
      <c r="AE47" s="210"/>
      <c r="AF47" s="217" t="s">
        <v>979</v>
      </c>
      <c r="AG47" s="210" t="str">
        <f>CdTrp1!A39</f>
        <v xml:space="preserve">Vaches </v>
      </c>
      <c r="AH47" s="214">
        <f>CdTrp1!B39</f>
        <v>27.879999999999995</v>
      </c>
      <c r="AI47" s="214">
        <f>CdTrp1!C39</f>
        <v>27.879999999999995</v>
      </c>
      <c r="AJ47" s="214">
        <f>CdTrp1!D39</f>
        <v>27.879999999999995</v>
      </c>
      <c r="AK47" s="214">
        <f>CdTrp1!E39</f>
        <v>27.879999999999995</v>
      </c>
      <c r="AL47" s="214">
        <f>CdTrp1!F39</f>
        <v>27.879999999999995</v>
      </c>
      <c r="AM47" s="214">
        <f>CdTrp1!G39</f>
        <v>27.879999999999995</v>
      </c>
      <c r="AN47" s="214">
        <f>CdTrp1!H39</f>
        <v>27.879999999999995</v>
      </c>
      <c r="AO47" s="214">
        <f>CdTrp1!I39</f>
        <v>27.879999999999995</v>
      </c>
      <c r="AP47" s="214">
        <f>CdTrp1!J39</f>
        <v>27.879999999999995</v>
      </c>
      <c r="AQ47" s="214">
        <f>CdTrp1!K39</f>
        <v>27.879999999999995</v>
      </c>
      <c r="AR47" s="214">
        <f>CdTrp1!L39</f>
        <v>27.879999999999995</v>
      </c>
      <c r="AS47" s="214">
        <f>CdTrp1!M39</f>
        <v>27.879999999999995</v>
      </c>
      <c r="AT47" s="214">
        <f>CdTrp1!N39</f>
        <v>27.879999999999995</v>
      </c>
      <c r="AU47" s="214">
        <f>CdTrp1!O39</f>
        <v>27.879999999999995</v>
      </c>
      <c r="AV47" s="214">
        <f>CdTrp1!P39</f>
        <v>27.879999999999995</v>
      </c>
      <c r="AW47" s="214">
        <f>CdTrp1!Q39</f>
        <v>26.52</v>
      </c>
      <c r="AX47" s="214">
        <f>CdTrp1!R39</f>
        <v>25.16</v>
      </c>
      <c r="AY47" s="214">
        <f>CdTrp1!S39</f>
        <v>23.8</v>
      </c>
      <c r="AZ47" s="214">
        <f>CdTrp1!T39</f>
        <v>24.48</v>
      </c>
      <c r="BA47" s="214">
        <f>CdTrp1!U39</f>
        <v>25.16</v>
      </c>
      <c r="BB47" s="214">
        <f>CdTrp1!V39</f>
        <v>25.84</v>
      </c>
      <c r="BC47" s="214">
        <f>CdTrp1!W39</f>
        <v>27.879999999999995</v>
      </c>
      <c r="BD47" s="214">
        <f>CdTrp1!X39</f>
        <v>27.879999999999995</v>
      </c>
      <c r="BE47" s="214">
        <f>CdTrp1!Y39</f>
        <v>27.879999999999995</v>
      </c>
      <c r="BF47" s="210"/>
      <c r="BG47" s="211" t="s">
        <v>979</v>
      </c>
      <c r="BH47" s="210" t="str">
        <f>CdTrp2!A39</f>
        <v>lot1</v>
      </c>
      <c r="BI47" s="210">
        <f>CdTrp2!B39</f>
        <v>0</v>
      </c>
      <c r="BJ47" s="210">
        <f>CdTrp2!C39</f>
        <v>0</v>
      </c>
      <c r="BK47" s="210">
        <f>CdTrp2!D39</f>
        <v>0</v>
      </c>
      <c r="BL47" s="210">
        <f>CdTrp2!E39</f>
        <v>0</v>
      </c>
      <c r="BM47" s="210">
        <f>CdTrp2!F39</f>
        <v>0</v>
      </c>
      <c r="BN47" s="210">
        <f>CdTrp2!G39</f>
        <v>0</v>
      </c>
      <c r="BO47" s="210">
        <f>CdTrp2!H39</f>
        <v>0</v>
      </c>
      <c r="BP47" s="210">
        <f>CdTrp2!I39</f>
        <v>0</v>
      </c>
      <c r="BQ47" s="210">
        <f>CdTrp2!J39</f>
        <v>0</v>
      </c>
      <c r="BR47" s="210">
        <f>CdTrp2!K39</f>
        <v>0</v>
      </c>
      <c r="BS47" s="210">
        <f>CdTrp2!L39</f>
        <v>0</v>
      </c>
      <c r="BT47" s="210">
        <f>CdTrp2!M39</f>
        <v>0</v>
      </c>
      <c r="BU47" s="210">
        <f>CdTrp2!N39</f>
        <v>0</v>
      </c>
      <c r="BV47" s="210">
        <f>CdTrp2!O39</f>
        <v>0</v>
      </c>
      <c r="BW47" s="210">
        <f>CdTrp2!P39</f>
        <v>0</v>
      </c>
      <c r="BX47" s="210">
        <f>CdTrp2!Q39</f>
        <v>0</v>
      </c>
      <c r="BY47" s="210">
        <f>CdTrp2!R39</f>
        <v>0</v>
      </c>
      <c r="BZ47" s="210">
        <f>CdTrp2!S39</f>
        <v>0</v>
      </c>
      <c r="CA47" s="210">
        <f>CdTrp2!T39</f>
        <v>0</v>
      </c>
      <c r="CB47" s="210">
        <f>CdTrp2!U39</f>
        <v>0</v>
      </c>
      <c r="CC47" s="210">
        <f>CdTrp2!V39</f>
        <v>0</v>
      </c>
      <c r="CD47" s="210">
        <f>CdTrp2!W39</f>
        <v>0</v>
      </c>
      <c r="CE47" s="210">
        <f>CdTrp2!X39</f>
        <v>0</v>
      </c>
      <c r="CF47" s="210">
        <f>CdTrp2!Y39</f>
        <v>0</v>
      </c>
      <c r="CG47" s="210"/>
      <c r="CH47" s="210"/>
      <c r="CI47" s="211" t="s">
        <v>979</v>
      </c>
      <c r="CJ47" s="210" t="str">
        <f>CdTrp3!A39</f>
        <v>lot1</v>
      </c>
      <c r="CK47" s="214">
        <f>CdTrp3!B39</f>
        <v>0</v>
      </c>
      <c r="CL47" s="214">
        <f>CdTrp3!C39</f>
        <v>0</v>
      </c>
      <c r="CM47" s="214">
        <f>CdTrp3!D39</f>
        <v>0</v>
      </c>
      <c r="CN47" s="214">
        <f>CdTrp3!E39</f>
        <v>0</v>
      </c>
      <c r="CO47" s="214">
        <f>CdTrp3!F39</f>
        <v>0</v>
      </c>
      <c r="CP47" s="214">
        <f>CdTrp3!G39</f>
        <v>0</v>
      </c>
      <c r="CQ47" s="214">
        <f>CdTrp3!H39</f>
        <v>0</v>
      </c>
      <c r="CR47" s="214">
        <f>CdTrp3!I39</f>
        <v>0</v>
      </c>
      <c r="CS47" s="214">
        <f>CdTrp3!J39</f>
        <v>0</v>
      </c>
      <c r="CT47" s="214">
        <f>CdTrp3!K39</f>
        <v>0</v>
      </c>
      <c r="CU47" s="214">
        <f>CdTrp3!L39</f>
        <v>0</v>
      </c>
      <c r="CV47" s="214">
        <f>CdTrp3!M39</f>
        <v>0</v>
      </c>
      <c r="CW47" s="214">
        <f>CdTrp3!N39</f>
        <v>0</v>
      </c>
      <c r="CX47" s="214">
        <f>CdTrp3!O39</f>
        <v>0</v>
      </c>
      <c r="CY47" s="214">
        <f>CdTrp3!P39</f>
        <v>0</v>
      </c>
      <c r="CZ47" s="214">
        <f>CdTrp3!Q39</f>
        <v>0</v>
      </c>
      <c r="DA47" s="214">
        <f>CdTrp3!R39</f>
        <v>0</v>
      </c>
      <c r="DB47" s="214">
        <f>CdTrp3!S39</f>
        <v>0</v>
      </c>
      <c r="DC47" s="214">
        <f>CdTrp3!T39</f>
        <v>0</v>
      </c>
      <c r="DD47" s="214">
        <f>CdTrp3!U39</f>
        <v>0</v>
      </c>
      <c r="DE47" s="214">
        <f>CdTrp3!V39</f>
        <v>0</v>
      </c>
      <c r="DF47" s="214">
        <f>CdTrp3!W39</f>
        <v>0</v>
      </c>
      <c r="DG47" s="214">
        <f>CdTrp3!X39</f>
        <v>0</v>
      </c>
      <c r="DH47" s="214">
        <f>CdTrp3!Y39</f>
        <v>0</v>
      </c>
      <c r="DI47" s="210"/>
      <c r="DJ47" s="210"/>
      <c r="DK47" s="211" t="s">
        <v>979</v>
      </c>
      <c r="DL47" s="210" t="str">
        <f>CdTrp4!A39</f>
        <v>lot1</v>
      </c>
      <c r="DM47" s="214">
        <f>CdTrp4!B39</f>
        <v>0</v>
      </c>
      <c r="DN47" s="214">
        <f>CdTrp4!C39</f>
        <v>0</v>
      </c>
      <c r="DO47" s="214">
        <f>CdTrp4!D39</f>
        <v>0</v>
      </c>
      <c r="DP47" s="214">
        <f>CdTrp4!E39</f>
        <v>0</v>
      </c>
      <c r="DQ47" s="214">
        <f>CdTrp4!F39</f>
        <v>0</v>
      </c>
      <c r="DR47" s="214">
        <f>CdTrp4!G39</f>
        <v>0</v>
      </c>
      <c r="DS47" s="214">
        <f>CdTrp4!H39</f>
        <v>0</v>
      </c>
      <c r="DT47" s="214">
        <f>CdTrp4!I39</f>
        <v>0</v>
      </c>
      <c r="DU47" s="214">
        <f>CdTrp4!J39</f>
        <v>0</v>
      </c>
      <c r="DV47" s="214">
        <f>CdTrp4!K39</f>
        <v>0</v>
      </c>
      <c r="DW47" s="214">
        <f>CdTrp4!L39</f>
        <v>0</v>
      </c>
      <c r="DX47" s="214">
        <f>CdTrp4!M39</f>
        <v>0</v>
      </c>
      <c r="DY47" s="214">
        <f>CdTrp4!N39</f>
        <v>0</v>
      </c>
      <c r="DZ47" s="214">
        <f>CdTrp4!O39</f>
        <v>0</v>
      </c>
      <c r="EA47" s="214">
        <f>CdTrp4!P39</f>
        <v>0</v>
      </c>
      <c r="EB47" s="214">
        <f>CdTrp4!Q39</f>
        <v>0</v>
      </c>
      <c r="EC47" s="214">
        <f>CdTrp4!R39</f>
        <v>0</v>
      </c>
      <c r="ED47" s="214">
        <f>CdTrp4!S39</f>
        <v>0</v>
      </c>
      <c r="EE47" s="214">
        <f>CdTrp4!T39</f>
        <v>0</v>
      </c>
      <c r="EF47" s="214">
        <f>CdTrp4!U39</f>
        <v>0</v>
      </c>
      <c r="EG47" s="214">
        <f>CdTrp4!V39</f>
        <v>0</v>
      </c>
      <c r="EH47" s="214">
        <f>CdTrp4!W39</f>
        <v>0</v>
      </c>
      <c r="EI47" s="214">
        <f>CdTrp4!X39</f>
        <v>0</v>
      </c>
      <c r="EJ47" s="214">
        <f>CdTrp4!Y39</f>
        <v>0</v>
      </c>
    </row>
    <row r="48" spans="1:143" x14ac:dyDescent="0.25">
      <c r="A48" s="218" t="s">
        <v>980</v>
      </c>
      <c r="B48" s="218"/>
      <c r="C48" s="218"/>
      <c r="D48" s="218"/>
      <c r="E48" s="218"/>
      <c r="F48" s="218"/>
      <c r="G48" s="218"/>
      <c r="H48" s="218"/>
      <c r="I48" s="218"/>
      <c r="J48" s="219">
        <f>SUM(J5:J46)</f>
        <v>57374.588929999998</v>
      </c>
      <c r="K48" s="219"/>
      <c r="L48" s="219"/>
      <c r="M48" s="219"/>
      <c r="N48" s="219"/>
      <c r="O48" s="220"/>
      <c r="X48" s="211" t="s">
        <v>491</v>
      </c>
      <c r="Y48" s="214">
        <f>IF(Troupeau!B$3="BL",Troupeau!B$49,0)</f>
        <v>0</v>
      </c>
      <c r="Z48" s="214">
        <f>IF(Troupeau!C$3="BL",Troupeau!C$49,0)</f>
        <v>0</v>
      </c>
      <c r="AA48" s="214">
        <f>IF(Troupeau!D$3="BL",Troupeau!D$49,0)</f>
        <v>0</v>
      </c>
      <c r="AB48" s="214">
        <f>IF(Troupeau!E$3="BL",Troupeau!E$49,0)</f>
        <v>0</v>
      </c>
      <c r="AC48" s="214">
        <f>SUM(Y48:AB48)</f>
        <v>0</v>
      </c>
      <c r="AD48" s="210"/>
      <c r="AE48" s="210"/>
      <c r="AF48" s="210"/>
      <c r="AG48" s="253" t="str">
        <f>CdTrp1!A40</f>
        <v>Génisses 24 mois</v>
      </c>
      <c r="AH48" s="214">
        <f>CdTrp1!B40</f>
        <v>7.68</v>
      </c>
      <c r="AI48" s="214">
        <f>CdTrp1!C40</f>
        <v>7.68</v>
      </c>
      <c r="AJ48" s="214">
        <f>CdTrp1!D40</f>
        <v>7.68</v>
      </c>
      <c r="AK48" s="214">
        <f>CdTrp1!E40</f>
        <v>7.68</v>
      </c>
      <c r="AL48" s="214">
        <f>CdTrp1!F40</f>
        <v>7.68</v>
      </c>
      <c r="AM48" s="214">
        <f>CdTrp1!G40</f>
        <v>7.68</v>
      </c>
      <c r="AN48" s="214">
        <f>CdTrp1!H40</f>
        <v>7.68</v>
      </c>
      <c r="AO48" s="214">
        <f>CdTrp1!I40</f>
        <v>7.68</v>
      </c>
      <c r="AP48" s="214">
        <f>CdTrp1!J40</f>
        <v>7.68</v>
      </c>
      <c r="AQ48" s="214">
        <f>CdTrp1!K40</f>
        <v>7.68</v>
      </c>
      <c r="AR48" s="214">
        <f>CdTrp1!L40</f>
        <v>7.68</v>
      </c>
      <c r="AS48" s="214">
        <f>CdTrp1!M40</f>
        <v>7.68</v>
      </c>
      <c r="AT48" s="214">
        <f>CdTrp1!N40</f>
        <v>7.68</v>
      </c>
      <c r="AU48" s="214">
        <f>CdTrp1!O40</f>
        <v>7.68</v>
      </c>
      <c r="AV48" s="214">
        <f>CdTrp1!P40</f>
        <v>7.68</v>
      </c>
      <c r="AW48" s="214">
        <f>CdTrp1!Q40</f>
        <v>7.68</v>
      </c>
      <c r="AX48" s="214">
        <f>CdTrp1!R40</f>
        <v>7.68</v>
      </c>
      <c r="AY48" s="214">
        <f>CdTrp1!S40</f>
        <v>7.68</v>
      </c>
      <c r="AZ48" s="214">
        <f>CdTrp1!T40</f>
        <v>7.68</v>
      </c>
      <c r="BA48" s="214">
        <f>CdTrp1!U40</f>
        <v>7.68</v>
      </c>
      <c r="BB48" s="214">
        <f>CdTrp1!V40</f>
        <v>7.68</v>
      </c>
      <c r="BC48" s="214">
        <f>CdTrp1!W40</f>
        <v>7.68</v>
      </c>
      <c r="BD48" s="214">
        <f>CdTrp1!X40</f>
        <v>7.68</v>
      </c>
      <c r="BE48" s="214">
        <f>CdTrp1!Y40</f>
        <v>7.68</v>
      </c>
      <c r="BF48" s="210"/>
      <c r="BG48" s="211"/>
      <c r="BH48" s="253" t="str">
        <f>CdTrp2!A40</f>
        <v>lot2</v>
      </c>
      <c r="BI48" s="210">
        <f>CdTrp2!B40</f>
        <v>0</v>
      </c>
      <c r="BJ48" s="210">
        <f>CdTrp2!C40</f>
        <v>0</v>
      </c>
      <c r="BK48" s="210">
        <f>CdTrp2!D40</f>
        <v>0</v>
      </c>
      <c r="BL48" s="210">
        <f>CdTrp2!E40</f>
        <v>0</v>
      </c>
      <c r="BM48" s="210">
        <f>CdTrp2!F40</f>
        <v>0</v>
      </c>
      <c r="BN48" s="210">
        <f>CdTrp2!G40</f>
        <v>0</v>
      </c>
      <c r="BO48" s="210">
        <f>CdTrp2!H40</f>
        <v>0</v>
      </c>
      <c r="BP48" s="210">
        <f>CdTrp2!I40</f>
        <v>0</v>
      </c>
      <c r="BQ48" s="210">
        <f>CdTrp2!J40</f>
        <v>0</v>
      </c>
      <c r="BR48" s="210">
        <f>CdTrp2!K40</f>
        <v>0</v>
      </c>
      <c r="BS48" s="210">
        <f>CdTrp2!L40</f>
        <v>0</v>
      </c>
      <c r="BT48" s="210">
        <f>CdTrp2!M40</f>
        <v>0</v>
      </c>
      <c r="BU48" s="210">
        <f>CdTrp2!N40</f>
        <v>0</v>
      </c>
      <c r="BV48" s="210">
        <f>CdTrp2!O40</f>
        <v>0</v>
      </c>
      <c r="BW48" s="210">
        <f>CdTrp2!P40</f>
        <v>0</v>
      </c>
      <c r="BX48" s="210">
        <f>CdTrp2!Q40</f>
        <v>0</v>
      </c>
      <c r="BY48" s="210">
        <f>CdTrp2!R40</f>
        <v>0</v>
      </c>
      <c r="BZ48" s="210">
        <f>CdTrp2!S40</f>
        <v>0</v>
      </c>
      <c r="CA48" s="210">
        <f>CdTrp2!T40</f>
        <v>0</v>
      </c>
      <c r="CB48" s="210">
        <f>CdTrp2!U40</f>
        <v>0</v>
      </c>
      <c r="CC48" s="210">
        <f>CdTrp2!V40</f>
        <v>0</v>
      </c>
      <c r="CD48" s="210">
        <f>CdTrp2!W40</f>
        <v>0</v>
      </c>
      <c r="CE48" s="210">
        <f>CdTrp2!X40</f>
        <v>0</v>
      </c>
      <c r="CF48" s="210">
        <f>CdTrp2!Y40</f>
        <v>0</v>
      </c>
      <c r="CG48" s="210"/>
      <c r="CH48" s="210"/>
      <c r="CI48" s="211"/>
      <c r="CJ48" s="253" t="str">
        <f>CdTrp3!A40</f>
        <v>lot2</v>
      </c>
      <c r="CK48" s="214">
        <f>CdTrp3!B40</f>
        <v>0</v>
      </c>
      <c r="CL48" s="214">
        <f>CdTrp3!C40</f>
        <v>0</v>
      </c>
      <c r="CM48" s="214">
        <f>CdTrp3!D40</f>
        <v>0</v>
      </c>
      <c r="CN48" s="214">
        <f>CdTrp3!E40</f>
        <v>0</v>
      </c>
      <c r="CO48" s="214">
        <f>CdTrp3!F40</f>
        <v>0</v>
      </c>
      <c r="CP48" s="214">
        <f>CdTrp3!G40</f>
        <v>0</v>
      </c>
      <c r="CQ48" s="214">
        <f>CdTrp3!H40</f>
        <v>0</v>
      </c>
      <c r="CR48" s="214">
        <f>CdTrp3!I40</f>
        <v>0</v>
      </c>
      <c r="CS48" s="214">
        <f>CdTrp3!J40</f>
        <v>0</v>
      </c>
      <c r="CT48" s="214">
        <f>CdTrp3!K40</f>
        <v>0</v>
      </c>
      <c r="CU48" s="214">
        <f>CdTrp3!L40</f>
        <v>0</v>
      </c>
      <c r="CV48" s="214">
        <f>CdTrp3!M40</f>
        <v>0</v>
      </c>
      <c r="CW48" s="214">
        <f>CdTrp3!N40</f>
        <v>0</v>
      </c>
      <c r="CX48" s="214">
        <f>CdTrp3!O40</f>
        <v>0</v>
      </c>
      <c r="CY48" s="214">
        <f>CdTrp3!P40</f>
        <v>0</v>
      </c>
      <c r="CZ48" s="214">
        <f>CdTrp3!Q40</f>
        <v>0</v>
      </c>
      <c r="DA48" s="214">
        <f>CdTrp3!R40</f>
        <v>0</v>
      </c>
      <c r="DB48" s="214">
        <f>CdTrp3!S40</f>
        <v>0</v>
      </c>
      <c r="DC48" s="214">
        <f>CdTrp3!T40</f>
        <v>0</v>
      </c>
      <c r="DD48" s="214">
        <f>CdTrp3!U40</f>
        <v>0</v>
      </c>
      <c r="DE48" s="214">
        <f>CdTrp3!V40</f>
        <v>0</v>
      </c>
      <c r="DF48" s="214">
        <f>CdTrp3!W40</f>
        <v>0</v>
      </c>
      <c r="DG48" s="214">
        <f>CdTrp3!X40</f>
        <v>0</v>
      </c>
      <c r="DH48" s="214">
        <f>CdTrp3!Y40</f>
        <v>0</v>
      </c>
      <c r="DI48" s="210"/>
      <c r="DJ48" s="210"/>
      <c r="DK48" s="211"/>
      <c r="DL48" s="253" t="str">
        <f>CdTrp4!A40</f>
        <v>lot2</v>
      </c>
      <c r="DM48" s="214">
        <f>CdTrp4!B40</f>
        <v>0</v>
      </c>
      <c r="DN48" s="214">
        <f>CdTrp4!C40</f>
        <v>0</v>
      </c>
      <c r="DO48" s="214">
        <f>CdTrp4!D40</f>
        <v>0</v>
      </c>
      <c r="DP48" s="214">
        <f>CdTrp4!E40</f>
        <v>0</v>
      </c>
      <c r="DQ48" s="214">
        <f>CdTrp4!F40</f>
        <v>0</v>
      </c>
      <c r="DR48" s="214">
        <f>CdTrp4!G40</f>
        <v>0</v>
      </c>
      <c r="DS48" s="214">
        <f>CdTrp4!H40</f>
        <v>0</v>
      </c>
      <c r="DT48" s="214">
        <f>CdTrp4!I40</f>
        <v>0</v>
      </c>
      <c r="DU48" s="214">
        <f>CdTrp4!J40</f>
        <v>0</v>
      </c>
      <c r="DV48" s="214">
        <f>CdTrp4!K40</f>
        <v>0</v>
      </c>
      <c r="DW48" s="214">
        <f>CdTrp4!L40</f>
        <v>0</v>
      </c>
      <c r="DX48" s="214">
        <f>CdTrp4!M40</f>
        <v>0</v>
      </c>
      <c r="DY48" s="214">
        <f>CdTrp4!N40</f>
        <v>0</v>
      </c>
      <c r="DZ48" s="214">
        <f>CdTrp4!O40</f>
        <v>0</v>
      </c>
      <c r="EA48" s="214">
        <f>CdTrp4!P40</f>
        <v>0</v>
      </c>
      <c r="EB48" s="214">
        <f>CdTrp4!Q40</f>
        <v>0</v>
      </c>
      <c r="EC48" s="214">
        <f>CdTrp4!R40</f>
        <v>0</v>
      </c>
      <c r="ED48" s="214">
        <f>CdTrp4!S40</f>
        <v>0</v>
      </c>
      <c r="EE48" s="214">
        <f>CdTrp4!T40</f>
        <v>0</v>
      </c>
      <c r="EF48" s="214">
        <f>CdTrp4!U40</f>
        <v>0</v>
      </c>
      <c r="EG48" s="214">
        <f>CdTrp4!V40</f>
        <v>0</v>
      </c>
      <c r="EH48" s="214">
        <f>CdTrp4!W40</f>
        <v>0</v>
      </c>
      <c r="EI48" s="214">
        <f>CdTrp4!X40</f>
        <v>0</v>
      </c>
      <c r="EJ48" s="214">
        <f>CdTrp4!Y40</f>
        <v>0</v>
      </c>
    </row>
    <row r="49" spans="1:143" x14ac:dyDescent="0.25">
      <c r="R49" s="2" t="s">
        <v>981</v>
      </c>
      <c r="X49" s="211" t="s">
        <v>495</v>
      </c>
      <c r="Y49" s="214">
        <f>IF(Troupeau!B$3="OL",Troupeau!B$49,0)</f>
        <v>0</v>
      </c>
      <c r="Z49" s="214">
        <f>IF(Troupeau!C$3="OL",Troupeau!C$49,0)</f>
        <v>0</v>
      </c>
      <c r="AA49" s="214">
        <f>IF(Troupeau!D$3="OL",Troupeau!D$49,0)</f>
        <v>0</v>
      </c>
      <c r="AB49" s="214">
        <f>IF(Troupeau!E$3="OL",Troupeau!E$49,0)</f>
        <v>0</v>
      </c>
      <c r="AC49" s="214">
        <f>SUM(Y49:AB49)</f>
        <v>0</v>
      </c>
      <c r="AD49" s="210"/>
      <c r="AE49" s="210"/>
      <c r="AF49" s="210"/>
      <c r="AG49" s="253" t="str">
        <f>CdTrp1!A41</f>
        <v>Génisses jeunes</v>
      </c>
      <c r="AH49" s="214">
        <f>CdTrp1!B41</f>
        <v>5.76</v>
      </c>
      <c r="AI49" s="214">
        <f>CdTrp1!C41</f>
        <v>5.76</v>
      </c>
      <c r="AJ49" s="214">
        <f>CdTrp1!D41</f>
        <v>5.76</v>
      </c>
      <c r="AK49" s="214">
        <f>CdTrp1!E41</f>
        <v>5.76</v>
      </c>
      <c r="AL49" s="214">
        <f>CdTrp1!F41</f>
        <v>5.76</v>
      </c>
      <c r="AM49" s="214">
        <f>CdTrp1!G41</f>
        <v>5.76</v>
      </c>
      <c r="AN49" s="214">
        <f>CdTrp1!H41</f>
        <v>5.76</v>
      </c>
      <c r="AO49" s="214">
        <f>CdTrp1!I41</f>
        <v>5.76</v>
      </c>
      <c r="AP49" s="214">
        <f>CdTrp1!J41</f>
        <v>5.76</v>
      </c>
      <c r="AQ49" s="214">
        <f>CdTrp1!K41</f>
        <v>5.76</v>
      </c>
      <c r="AR49" s="214">
        <f>CdTrp1!L41</f>
        <v>5.76</v>
      </c>
      <c r="AS49" s="214">
        <f>CdTrp1!M41</f>
        <v>5.76</v>
      </c>
      <c r="AT49" s="214">
        <f>CdTrp1!N41</f>
        <v>5.76</v>
      </c>
      <c r="AU49" s="214">
        <f>CdTrp1!O41</f>
        <v>5.76</v>
      </c>
      <c r="AV49" s="214">
        <f>CdTrp1!P41</f>
        <v>5.76</v>
      </c>
      <c r="AW49" s="214">
        <f>CdTrp1!Q41</f>
        <v>5.76</v>
      </c>
      <c r="AX49" s="214">
        <f>CdTrp1!R41</f>
        <v>5.76</v>
      </c>
      <c r="AY49" s="214">
        <f>CdTrp1!S41</f>
        <v>5.76</v>
      </c>
      <c r="AZ49" s="214">
        <f>CdTrp1!T41</f>
        <v>5.76</v>
      </c>
      <c r="BA49" s="214">
        <f>CdTrp1!U41</f>
        <v>5.76</v>
      </c>
      <c r="BB49" s="214">
        <f>CdTrp1!V41</f>
        <v>5.76</v>
      </c>
      <c r="BC49" s="214">
        <f>CdTrp1!W41</f>
        <v>5.76</v>
      </c>
      <c r="BD49" s="214">
        <f>CdTrp1!X41</f>
        <v>5.76</v>
      </c>
      <c r="BE49" s="214">
        <f>CdTrp1!Y41</f>
        <v>5.76</v>
      </c>
      <c r="BF49" s="210"/>
      <c r="BG49" s="211"/>
      <c r="BH49" s="253" t="str">
        <f>CdTrp2!A41</f>
        <v>lot3</v>
      </c>
      <c r="BI49" s="210">
        <f>CdTrp2!B41</f>
        <v>0</v>
      </c>
      <c r="BJ49" s="210">
        <f>CdTrp2!C41</f>
        <v>0</v>
      </c>
      <c r="BK49" s="210">
        <f>CdTrp2!D41</f>
        <v>0</v>
      </c>
      <c r="BL49" s="210">
        <f>CdTrp2!E41</f>
        <v>0</v>
      </c>
      <c r="BM49" s="210">
        <f>CdTrp2!F41</f>
        <v>0</v>
      </c>
      <c r="BN49" s="210">
        <f>CdTrp2!G41</f>
        <v>0</v>
      </c>
      <c r="BO49" s="210">
        <f>CdTrp2!H41</f>
        <v>0</v>
      </c>
      <c r="BP49" s="210">
        <f>CdTrp2!I41</f>
        <v>0</v>
      </c>
      <c r="BQ49" s="210">
        <f>CdTrp2!J41</f>
        <v>0</v>
      </c>
      <c r="BR49" s="210">
        <f>CdTrp2!K41</f>
        <v>0</v>
      </c>
      <c r="BS49" s="210">
        <f>CdTrp2!L41</f>
        <v>0</v>
      </c>
      <c r="BT49" s="210">
        <f>CdTrp2!M41</f>
        <v>0</v>
      </c>
      <c r="BU49" s="210">
        <f>CdTrp2!N41</f>
        <v>0</v>
      </c>
      <c r="BV49" s="210">
        <f>CdTrp2!O41</f>
        <v>0</v>
      </c>
      <c r="BW49" s="210">
        <f>CdTrp2!P41</f>
        <v>0</v>
      </c>
      <c r="BX49" s="210">
        <f>CdTrp2!Q41</f>
        <v>0</v>
      </c>
      <c r="BY49" s="210">
        <f>CdTrp2!R41</f>
        <v>0</v>
      </c>
      <c r="BZ49" s="210">
        <f>CdTrp2!S41</f>
        <v>0</v>
      </c>
      <c r="CA49" s="210">
        <f>CdTrp2!T41</f>
        <v>0</v>
      </c>
      <c r="CB49" s="210">
        <f>CdTrp2!U41</f>
        <v>0</v>
      </c>
      <c r="CC49" s="210">
        <f>CdTrp2!V41</f>
        <v>0</v>
      </c>
      <c r="CD49" s="210">
        <f>CdTrp2!W41</f>
        <v>0</v>
      </c>
      <c r="CE49" s="210">
        <f>CdTrp2!X41</f>
        <v>0</v>
      </c>
      <c r="CF49" s="210">
        <f>CdTrp2!Y41</f>
        <v>0</v>
      </c>
      <c r="CG49" s="210"/>
      <c r="CH49" s="210"/>
      <c r="CI49" s="211"/>
      <c r="CJ49" s="253" t="str">
        <f>CdTrp3!A41</f>
        <v>lot3</v>
      </c>
      <c r="CK49" s="214">
        <f>CdTrp3!B41</f>
        <v>0</v>
      </c>
      <c r="CL49" s="214">
        <f>CdTrp3!C41</f>
        <v>0</v>
      </c>
      <c r="CM49" s="214">
        <f>CdTrp3!D41</f>
        <v>0</v>
      </c>
      <c r="CN49" s="214">
        <f>CdTrp3!E41</f>
        <v>0</v>
      </c>
      <c r="CO49" s="214">
        <f>CdTrp3!F41</f>
        <v>0</v>
      </c>
      <c r="CP49" s="214">
        <f>CdTrp3!G41</f>
        <v>0</v>
      </c>
      <c r="CQ49" s="214">
        <f>CdTrp3!H41</f>
        <v>0</v>
      </c>
      <c r="CR49" s="214">
        <f>CdTrp3!I41</f>
        <v>0</v>
      </c>
      <c r="CS49" s="214">
        <f>CdTrp3!J41</f>
        <v>0</v>
      </c>
      <c r="CT49" s="214">
        <f>CdTrp3!K41</f>
        <v>0</v>
      </c>
      <c r="CU49" s="214">
        <f>CdTrp3!L41</f>
        <v>0</v>
      </c>
      <c r="CV49" s="214">
        <f>CdTrp3!M41</f>
        <v>0</v>
      </c>
      <c r="CW49" s="214">
        <f>CdTrp3!N41</f>
        <v>0</v>
      </c>
      <c r="CX49" s="214">
        <f>CdTrp3!O41</f>
        <v>0</v>
      </c>
      <c r="CY49" s="214">
        <f>CdTrp3!P41</f>
        <v>0</v>
      </c>
      <c r="CZ49" s="214">
        <f>CdTrp3!Q41</f>
        <v>0</v>
      </c>
      <c r="DA49" s="214">
        <f>CdTrp3!R41</f>
        <v>0</v>
      </c>
      <c r="DB49" s="214">
        <f>CdTrp3!S41</f>
        <v>0</v>
      </c>
      <c r="DC49" s="214">
        <f>CdTrp3!T41</f>
        <v>0</v>
      </c>
      <c r="DD49" s="214">
        <f>CdTrp3!U41</f>
        <v>0</v>
      </c>
      <c r="DE49" s="214">
        <f>CdTrp3!V41</f>
        <v>0</v>
      </c>
      <c r="DF49" s="214">
        <f>CdTrp3!W41</f>
        <v>0</v>
      </c>
      <c r="DG49" s="214">
        <f>CdTrp3!X41</f>
        <v>0</v>
      </c>
      <c r="DH49" s="214">
        <f>CdTrp3!Y41</f>
        <v>0</v>
      </c>
      <c r="DI49" s="210"/>
      <c r="DJ49" s="210"/>
      <c r="DK49" s="211"/>
      <c r="DL49" s="253" t="str">
        <f>CdTrp4!A41</f>
        <v>lot3</v>
      </c>
      <c r="DM49" s="214">
        <f>CdTrp4!B41</f>
        <v>0</v>
      </c>
      <c r="DN49" s="214">
        <f>CdTrp4!C41</f>
        <v>0</v>
      </c>
      <c r="DO49" s="214">
        <f>CdTrp4!D41</f>
        <v>0</v>
      </c>
      <c r="DP49" s="214">
        <f>CdTrp4!E41</f>
        <v>0</v>
      </c>
      <c r="DQ49" s="214">
        <f>CdTrp4!F41</f>
        <v>0</v>
      </c>
      <c r="DR49" s="214">
        <f>CdTrp4!G41</f>
        <v>0</v>
      </c>
      <c r="DS49" s="214">
        <f>CdTrp4!H41</f>
        <v>0</v>
      </c>
      <c r="DT49" s="214">
        <f>CdTrp4!I41</f>
        <v>0</v>
      </c>
      <c r="DU49" s="214">
        <f>CdTrp4!J41</f>
        <v>0</v>
      </c>
      <c r="DV49" s="214">
        <f>CdTrp4!K41</f>
        <v>0</v>
      </c>
      <c r="DW49" s="214">
        <f>CdTrp4!L41</f>
        <v>0</v>
      </c>
      <c r="DX49" s="214">
        <f>CdTrp4!M41</f>
        <v>0</v>
      </c>
      <c r="DY49" s="214">
        <f>CdTrp4!N41</f>
        <v>0</v>
      </c>
      <c r="DZ49" s="214">
        <f>CdTrp4!O41</f>
        <v>0</v>
      </c>
      <c r="EA49" s="214">
        <f>CdTrp4!P41</f>
        <v>0</v>
      </c>
      <c r="EB49" s="214">
        <f>CdTrp4!Q41</f>
        <v>0</v>
      </c>
      <c r="EC49" s="214">
        <f>CdTrp4!R41</f>
        <v>0</v>
      </c>
      <c r="ED49" s="214">
        <f>CdTrp4!S41</f>
        <v>0</v>
      </c>
      <c r="EE49" s="214">
        <f>CdTrp4!T41</f>
        <v>0</v>
      </c>
      <c r="EF49" s="214">
        <f>CdTrp4!U41</f>
        <v>0</v>
      </c>
      <c r="EG49" s="214">
        <f>CdTrp4!V41</f>
        <v>0</v>
      </c>
      <c r="EH49" s="214">
        <f>CdTrp4!W41</f>
        <v>0</v>
      </c>
      <c r="EI49" s="214">
        <f>CdTrp4!X41</f>
        <v>0</v>
      </c>
      <c r="EJ49" s="214">
        <f>CdTrp4!Y41</f>
        <v>0</v>
      </c>
    </row>
    <row r="50" spans="1:143" x14ac:dyDescent="0.25">
      <c r="A50" s="5"/>
      <c r="B50" s="5"/>
      <c r="C50" s="5"/>
      <c r="D50" s="5"/>
      <c r="Q50" t="s">
        <v>557</v>
      </c>
      <c r="R50" t="str">
        <f>Troupeau!B3</f>
        <v>BV</v>
      </c>
      <c r="S50" s="30">
        <f>Scénario!K54*Scénario!K55+Scénario!K76*Scénario!K77</f>
        <v>0</v>
      </c>
      <c r="X50" s="211" t="s">
        <v>938</v>
      </c>
      <c r="Y50" s="214">
        <f>IF(Troupeau!B$3="OV",Troupeau!B$49,0)</f>
        <v>0</v>
      </c>
      <c r="Z50" s="214">
        <f>IF(Troupeau!C$3="OV",Troupeau!C$49,0)</f>
        <v>0</v>
      </c>
      <c r="AA50" s="214">
        <f>IF(Troupeau!D$3="OV",Troupeau!D$49,0)</f>
        <v>0</v>
      </c>
      <c r="AB50" s="214">
        <f>IF(Troupeau!E$3="OV",Troupeau!E$49,0)</f>
        <v>0</v>
      </c>
      <c r="AC50" s="214">
        <f>SUM(Y50:AB50)</f>
        <v>0</v>
      </c>
      <c r="AD50" s="210"/>
      <c r="AE50" s="210"/>
      <c r="AF50" s="210"/>
      <c r="AG50" s="210" t="str">
        <f>CdTrp1!A42</f>
        <v>broutards</v>
      </c>
      <c r="AH50" s="214">
        <f>CdTrp1!B42</f>
        <v>4.919999999999999</v>
      </c>
      <c r="AI50" s="214">
        <f>CdTrp1!C42</f>
        <v>4.919999999999999</v>
      </c>
      <c r="AJ50" s="214">
        <f>CdTrp1!D42</f>
        <v>4.919999999999999</v>
      </c>
      <c r="AK50" s="214">
        <f>CdTrp1!E42</f>
        <v>4.919999999999999</v>
      </c>
      <c r="AL50" s="214">
        <f>CdTrp1!F42</f>
        <v>4.919999999999999</v>
      </c>
      <c r="AM50" s="214">
        <f>CdTrp1!G42</f>
        <v>4.919999999999999</v>
      </c>
      <c r="AN50" s="214">
        <f>CdTrp1!H42</f>
        <v>0</v>
      </c>
      <c r="AO50" s="214">
        <f>CdTrp1!I42</f>
        <v>0</v>
      </c>
      <c r="AP50" s="214">
        <f>CdTrp1!J42</f>
        <v>0</v>
      </c>
      <c r="AQ50" s="214">
        <f>CdTrp1!K42</f>
        <v>0</v>
      </c>
      <c r="AR50" s="214">
        <f>CdTrp1!L42</f>
        <v>0</v>
      </c>
      <c r="AS50" s="214">
        <f>CdTrp1!M42</f>
        <v>0</v>
      </c>
      <c r="AT50" s="214">
        <f>CdTrp1!N42</f>
        <v>0</v>
      </c>
      <c r="AU50" s="214">
        <f>CdTrp1!O42</f>
        <v>0</v>
      </c>
      <c r="AV50" s="214">
        <f>CdTrp1!P42</f>
        <v>0</v>
      </c>
      <c r="AW50" s="214">
        <f>CdTrp1!Q42</f>
        <v>0</v>
      </c>
      <c r="AX50" s="214">
        <f>CdTrp1!R42</f>
        <v>0</v>
      </c>
      <c r="AY50" s="214">
        <f>CdTrp1!S42</f>
        <v>0</v>
      </c>
      <c r="AZ50" s="214">
        <f>CdTrp1!T42</f>
        <v>0</v>
      </c>
      <c r="BA50" s="214">
        <f>CdTrp1!U42</f>
        <v>4.4400000000000004</v>
      </c>
      <c r="BB50" s="214">
        <f>CdTrp1!V42</f>
        <v>4.5599999999999996</v>
      </c>
      <c r="BC50" s="214">
        <f>CdTrp1!W42</f>
        <v>4.919999999999999</v>
      </c>
      <c r="BD50" s="214">
        <f>CdTrp1!X42</f>
        <v>4.919999999999999</v>
      </c>
      <c r="BE50" s="214">
        <f>CdTrp1!Y42</f>
        <v>4.919999999999999</v>
      </c>
      <c r="BF50" s="210"/>
      <c r="BG50" s="211"/>
      <c r="BH50" s="210" t="str">
        <f>CdTrp2!A42</f>
        <v>lot4</v>
      </c>
      <c r="BI50" s="210">
        <f>CdTrp2!B42</f>
        <v>0</v>
      </c>
      <c r="BJ50" s="210">
        <f>CdTrp2!C42</f>
        <v>0</v>
      </c>
      <c r="BK50" s="210">
        <f>CdTrp2!D42</f>
        <v>0</v>
      </c>
      <c r="BL50" s="210">
        <f>CdTrp2!E42</f>
        <v>0</v>
      </c>
      <c r="BM50" s="210">
        <f>CdTrp2!F42</f>
        <v>0</v>
      </c>
      <c r="BN50" s="210">
        <f>CdTrp2!G42</f>
        <v>0</v>
      </c>
      <c r="BO50" s="210">
        <f>CdTrp2!H42</f>
        <v>0</v>
      </c>
      <c r="BP50" s="210">
        <f>CdTrp2!I42</f>
        <v>0</v>
      </c>
      <c r="BQ50" s="210">
        <f>CdTrp2!J42</f>
        <v>0</v>
      </c>
      <c r="BR50" s="210">
        <f>CdTrp2!K42</f>
        <v>0</v>
      </c>
      <c r="BS50" s="210">
        <f>CdTrp2!L42</f>
        <v>0</v>
      </c>
      <c r="BT50" s="210">
        <f>CdTrp2!M42</f>
        <v>0</v>
      </c>
      <c r="BU50" s="210">
        <f>CdTrp2!N42</f>
        <v>0</v>
      </c>
      <c r="BV50" s="210">
        <f>CdTrp2!O42</f>
        <v>0</v>
      </c>
      <c r="BW50" s="210">
        <f>CdTrp2!P42</f>
        <v>0</v>
      </c>
      <c r="BX50" s="210">
        <f>CdTrp2!Q42</f>
        <v>0</v>
      </c>
      <c r="BY50" s="210">
        <f>CdTrp2!R42</f>
        <v>0</v>
      </c>
      <c r="BZ50" s="210">
        <f>CdTrp2!S42</f>
        <v>0</v>
      </c>
      <c r="CA50" s="210">
        <f>CdTrp2!T42</f>
        <v>0</v>
      </c>
      <c r="CB50" s="210">
        <f>CdTrp2!U42</f>
        <v>0</v>
      </c>
      <c r="CC50" s="210">
        <f>CdTrp2!V42</f>
        <v>0</v>
      </c>
      <c r="CD50" s="210">
        <f>CdTrp2!W42</f>
        <v>0</v>
      </c>
      <c r="CE50" s="210">
        <f>CdTrp2!X42</f>
        <v>0</v>
      </c>
      <c r="CF50" s="210">
        <f>CdTrp2!Y42</f>
        <v>0</v>
      </c>
      <c r="CG50" s="210"/>
      <c r="CH50" s="210"/>
      <c r="CI50" s="211"/>
      <c r="CJ50" s="210" t="str">
        <f>CdTrp3!A42</f>
        <v>lot4</v>
      </c>
      <c r="CK50" s="214">
        <f>CdTrp3!B42</f>
        <v>0</v>
      </c>
      <c r="CL50" s="214">
        <f>CdTrp3!C42</f>
        <v>0</v>
      </c>
      <c r="CM50" s="214">
        <f>CdTrp3!D42</f>
        <v>0</v>
      </c>
      <c r="CN50" s="214">
        <f>CdTrp3!E42</f>
        <v>0</v>
      </c>
      <c r="CO50" s="214">
        <f>CdTrp3!F42</f>
        <v>0</v>
      </c>
      <c r="CP50" s="214">
        <f>CdTrp3!G42</f>
        <v>0</v>
      </c>
      <c r="CQ50" s="214">
        <f>CdTrp3!H42</f>
        <v>0</v>
      </c>
      <c r="CR50" s="214">
        <f>CdTrp3!I42</f>
        <v>0</v>
      </c>
      <c r="CS50" s="214">
        <f>CdTrp3!J42</f>
        <v>0</v>
      </c>
      <c r="CT50" s="214">
        <f>CdTrp3!K42</f>
        <v>0</v>
      </c>
      <c r="CU50" s="214">
        <f>CdTrp3!L42</f>
        <v>0</v>
      </c>
      <c r="CV50" s="214">
        <f>CdTrp3!M42</f>
        <v>0</v>
      </c>
      <c r="CW50" s="214">
        <f>CdTrp3!N42</f>
        <v>0</v>
      </c>
      <c r="CX50" s="214">
        <f>CdTrp3!O42</f>
        <v>0</v>
      </c>
      <c r="CY50" s="214">
        <f>CdTrp3!P42</f>
        <v>0</v>
      </c>
      <c r="CZ50" s="214">
        <f>CdTrp3!Q42</f>
        <v>0</v>
      </c>
      <c r="DA50" s="214">
        <f>CdTrp3!R42</f>
        <v>0</v>
      </c>
      <c r="DB50" s="214">
        <f>CdTrp3!S42</f>
        <v>0</v>
      </c>
      <c r="DC50" s="214">
        <f>CdTrp3!T42</f>
        <v>0</v>
      </c>
      <c r="DD50" s="214">
        <f>CdTrp3!U42</f>
        <v>0</v>
      </c>
      <c r="DE50" s="214">
        <f>CdTrp3!V42</f>
        <v>0</v>
      </c>
      <c r="DF50" s="214">
        <f>CdTrp3!W42</f>
        <v>0</v>
      </c>
      <c r="DG50" s="214">
        <f>CdTrp3!X42</f>
        <v>0</v>
      </c>
      <c r="DH50" s="214">
        <f>CdTrp3!Y42</f>
        <v>0</v>
      </c>
      <c r="DI50" s="210"/>
      <c r="DJ50" s="210"/>
      <c r="DK50" s="211"/>
      <c r="DL50" s="210" t="str">
        <f>CdTrp4!A42</f>
        <v>lot4</v>
      </c>
      <c r="DM50" s="214">
        <f>CdTrp4!B42</f>
        <v>0</v>
      </c>
      <c r="DN50" s="214">
        <f>CdTrp4!C42</f>
        <v>0</v>
      </c>
      <c r="DO50" s="214">
        <f>CdTrp4!D42</f>
        <v>0</v>
      </c>
      <c r="DP50" s="214">
        <f>CdTrp4!E42</f>
        <v>0</v>
      </c>
      <c r="DQ50" s="214">
        <f>CdTrp4!F42</f>
        <v>0</v>
      </c>
      <c r="DR50" s="214">
        <f>CdTrp4!G42</f>
        <v>0</v>
      </c>
      <c r="DS50" s="214">
        <f>CdTrp4!H42</f>
        <v>0</v>
      </c>
      <c r="DT50" s="214">
        <f>CdTrp4!I42</f>
        <v>0</v>
      </c>
      <c r="DU50" s="214">
        <f>CdTrp4!J42</f>
        <v>0</v>
      </c>
      <c r="DV50" s="214">
        <f>CdTrp4!K42</f>
        <v>0</v>
      </c>
      <c r="DW50" s="214">
        <f>CdTrp4!L42</f>
        <v>0</v>
      </c>
      <c r="DX50" s="214">
        <f>CdTrp4!M42</f>
        <v>0</v>
      </c>
      <c r="DY50" s="214">
        <f>CdTrp4!N42</f>
        <v>0</v>
      </c>
      <c r="DZ50" s="214">
        <f>CdTrp4!O42</f>
        <v>0</v>
      </c>
      <c r="EA50" s="214">
        <f>CdTrp4!P42</f>
        <v>0</v>
      </c>
      <c r="EB50" s="214">
        <f>CdTrp4!Q42</f>
        <v>0</v>
      </c>
      <c r="EC50" s="214">
        <f>CdTrp4!R42</f>
        <v>0</v>
      </c>
      <c r="ED50" s="214">
        <f>CdTrp4!S42</f>
        <v>0</v>
      </c>
      <c r="EE50" s="214">
        <f>CdTrp4!T42</f>
        <v>0</v>
      </c>
      <c r="EF50" s="214">
        <f>CdTrp4!U42</f>
        <v>0</v>
      </c>
      <c r="EG50" s="214">
        <f>CdTrp4!V42</f>
        <v>0</v>
      </c>
      <c r="EH50" s="214">
        <f>CdTrp4!W42</f>
        <v>0</v>
      </c>
      <c r="EI50" s="214">
        <f>CdTrp4!X42</f>
        <v>0</v>
      </c>
      <c r="EJ50" s="214">
        <f>CdTrp4!Y42</f>
        <v>0</v>
      </c>
    </row>
    <row r="51" spans="1:143" x14ac:dyDescent="0.25">
      <c r="A51" s="5"/>
      <c r="B51" s="5"/>
      <c r="C51" s="5"/>
      <c r="D51" s="5"/>
      <c r="P51" s="216"/>
      <c r="Q51" s="216" t="s">
        <v>588</v>
      </c>
      <c r="R51" s="216">
        <f>Troupeau!C3</f>
        <v>0</v>
      </c>
      <c r="S51" s="48">
        <f>Scénario!K61*Scénario!K62+Scénario!K79*Scénario!K80</f>
        <v>0</v>
      </c>
      <c r="T51" s="216"/>
      <c r="U51" s="216"/>
      <c r="V51" s="216"/>
      <c r="W51" s="216"/>
      <c r="X51" s="211" t="s">
        <v>940</v>
      </c>
      <c r="Y51" s="214">
        <f>IF(Troupeau!B$3="CP",Troupeau!B$49,0)</f>
        <v>0</v>
      </c>
      <c r="Z51" s="214">
        <f>IF(Troupeau!C$3="CP",Troupeau!C$49,0)</f>
        <v>0</v>
      </c>
      <c r="AA51" s="214">
        <f>IF(Troupeau!D$3="CP",Troupeau!D$49,0)</f>
        <v>0</v>
      </c>
      <c r="AB51" s="214">
        <f>IF(Troupeau!E$3="CP",Troupeau!E$49,0)</f>
        <v>0</v>
      </c>
      <c r="AC51" s="214">
        <f>SUM(Y51:AB51)</f>
        <v>0</v>
      </c>
      <c r="AD51" s="210"/>
      <c r="AE51" s="210"/>
      <c r="AF51" s="210"/>
      <c r="AG51" s="253" t="str">
        <f>CdTrp1!A43</f>
        <v>génisses &lt; 1 an</v>
      </c>
      <c r="AH51" s="214">
        <f>CdTrp1!B43</f>
        <v>0</v>
      </c>
      <c r="AI51" s="214">
        <f>CdTrp1!C43</f>
        <v>0</v>
      </c>
      <c r="AJ51" s="214">
        <f>CdTrp1!D43</f>
        <v>0.55999999999999983</v>
      </c>
      <c r="AK51" s="214">
        <f>CdTrp1!E43</f>
        <v>0.84000000000000008</v>
      </c>
      <c r="AL51" s="214">
        <f>CdTrp1!F43</f>
        <v>1.4</v>
      </c>
      <c r="AM51" s="214">
        <f>CdTrp1!G43</f>
        <v>2.2399999999999998</v>
      </c>
      <c r="AN51" s="214">
        <f>CdTrp1!H43</f>
        <v>2.52</v>
      </c>
      <c r="AO51" s="214">
        <f>CdTrp1!I43</f>
        <v>3.0799999999999996</v>
      </c>
      <c r="AP51" s="214">
        <f>CdTrp1!J43</f>
        <v>3.36</v>
      </c>
      <c r="AQ51" s="214">
        <f>CdTrp1!K43</f>
        <v>3.36</v>
      </c>
      <c r="AR51" s="214">
        <f>CdTrp1!L43</f>
        <v>3.36</v>
      </c>
      <c r="AS51" s="214">
        <f>CdTrp1!M43</f>
        <v>3.36</v>
      </c>
      <c r="AT51" s="214">
        <f>CdTrp1!N43</f>
        <v>3.36</v>
      </c>
      <c r="AU51" s="214">
        <f>CdTrp1!O43</f>
        <v>3.36</v>
      </c>
      <c r="AV51" s="221" t="e">
        <f ca="1">'Calcul éco'!AF234($AT$50,AT51,$AT$60,-$AT$49)</f>
        <v>#REF!</v>
      </c>
      <c r="AW51" s="214">
        <f>CdTrp1!Q43</f>
        <v>3.36</v>
      </c>
      <c r="AX51" s="214">
        <f>CdTrp1!R43</f>
        <v>3.36</v>
      </c>
      <c r="AY51" s="214">
        <f>CdTrp1!S43</f>
        <v>3.36</v>
      </c>
      <c r="AZ51" s="214">
        <f>CdTrp1!T43</f>
        <v>2.52</v>
      </c>
      <c r="BA51" s="214">
        <f>CdTrp1!U43</f>
        <v>1.6800000000000002</v>
      </c>
      <c r="BB51" s="214">
        <f>CdTrp1!V43</f>
        <v>0.84000000000000008</v>
      </c>
      <c r="BC51" s="214">
        <f>CdTrp1!W43</f>
        <v>0</v>
      </c>
      <c r="BD51" s="214">
        <f>CdTrp1!X43</f>
        <v>0</v>
      </c>
      <c r="BE51" s="214">
        <f>CdTrp1!Y43</f>
        <v>0</v>
      </c>
      <c r="BF51" s="210"/>
      <c r="BG51" s="211"/>
      <c r="BH51" s="253" t="str">
        <f>CdTrp2!A43</f>
        <v>lot5</v>
      </c>
      <c r="BI51" s="210">
        <f>CdTrp2!B43</f>
        <v>0</v>
      </c>
      <c r="BJ51" s="210">
        <f>CdTrp2!C43</f>
        <v>0</v>
      </c>
      <c r="BK51" s="210">
        <f>CdTrp2!D43</f>
        <v>0</v>
      </c>
      <c r="BL51" s="210">
        <f>CdTrp2!E43</f>
        <v>0</v>
      </c>
      <c r="BM51" s="210">
        <f>CdTrp2!F43</f>
        <v>0</v>
      </c>
      <c r="BN51" s="210">
        <f>CdTrp2!G43</f>
        <v>0</v>
      </c>
      <c r="BO51" s="210">
        <f>CdTrp2!H43</f>
        <v>0</v>
      </c>
      <c r="BP51" s="210">
        <f>CdTrp2!I43</f>
        <v>0</v>
      </c>
      <c r="BQ51" s="210">
        <f>CdTrp2!J43</f>
        <v>0</v>
      </c>
      <c r="BR51" s="210">
        <f>CdTrp2!K43</f>
        <v>0</v>
      </c>
      <c r="BS51" s="210">
        <f>CdTrp2!L43</f>
        <v>0</v>
      </c>
      <c r="BT51" s="210">
        <f>CdTrp2!M43</f>
        <v>0</v>
      </c>
      <c r="BU51" s="210">
        <f>CdTrp2!N43</f>
        <v>0</v>
      </c>
      <c r="BV51" s="210">
        <f>CdTrp2!O43</f>
        <v>0</v>
      </c>
      <c r="BW51" s="210">
        <f>CdTrp2!P43</f>
        <v>0</v>
      </c>
      <c r="BX51" s="210">
        <f>CdTrp2!Q43</f>
        <v>0</v>
      </c>
      <c r="BY51" s="210">
        <f>CdTrp2!R43</f>
        <v>0</v>
      </c>
      <c r="BZ51" s="210">
        <f>CdTrp2!S43</f>
        <v>0</v>
      </c>
      <c r="CA51" s="210">
        <f>CdTrp2!T43</f>
        <v>0</v>
      </c>
      <c r="CB51" s="210">
        <f>CdTrp2!U43</f>
        <v>0</v>
      </c>
      <c r="CC51" s="210">
        <f>CdTrp2!V43</f>
        <v>0</v>
      </c>
      <c r="CD51" s="210">
        <f>CdTrp2!W43</f>
        <v>0</v>
      </c>
      <c r="CE51" s="210">
        <f>CdTrp2!X43</f>
        <v>0</v>
      </c>
      <c r="CF51" s="210">
        <f>CdTrp2!Y43</f>
        <v>0</v>
      </c>
      <c r="CG51" s="210"/>
      <c r="CH51" s="210"/>
      <c r="CI51" s="211"/>
      <c r="CJ51" s="253" t="str">
        <f>CdTrp3!A43</f>
        <v>lot5</v>
      </c>
      <c r="CK51" s="214">
        <f>CdTrp3!B43</f>
        <v>0</v>
      </c>
      <c r="CL51" s="214">
        <f>CdTrp3!C43</f>
        <v>0</v>
      </c>
      <c r="CM51" s="214">
        <f>CdTrp3!D43</f>
        <v>0</v>
      </c>
      <c r="CN51" s="214">
        <f>CdTrp3!E43</f>
        <v>0</v>
      </c>
      <c r="CO51" s="214">
        <f>CdTrp3!F43</f>
        <v>0</v>
      </c>
      <c r="CP51" s="214">
        <f>CdTrp3!G43</f>
        <v>0</v>
      </c>
      <c r="CQ51" s="214">
        <f>CdTrp3!H43</f>
        <v>0</v>
      </c>
      <c r="CR51" s="214">
        <f>CdTrp3!I43</f>
        <v>0</v>
      </c>
      <c r="CS51" s="214">
        <f>CdTrp3!J43</f>
        <v>0</v>
      </c>
      <c r="CT51" s="214">
        <f>CdTrp3!K43</f>
        <v>0</v>
      </c>
      <c r="CU51" s="214">
        <f>CdTrp3!L43</f>
        <v>0</v>
      </c>
      <c r="CV51" s="214">
        <f>CdTrp3!M43</f>
        <v>0</v>
      </c>
      <c r="CW51" s="214">
        <f>CdTrp3!N43</f>
        <v>0</v>
      </c>
      <c r="CX51" s="214">
        <f>CdTrp3!O43</f>
        <v>0</v>
      </c>
      <c r="CY51" s="214">
        <f>CdTrp3!P43</f>
        <v>0</v>
      </c>
      <c r="CZ51" s="214">
        <f>CdTrp3!Q43</f>
        <v>0</v>
      </c>
      <c r="DA51" s="214">
        <f>CdTrp3!R43</f>
        <v>0</v>
      </c>
      <c r="DB51" s="214">
        <f>CdTrp3!S43</f>
        <v>0</v>
      </c>
      <c r="DC51" s="214">
        <f>CdTrp3!T43</f>
        <v>0</v>
      </c>
      <c r="DD51" s="214">
        <f>CdTrp3!U43</f>
        <v>0</v>
      </c>
      <c r="DE51" s="214">
        <f>CdTrp3!V43</f>
        <v>0</v>
      </c>
      <c r="DF51" s="214">
        <f>CdTrp3!W43</f>
        <v>0</v>
      </c>
      <c r="DG51" s="214">
        <f>CdTrp3!X43</f>
        <v>0</v>
      </c>
      <c r="DH51" s="214">
        <f>CdTrp3!Y43</f>
        <v>0</v>
      </c>
      <c r="DI51" s="210"/>
      <c r="DJ51" s="210"/>
      <c r="DK51" s="211"/>
      <c r="DL51" s="253" t="str">
        <f>CdTrp4!A43</f>
        <v>lot5</v>
      </c>
      <c r="DM51" s="214">
        <f>CdTrp4!B43</f>
        <v>0</v>
      </c>
      <c r="DN51" s="214">
        <f>CdTrp4!C43</f>
        <v>0</v>
      </c>
      <c r="DO51" s="214">
        <f>CdTrp4!D43</f>
        <v>0</v>
      </c>
      <c r="DP51" s="214">
        <f>CdTrp4!E43</f>
        <v>0</v>
      </c>
      <c r="DQ51" s="214">
        <f>CdTrp4!F43</f>
        <v>0</v>
      </c>
      <c r="DR51" s="214">
        <f>CdTrp4!G43</f>
        <v>0</v>
      </c>
      <c r="DS51" s="214">
        <f>CdTrp4!H43</f>
        <v>0</v>
      </c>
      <c r="DT51" s="214">
        <f>CdTrp4!I43</f>
        <v>0</v>
      </c>
      <c r="DU51" s="214">
        <f>CdTrp4!J43</f>
        <v>0</v>
      </c>
      <c r="DV51" s="214">
        <f>CdTrp4!K43</f>
        <v>0</v>
      </c>
      <c r="DW51" s="214">
        <f>CdTrp4!L43</f>
        <v>0</v>
      </c>
      <c r="DX51" s="214">
        <f>CdTrp4!M43</f>
        <v>0</v>
      </c>
      <c r="DY51" s="214">
        <f>CdTrp4!N43</f>
        <v>0</v>
      </c>
      <c r="DZ51" s="214">
        <f>CdTrp4!O43</f>
        <v>0</v>
      </c>
      <c r="EA51" s="214">
        <f>CdTrp4!P43</f>
        <v>0</v>
      </c>
      <c r="EB51" s="214">
        <f>CdTrp4!Q43</f>
        <v>0</v>
      </c>
      <c r="EC51" s="214">
        <f>CdTrp4!R43</f>
        <v>0</v>
      </c>
      <c r="ED51" s="214">
        <f>CdTrp4!S43</f>
        <v>0</v>
      </c>
      <c r="EE51" s="214">
        <f>CdTrp4!T43</f>
        <v>0</v>
      </c>
      <c r="EF51" s="214">
        <f>CdTrp4!U43</f>
        <v>0</v>
      </c>
      <c r="EG51" s="214">
        <f>CdTrp4!V43</f>
        <v>0</v>
      </c>
      <c r="EH51" s="214">
        <f>CdTrp4!W43</f>
        <v>0</v>
      </c>
      <c r="EI51" s="214">
        <f>CdTrp4!X43</f>
        <v>0</v>
      </c>
      <c r="EJ51" s="214">
        <f>CdTrp4!Y43</f>
        <v>0</v>
      </c>
      <c r="EK51" s="216"/>
      <c r="EL51" s="216"/>
      <c r="EM51" s="216"/>
    </row>
    <row r="52" spans="1:143" x14ac:dyDescent="0.25">
      <c r="Q52" t="s">
        <v>721</v>
      </c>
      <c r="R52">
        <f>Troupeau!D3</f>
        <v>0</v>
      </c>
      <c r="S52" s="30">
        <f>Scénario!K66*Scénario!K67+Scénario!K82*Scénario!K83</f>
        <v>0</v>
      </c>
      <c r="X52" s="210"/>
      <c r="Y52" s="210"/>
      <c r="Z52" s="210"/>
      <c r="AA52" s="210"/>
      <c r="AB52" s="210"/>
      <c r="AC52" s="210"/>
      <c r="AD52" s="210"/>
      <c r="AE52" s="210"/>
      <c r="AF52" s="210"/>
      <c r="AG52" s="210" t="str">
        <f>CdTrp1!A44</f>
        <v>lot6</v>
      </c>
      <c r="AH52" s="214">
        <f>CdTrp1!B44</f>
        <v>0</v>
      </c>
      <c r="AI52" s="214">
        <f>CdTrp1!C44</f>
        <v>0</v>
      </c>
      <c r="AJ52" s="214">
        <f>CdTrp1!D44</f>
        <v>0</v>
      </c>
      <c r="AK52" s="214">
        <f>CdTrp1!E44</f>
        <v>0</v>
      </c>
      <c r="AL52" s="214">
        <f>CdTrp1!F44</f>
        <v>0</v>
      </c>
      <c r="AM52" s="214">
        <f>CdTrp1!G44</f>
        <v>0</v>
      </c>
      <c r="AN52" s="214">
        <f>CdTrp1!H44</f>
        <v>0</v>
      </c>
      <c r="AO52" s="214">
        <f>CdTrp1!I44</f>
        <v>0</v>
      </c>
      <c r="AP52" s="214">
        <f>CdTrp1!J44</f>
        <v>0</v>
      </c>
      <c r="AQ52" s="214">
        <f>CdTrp1!K44</f>
        <v>0</v>
      </c>
      <c r="AR52" s="214">
        <f>CdTrp1!L44</f>
        <v>0</v>
      </c>
      <c r="AS52" s="214">
        <f>CdTrp1!M44</f>
        <v>0</v>
      </c>
      <c r="AT52" s="214">
        <f>CdTrp1!N44</f>
        <v>0</v>
      </c>
      <c r="AU52" s="214">
        <f>CdTrp1!O44</f>
        <v>0</v>
      </c>
      <c r="AV52" s="214">
        <f>CdTrp1!P44</f>
        <v>0</v>
      </c>
      <c r="AW52" s="214">
        <f>CdTrp1!Q44</f>
        <v>0</v>
      </c>
      <c r="AX52" s="214">
        <f>CdTrp1!R44</f>
        <v>0</v>
      </c>
      <c r="AY52" s="214">
        <f>CdTrp1!S44</f>
        <v>0</v>
      </c>
      <c r="AZ52" s="214">
        <f>CdTrp1!T44</f>
        <v>0</v>
      </c>
      <c r="BA52" s="214">
        <f>CdTrp1!U44</f>
        <v>0</v>
      </c>
      <c r="BB52" s="214">
        <f>CdTrp1!V44</f>
        <v>0</v>
      </c>
      <c r="BC52" s="214">
        <f>CdTrp1!W44</f>
        <v>0</v>
      </c>
      <c r="BD52" s="214">
        <f>CdTrp1!X44</f>
        <v>0</v>
      </c>
      <c r="BE52" s="214">
        <f>CdTrp1!Y44</f>
        <v>0</v>
      </c>
      <c r="BF52" s="210"/>
      <c r="BG52" s="211"/>
      <c r="BH52" s="210" t="str">
        <f>CdTrp2!A44</f>
        <v>lot6</v>
      </c>
      <c r="BI52" s="210">
        <f>CdTrp2!B44</f>
        <v>0</v>
      </c>
      <c r="BJ52" s="210">
        <f>CdTrp2!C44</f>
        <v>0</v>
      </c>
      <c r="BK52" s="210">
        <f>CdTrp2!D44</f>
        <v>0</v>
      </c>
      <c r="BL52" s="210">
        <f>CdTrp2!E44</f>
        <v>0</v>
      </c>
      <c r="BM52" s="210">
        <f>CdTrp2!F44</f>
        <v>0</v>
      </c>
      <c r="BN52" s="210">
        <f>CdTrp2!G44</f>
        <v>0</v>
      </c>
      <c r="BO52" s="210">
        <f>CdTrp2!H44</f>
        <v>0</v>
      </c>
      <c r="BP52" s="210">
        <f>CdTrp2!I44</f>
        <v>0</v>
      </c>
      <c r="BQ52" s="210">
        <f>CdTrp2!J44</f>
        <v>0</v>
      </c>
      <c r="BR52" s="210">
        <f>CdTrp2!K44</f>
        <v>0</v>
      </c>
      <c r="BS52" s="210">
        <f>CdTrp2!L44</f>
        <v>0</v>
      </c>
      <c r="BT52" s="210">
        <f>CdTrp2!M44</f>
        <v>0</v>
      </c>
      <c r="BU52" s="210">
        <f>CdTrp2!N44</f>
        <v>0</v>
      </c>
      <c r="BV52" s="210">
        <f>CdTrp2!O44</f>
        <v>0</v>
      </c>
      <c r="BW52" s="210">
        <f>CdTrp2!P44</f>
        <v>0</v>
      </c>
      <c r="BX52" s="210">
        <f>CdTrp2!Q44</f>
        <v>0</v>
      </c>
      <c r="BY52" s="210">
        <f>CdTrp2!R44</f>
        <v>0</v>
      </c>
      <c r="BZ52" s="210">
        <f>CdTrp2!S44</f>
        <v>0</v>
      </c>
      <c r="CA52" s="210">
        <f>CdTrp2!T44</f>
        <v>0</v>
      </c>
      <c r="CB52" s="210">
        <f>CdTrp2!U44</f>
        <v>0</v>
      </c>
      <c r="CC52" s="210">
        <f>CdTrp2!V44</f>
        <v>0</v>
      </c>
      <c r="CD52" s="210">
        <f>CdTrp2!W44</f>
        <v>0</v>
      </c>
      <c r="CE52" s="210">
        <f>CdTrp2!X44</f>
        <v>0</v>
      </c>
      <c r="CF52" s="210">
        <f>CdTrp2!Y44</f>
        <v>0</v>
      </c>
      <c r="CG52" s="210"/>
      <c r="CH52" s="210"/>
      <c r="CI52" s="211"/>
      <c r="CJ52" s="210" t="str">
        <f>CdTrp3!A44</f>
        <v>lot6</v>
      </c>
      <c r="CK52" s="214">
        <f>CdTrp3!B44</f>
        <v>0</v>
      </c>
      <c r="CL52" s="214">
        <f>CdTrp3!C44</f>
        <v>0</v>
      </c>
      <c r="CM52" s="214">
        <f>CdTrp3!D44</f>
        <v>0</v>
      </c>
      <c r="CN52" s="214">
        <f>CdTrp3!E44</f>
        <v>0</v>
      </c>
      <c r="CO52" s="214">
        <f>CdTrp3!F44</f>
        <v>0</v>
      </c>
      <c r="CP52" s="214">
        <f>CdTrp3!G44</f>
        <v>0</v>
      </c>
      <c r="CQ52" s="214">
        <f>CdTrp3!H44</f>
        <v>0</v>
      </c>
      <c r="CR52" s="214">
        <f>CdTrp3!I44</f>
        <v>0</v>
      </c>
      <c r="CS52" s="214">
        <f>CdTrp3!J44</f>
        <v>0</v>
      </c>
      <c r="CT52" s="214">
        <f>CdTrp3!K44</f>
        <v>0</v>
      </c>
      <c r="CU52" s="214">
        <f>CdTrp3!L44</f>
        <v>0</v>
      </c>
      <c r="CV52" s="214">
        <f>CdTrp3!M44</f>
        <v>0</v>
      </c>
      <c r="CW52" s="214">
        <f>CdTrp3!N44</f>
        <v>0</v>
      </c>
      <c r="CX52" s="214">
        <f>CdTrp3!O44</f>
        <v>0</v>
      </c>
      <c r="CY52" s="214">
        <f>CdTrp3!P44</f>
        <v>0</v>
      </c>
      <c r="CZ52" s="214">
        <f>CdTrp3!Q44</f>
        <v>0</v>
      </c>
      <c r="DA52" s="214">
        <f>CdTrp3!R44</f>
        <v>0</v>
      </c>
      <c r="DB52" s="214">
        <f>CdTrp3!S44</f>
        <v>0</v>
      </c>
      <c r="DC52" s="214">
        <f>CdTrp3!T44</f>
        <v>0</v>
      </c>
      <c r="DD52" s="214">
        <f>CdTrp3!U44</f>
        <v>0</v>
      </c>
      <c r="DE52" s="214">
        <f>CdTrp3!V44</f>
        <v>0</v>
      </c>
      <c r="DF52" s="214">
        <f>CdTrp3!W44</f>
        <v>0</v>
      </c>
      <c r="DG52" s="214">
        <f>CdTrp3!X44</f>
        <v>0</v>
      </c>
      <c r="DH52" s="214">
        <f>CdTrp3!Y44</f>
        <v>0</v>
      </c>
      <c r="DI52" s="210"/>
      <c r="DJ52" s="210"/>
      <c r="DK52" s="211"/>
      <c r="DL52" s="210" t="str">
        <f>CdTrp4!A44</f>
        <v>lot6</v>
      </c>
      <c r="DM52" s="214">
        <f>CdTrp4!B44</f>
        <v>0</v>
      </c>
      <c r="DN52" s="214">
        <f>CdTrp4!C44</f>
        <v>0</v>
      </c>
      <c r="DO52" s="214">
        <f>CdTrp4!D44</f>
        <v>0</v>
      </c>
      <c r="DP52" s="214">
        <f>CdTrp4!E44</f>
        <v>0</v>
      </c>
      <c r="DQ52" s="214">
        <f>CdTrp4!F44</f>
        <v>0</v>
      </c>
      <c r="DR52" s="214">
        <f>CdTrp4!G44</f>
        <v>0</v>
      </c>
      <c r="DS52" s="214">
        <f>CdTrp4!H44</f>
        <v>0</v>
      </c>
      <c r="DT52" s="214">
        <f>CdTrp4!I44</f>
        <v>0</v>
      </c>
      <c r="DU52" s="214">
        <f>CdTrp4!J44</f>
        <v>0</v>
      </c>
      <c r="DV52" s="214">
        <f>CdTrp4!K44</f>
        <v>0</v>
      </c>
      <c r="DW52" s="214">
        <f>CdTrp4!L44</f>
        <v>0</v>
      </c>
      <c r="DX52" s="214">
        <f>CdTrp4!M44</f>
        <v>0</v>
      </c>
      <c r="DY52" s="214">
        <f>CdTrp4!N44</f>
        <v>0</v>
      </c>
      <c r="DZ52" s="214">
        <f>CdTrp4!O44</f>
        <v>0</v>
      </c>
      <c r="EA52" s="214">
        <f>CdTrp4!P44</f>
        <v>0</v>
      </c>
      <c r="EB52" s="214">
        <f>CdTrp4!Q44</f>
        <v>0</v>
      </c>
      <c r="EC52" s="214">
        <f>CdTrp4!R44</f>
        <v>0</v>
      </c>
      <c r="ED52" s="214">
        <f>CdTrp4!S44</f>
        <v>0</v>
      </c>
      <c r="EE52" s="214">
        <f>CdTrp4!T44</f>
        <v>0</v>
      </c>
      <c r="EF52" s="214">
        <f>CdTrp4!U44</f>
        <v>0</v>
      </c>
      <c r="EG52" s="214">
        <f>CdTrp4!V44</f>
        <v>0</v>
      </c>
      <c r="EH52" s="214">
        <f>CdTrp4!W44</f>
        <v>0</v>
      </c>
      <c r="EI52" s="214">
        <f>CdTrp4!X44</f>
        <v>0</v>
      </c>
      <c r="EJ52" s="214">
        <f>CdTrp4!Y44</f>
        <v>0</v>
      </c>
    </row>
    <row r="53" spans="1:143" x14ac:dyDescent="0.25">
      <c r="A53" s="5"/>
      <c r="B53" s="5"/>
      <c r="C53" s="5"/>
      <c r="D53" s="5"/>
      <c r="X53" s="211" t="s">
        <v>982</v>
      </c>
      <c r="Y53" s="210">
        <f>ROUND(SUM(AC49:AC51)/SUM(AC47:AC51)*100,0)</f>
        <v>0</v>
      </c>
      <c r="Z53" s="210" t="s">
        <v>543</v>
      </c>
      <c r="AA53" s="210"/>
      <c r="AB53" s="210"/>
      <c r="AC53" s="210"/>
      <c r="AD53" s="210"/>
      <c r="AE53" s="210"/>
      <c r="AF53" s="210"/>
      <c r="AG53" s="253" t="str">
        <f>CdTrp1!A45</f>
        <v>lot7</v>
      </c>
      <c r="AH53" s="214">
        <f>CdTrp1!B45</f>
        <v>0</v>
      </c>
      <c r="AI53" s="214">
        <f>CdTrp1!C45</f>
        <v>0</v>
      </c>
      <c r="AJ53" s="214">
        <f>CdTrp1!D45</f>
        <v>0</v>
      </c>
      <c r="AK53" s="214">
        <f>CdTrp1!E45</f>
        <v>0</v>
      </c>
      <c r="AL53" s="214">
        <f>CdTrp1!F45</f>
        <v>0</v>
      </c>
      <c r="AM53" s="214">
        <f>CdTrp1!G45</f>
        <v>0</v>
      </c>
      <c r="AN53" s="214">
        <f>CdTrp1!H45</f>
        <v>0</v>
      </c>
      <c r="AO53" s="214">
        <f>CdTrp1!I45</f>
        <v>0</v>
      </c>
      <c r="AP53" s="214">
        <f>CdTrp1!J45</f>
        <v>0</v>
      </c>
      <c r="AQ53" s="214">
        <f>CdTrp1!K45</f>
        <v>0</v>
      </c>
      <c r="AR53" s="214">
        <f>CdTrp1!L45</f>
        <v>0</v>
      </c>
      <c r="AS53" s="214">
        <f>CdTrp1!M45</f>
        <v>0</v>
      </c>
      <c r="AT53" s="214">
        <f>CdTrp1!N45</f>
        <v>0</v>
      </c>
      <c r="AU53" s="214">
        <f>CdTrp1!O45</f>
        <v>0</v>
      </c>
      <c r="AV53" s="214">
        <f>CdTrp1!P45</f>
        <v>0</v>
      </c>
      <c r="AW53" s="214">
        <f>CdTrp1!Q45</f>
        <v>0</v>
      </c>
      <c r="AX53" s="214">
        <f>CdTrp1!R45</f>
        <v>0</v>
      </c>
      <c r="AY53" s="214">
        <f>CdTrp1!S45</f>
        <v>0</v>
      </c>
      <c r="AZ53" s="214">
        <f>CdTrp1!T45</f>
        <v>0</v>
      </c>
      <c r="BA53" s="214">
        <f>CdTrp1!U45</f>
        <v>0</v>
      </c>
      <c r="BB53" s="214">
        <f>CdTrp1!V45</f>
        <v>0</v>
      </c>
      <c r="BC53" s="214">
        <f>CdTrp1!W45</f>
        <v>0</v>
      </c>
      <c r="BD53" s="214">
        <f>CdTrp1!X45</f>
        <v>0</v>
      </c>
      <c r="BE53" s="214">
        <f>CdTrp1!Y45</f>
        <v>0</v>
      </c>
      <c r="BF53" s="210"/>
      <c r="BG53" s="211"/>
      <c r="BH53" s="253" t="str">
        <f>CdTrp2!A45</f>
        <v>lot7</v>
      </c>
      <c r="BI53" s="210">
        <f>CdTrp2!B45</f>
        <v>0</v>
      </c>
      <c r="BJ53" s="210">
        <f>CdTrp2!C45</f>
        <v>0</v>
      </c>
      <c r="BK53" s="210">
        <f>CdTrp2!D45</f>
        <v>0</v>
      </c>
      <c r="BL53" s="210">
        <f>CdTrp2!E45</f>
        <v>0</v>
      </c>
      <c r="BM53" s="210">
        <f>CdTrp2!F45</f>
        <v>0</v>
      </c>
      <c r="BN53" s="210">
        <f>CdTrp2!G45</f>
        <v>0</v>
      </c>
      <c r="BO53" s="210">
        <f>CdTrp2!H45</f>
        <v>0</v>
      </c>
      <c r="BP53" s="210">
        <f>CdTrp2!I45</f>
        <v>0</v>
      </c>
      <c r="BQ53" s="210">
        <f>CdTrp2!J45</f>
        <v>0</v>
      </c>
      <c r="BR53" s="210">
        <f>CdTrp2!K45</f>
        <v>0</v>
      </c>
      <c r="BS53" s="210">
        <f>CdTrp2!L45</f>
        <v>0</v>
      </c>
      <c r="BT53" s="210">
        <f>CdTrp2!M45</f>
        <v>0</v>
      </c>
      <c r="BU53" s="210">
        <f>CdTrp2!N45</f>
        <v>0</v>
      </c>
      <c r="BV53" s="210">
        <f>CdTrp2!O45</f>
        <v>0</v>
      </c>
      <c r="BW53" s="210">
        <f>CdTrp2!P45</f>
        <v>0</v>
      </c>
      <c r="BX53" s="210">
        <f>CdTrp2!Q45</f>
        <v>0</v>
      </c>
      <c r="BY53" s="210">
        <f>CdTrp2!R45</f>
        <v>0</v>
      </c>
      <c r="BZ53" s="210">
        <f>CdTrp2!S45</f>
        <v>0</v>
      </c>
      <c r="CA53" s="210">
        <f>CdTrp2!T45</f>
        <v>0</v>
      </c>
      <c r="CB53" s="210">
        <f>CdTrp2!U45</f>
        <v>0</v>
      </c>
      <c r="CC53" s="210">
        <f>CdTrp2!V45</f>
        <v>0</v>
      </c>
      <c r="CD53" s="210">
        <f>CdTrp2!W45</f>
        <v>0</v>
      </c>
      <c r="CE53" s="210">
        <f>CdTrp2!X45</f>
        <v>0</v>
      </c>
      <c r="CF53" s="210">
        <f>CdTrp2!Y45</f>
        <v>0</v>
      </c>
      <c r="CG53" s="210"/>
      <c r="CH53" s="210"/>
      <c r="CI53" s="211"/>
      <c r="CJ53" s="253" t="str">
        <f>CdTrp3!A45</f>
        <v>lot7</v>
      </c>
      <c r="CK53" s="214">
        <f>CdTrp3!B45</f>
        <v>0</v>
      </c>
      <c r="CL53" s="214">
        <f>CdTrp3!C45</f>
        <v>0</v>
      </c>
      <c r="CM53" s="214">
        <f>CdTrp3!D45</f>
        <v>0</v>
      </c>
      <c r="CN53" s="214">
        <f>CdTrp3!E45</f>
        <v>0</v>
      </c>
      <c r="CO53" s="214">
        <f>CdTrp3!F45</f>
        <v>0</v>
      </c>
      <c r="CP53" s="214">
        <f>CdTrp3!G45</f>
        <v>0</v>
      </c>
      <c r="CQ53" s="214">
        <f>CdTrp3!H45</f>
        <v>0</v>
      </c>
      <c r="CR53" s="214">
        <f>CdTrp3!I45</f>
        <v>0</v>
      </c>
      <c r="CS53" s="214">
        <f>CdTrp3!J45</f>
        <v>0</v>
      </c>
      <c r="CT53" s="214">
        <f>CdTrp3!K45</f>
        <v>0</v>
      </c>
      <c r="CU53" s="214">
        <f>CdTrp3!L45</f>
        <v>0</v>
      </c>
      <c r="CV53" s="214">
        <f>CdTrp3!M45</f>
        <v>0</v>
      </c>
      <c r="CW53" s="214">
        <f>CdTrp3!N45</f>
        <v>0</v>
      </c>
      <c r="CX53" s="214">
        <f>CdTrp3!O45</f>
        <v>0</v>
      </c>
      <c r="CY53" s="214">
        <f>CdTrp3!P45</f>
        <v>0</v>
      </c>
      <c r="CZ53" s="214">
        <f>CdTrp3!Q45</f>
        <v>0</v>
      </c>
      <c r="DA53" s="214">
        <f>CdTrp3!R45</f>
        <v>0</v>
      </c>
      <c r="DB53" s="214">
        <f>CdTrp3!S45</f>
        <v>0</v>
      </c>
      <c r="DC53" s="214">
        <f>CdTrp3!T45</f>
        <v>0</v>
      </c>
      <c r="DD53" s="214">
        <f>CdTrp3!U45</f>
        <v>0</v>
      </c>
      <c r="DE53" s="214">
        <f>CdTrp3!V45</f>
        <v>0</v>
      </c>
      <c r="DF53" s="214">
        <f>CdTrp3!W45</f>
        <v>0</v>
      </c>
      <c r="DG53" s="214">
        <f>CdTrp3!X45</f>
        <v>0</v>
      </c>
      <c r="DH53" s="214">
        <f>CdTrp3!Y45</f>
        <v>0</v>
      </c>
      <c r="DI53" s="210"/>
      <c r="DJ53" s="210"/>
      <c r="DK53" s="211"/>
      <c r="DL53" s="253" t="str">
        <f>CdTrp4!A45</f>
        <v>lot7</v>
      </c>
      <c r="DM53" s="214">
        <f>CdTrp4!B45</f>
        <v>0</v>
      </c>
      <c r="DN53" s="214">
        <f>CdTrp4!C45</f>
        <v>0</v>
      </c>
      <c r="DO53" s="214">
        <f>CdTrp4!D45</f>
        <v>0</v>
      </c>
      <c r="DP53" s="214">
        <f>CdTrp4!E45</f>
        <v>0</v>
      </c>
      <c r="DQ53" s="214">
        <f>CdTrp4!F45</f>
        <v>0</v>
      </c>
      <c r="DR53" s="214">
        <f>CdTrp4!G45</f>
        <v>0</v>
      </c>
      <c r="DS53" s="214">
        <f>CdTrp4!H45</f>
        <v>0</v>
      </c>
      <c r="DT53" s="214">
        <f>CdTrp4!I45</f>
        <v>0</v>
      </c>
      <c r="DU53" s="214">
        <f>CdTrp4!J45</f>
        <v>0</v>
      </c>
      <c r="DV53" s="214">
        <f>CdTrp4!K45</f>
        <v>0</v>
      </c>
      <c r="DW53" s="214">
        <f>CdTrp4!L45</f>
        <v>0</v>
      </c>
      <c r="DX53" s="214">
        <f>CdTrp4!M45</f>
        <v>0</v>
      </c>
      <c r="DY53" s="214">
        <f>CdTrp4!N45</f>
        <v>0</v>
      </c>
      <c r="DZ53" s="214">
        <f>CdTrp4!O45</f>
        <v>0</v>
      </c>
      <c r="EA53" s="214">
        <f>CdTrp4!P45</f>
        <v>0</v>
      </c>
      <c r="EB53" s="214">
        <f>CdTrp4!Q45</f>
        <v>0</v>
      </c>
      <c r="EC53" s="214">
        <f>CdTrp4!R45</f>
        <v>0</v>
      </c>
      <c r="ED53" s="214">
        <f>CdTrp4!S45</f>
        <v>0</v>
      </c>
      <c r="EE53" s="214">
        <f>CdTrp4!T45</f>
        <v>0</v>
      </c>
      <c r="EF53" s="214">
        <f>CdTrp4!U45</f>
        <v>0</v>
      </c>
      <c r="EG53" s="214">
        <f>CdTrp4!V45</f>
        <v>0</v>
      </c>
      <c r="EH53" s="214">
        <f>CdTrp4!W45</f>
        <v>0</v>
      </c>
      <c r="EI53" s="214">
        <f>CdTrp4!X45</f>
        <v>0</v>
      </c>
      <c r="EJ53" s="214">
        <f>CdTrp4!Y45</f>
        <v>0</v>
      </c>
    </row>
    <row r="54" spans="1:143" x14ac:dyDescent="0.25">
      <c r="A54" s="5"/>
      <c r="B54" s="5"/>
      <c r="C54" s="5"/>
      <c r="D54" s="5"/>
      <c r="R54" s="14" t="s">
        <v>983</v>
      </c>
      <c r="S54" s="30">
        <f>SUM(S50:S53)</f>
        <v>0</v>
      </c>
      <c r="U54" s="4"/>
      <c r="X54" s="210"/>
      <c r="Y54" s="210"/>
      <c r="Z54" s="210"/>
      <c r="AA54" s="210"/>
      <c r="AB54" s="210"/>
      <c r="AC54" s="210"/>
      <c r="AD54" s="210"/>
      <c r="AE54" s="210"/>
      <c r="AF54" s="210"/>
      <c r="AG54" s="253" t="str">
        <f>CdTrp1!A46</f>
        <v>lot8</v>
      </c>
      <c r="AH54" s="214">
        <f>CdTrp1!B46</f>
        <v>0</v>
      </c>
      <c r="AI54" s="214">
        <f>CdTrp1!C46</f>
        <v>0</v>
      </c>
      <c r="AJ54" s="214">
        <f>CdTrp1!D46</f>
        <v>0</v>
      </c>
      <c r="AK54" s="214">
        <f>CdTrp1!E46</f>
        <v>0</v>
      </c>
      <c r="AL54" s="214">
        <f>CdTrp1!F46</f>
        <v>0</v>
      </c>
      <c r="AM54" s="214">
        <f>CdTrp1!G46</f>
        <v>0</v>
      </c>
      <c r="AN54" s="214">
        <f>CdTrp1!H46</f>
        <v>0</v>
      </c>
      <c r="AO54" s="214">
        <f>CdTrp1!I46</f>
        <v>0</v>
      </c>
      <c r="AP54" s="214">
        <f>CdTrp1!J46</f>
        <v>0</v>
      </c>
      <c r="AQ54" s="214">
        <f>CdTrp1!K46</f>
        <v>0</v>
      </c>
      <c r="AR54" s="214">
        <f>CdTrp1!L46</f>
        <v>0</v>
      </c>
      <c r="AS54" s="214">
        <f>CdTrp1!M46</f>
        <v>0</v>
      </c>
      <c r="AT54" s="214">
        <f>CdTrp1!N46</f>
        <v>0</v>
      </c>
      <c r="AU54" s="214">
        <f>CdTrp1!O46</f>
        <v>0</v>
      </c>
      <c r="AV54" s="214">
        <f>CdTrp1!P46</f>
        <v>0</v>
      </c>
      <c r="AW54" s="214">
        <f>CdTrp1!Q46</f>
        <v>0</v>
      </c>
      <c r="AX54" s="214">
        <f>CdTrp1!R46</f>
        <v>0</v>
      </c>
      <c r="AY54" s="214">
        <f>CdTrp1!S46</f>
        <v>0</v>
      </c>
      <c r="AZ54" s="214">
        <f>CdTrp1!T46</f>
        <v>0</v>
      </c>
      <c r="BA54" s="214">
        <f>CdTrp1!U46</f>
        <v>0</v>
      </c>
      <c r="BB54" s="214">
        <f>CdTrp1!V46</f>
        <v>0</v>
      </c>
      <c r="BC54" s="214">
        <f>CdTrp1!W46</f>
        <v>0</v>
      </c>
      <c r="BD54" s="214">
        <f>CdTrp1!X46</f>
        <v>0</v>
      </c>
      <c r="BE54" s="214">
        <f>CdTrp1!Y46</f>
        <v>0</v>
      </c>
      <c r="BF54" s="210"/>
      <c r="BG54" s="211"/>
      <c r="BH54" s="253" t="str">
        <f>CdTrp2!A46</f>
        <v>lot8</v>
      </c>
      <c r="BI54" s="210">
        <f>CdTrp2!B46</f>
        <v>0</v>
      </c>
      <c r="BJ54" s="210">
        <f>CdTrp2!C46</f>
        <v>0</v>
      </c>
      <c r="BK54" s="210">
        <f>CdTrp2!D46</f>
        <v>0</v>
      </c>
      <c r="BL54" s="210">
        <f>CdTrp2!E46</f>
        <v>0</v>
      </c>
      <c r="BM54" s="210">
        <f>CdTrp2!F46</f>
        <v>0</v>
      </c>
      <c r="BN54" s="210">
        <f>CdTrp2!G46</f>
        <v>0</v>
      </c>
      <c r="BO54" s="210">
        <f>CdTrp2!H46</f>
        <v>0</v>
      </c>
      <c r="BP54" s="210">
        <f>CdTrp2!I46</f>
        <v>0</v>
      </c>
      <c r="BQ54" s="210">
        <f>CdTrp2!J46</f>
        <v>0</v>
      </c>
      <c r="BR54" s="210">
        <f>CdTrp2!K46</f>
        <v>0</v>
      </c>
      <c r="BS54" s="210">
        <f>CdTrp2!L46</f>
        <v>0</v>
      </c>
      <c r="BT54" s="210">
        <f>CdTrp2!M46</f>
        <v>0</v>
      </c>
      <c r="BU54" s="210">
        <f>CdTrp2!N46</f>
        <v>0</v>
      </c>
      <c r="BV54" s="210">
        <f>CdTrp2!O46</f>
        <v>0</v>
      </c>
      <c r="BW54" s="210">
        <f>CdTrp2!P46</f>
        <v>0</v>
      </c>
      <c r="BX54" s="210">
        <f>CdTrp2!Q46</f>
        <v>0</v>
      </c>
      <c r="BY54" s="210">
        <f>CdTrp2!R46</f>
        <v>0</v>
      </c>
      <c r="BZ54" s="210">
        <f>CdTrp2!S46</f>
        <v>0</v>
      </c>
      <c r="CA54" s="210">
        <f>CdTrp2!T46</f>
        <v>0</v>
      </c>
      <c r="CB54" s="210">
        <f>CdTrp2!U46</f>
        <v>0</v>
      </c>
      <c r="CC54" s="210">
        <f>CdTrp2!V46</f>
        <v>0</v>
      </c>
      <c r="CD54" s="210">
        <f>CdTrp2!W46</f>
        <v>0</v>
      </c>
      <c r="CE54" s="210">
        <f>CdTrp2!X46</f>
        <v>0</v>
      </c>
      <c r="CF54" s="210">
        <f>CdTrp2!Y46</f>
        <v>0</v>
      </c>
      <c r="CG54" s="210"/>
      <c r="CH54" s="210"/>
      <c r="CI54" s="211"/>
      <c r="CJ54" s="253" t="str">
        <f>CdTrp3!A46</f>
        <v>lot8</v>
      </c>
      <c r="CK54" s="214">
        <f>CdTrp3!B46</f>
        <v>0</v>
      </c>
      <c r="CL54" s="214">
        <f>CdTrp3!C46</f>
        <v>0</v>
      </c>
      <c r="CM54" s="214">
        <f>CdTrp3!D46</f>
        <v>0</v>
      </c>
      <c r="CN54" s="214">
        <f>CdTrp3!E46</f>
        <v>0</v>
      </c>
      <c r="CO54" s="214">
        <f>CdTrp3!F46</f>
        <v>0</v>
      </c>
      <c r="CP54" s="214">
        <f>CdTrp3!G46</f>
        <v>0</v>
      </c>
      <c r="CQ54" s="214">
        <f>CdTrp3!H46</f>
        <v>0</v>
      </c>
      <c r="CR54" s="214">
        <f>CdTrp3!I46</f>
        <v>0</v>
      </c>
      <c r="CS54" s="214">
        <f>CdTrp3!J46</f>
        <v>0</v>
      </c>
      <c r="CT54" s="214">
        <f>CdTrp3!K46</f>
        <v>0</v>
      </c>
      <c r="CU54" s="214">
        <f>CdTrp3!L46</f>
        <v>0</v>
      </c>
      <c r="CV54" s="214">
        <f>CdTrp3!M46</f>
        <v>0</v>
      </c>
      <c r="CW54" s="214">
        <f>CdTrp3!N46</f>
        <v>0</v>
      </c>
      <c r="CX54" s="214">
        <f>CdTrp3!O46</f>
        <v>0</v>
      </c>
      <c r="CY54" s="214">
        <f>CdTrp3!P46</f>
        <v>0</v>
      </c>
      <c r="CZ54" s="214">
        <f>CdTrp3!Q46</f>
        <v>0</v>
      </c>
      <c r="DA54" s="214">
        <f>CdTrp3!R46</f>
        <v>0</v>
      </c>
      <c r="DB54" s="214">
        <f>CdTrp3!S46</f>
        <v>0</v>
      </c>
      <c r="DC54" s="214">
        <f>CdTrp3!T46</f>
        <v>0</v>
      </c>
      <c r="DD54" s="214">
        <f>CdTrp3!U46</f>
        <v>0</v>
      </c>
      <c r="DE54" s="214">
        <f>CdTrp3!V46</f>
        <v>0</v>
      </c>
      <c r="DF54" s="214">
        <f>CdTrp3!W46</f>
        <v>0</v>
      </c>
      <c r="DG54" s="214">
        <f>CdTrp3!X46</f>
        <v>0</v>
      </c>
      <c r="DH54" s="214">
        <f>CdTrp3!Y46</f>
        <v>0</v>
      </c>
      <c r="DI54" s="210"/>
      <c r="DJ54" s="210"/>
      <c r="DK54" s="211"/>
      <c r="DL54" s="253" t="str">
        <f>CdTrp4!A46</f>
        <v>lot8</v>
      </c>
      <c r="DM54" s="214">
        <f>CdTrp4!B46</f>
        <v>0</v>
      </c>
      <c r="DN54" s="214">
        <f>CdTrp4!C46</f>
        <v>0</v>
      </c>
      <c r="DO54" s="214">
        <f>CdTrp4!D46</f>
        <v>0</v>
      </c>
      <c r="DP54" s="214">
        <f>CdTrp4!E46</f>
        <v>0</v>
      </c>
      <c r="DQ54" s="214">
        <f>CdTrp4!F46</f>
        <v>0</v>
      </c>
      <c r="DR54" s="214">
        <f>CdTrp4!G46</f>
        <v>0</v>
      </c>
      <c r="DS54" s="214">
        <f>CdTrp4!H46</f>
        <v>0</v>
      </c>
      <c r="DT54" s="214">
        <f>CdTrp4!I46</f>
        <v>0</v>
      </c>
      <c r="DU54" s="214">
        <f>CdTrp4!J46</f>
        <v>0</v>
      </c>
      <c r="DV54" s="214">
        <f>CdTrp4!K46</f>
        <v>0</v>
      </c>
      <c r="DW54" s="214">
        <f>CdTrp4!L46</f>
        <v>0</v>
      </c>
      <c r="DX54" s="214">
        <f>CdTrp4!M46</f>
        <v>0</v>
      </c>
      <c r="DY54" s="214">
        <f>CdTrp4!N46</f>
        <v>0</v>
      </c>
      <c r="DZ54" s="214">
        <f>CdTrp4!O46</f>
        <v>0</v>
      </c>
      <c r="EA54" s="214">
        <f>CdTrp4!P46</f>
        <v>0</v>
      </c>
      <c r="EB54" s="214">
        <f>CdTrp4!Q46</f>
        <v>0</v>
      </c>
      <c r="EC54" s="214">
        <f>CdTrp4!R46</f>
        <v>0</v>
      </c>
      <c r="ED54" s="214">
        <f>CdTrp4!S46</f>
        <v>0</v>
      </c>
      <c r="EE54" s="214">
        <f>CdTrp4!T46</f>
        <v>0</v>
      </c>
      <c r="EF54" s="214">
        <f>CdTrp4!U46</f>
        <v>0</v>
      </c>
      <c r="EG54" s="214">
        <f>CdTrp4!V46</f>
        <v>0</v>
      </c>
      <c r="EH54" s="214">
        <f>CdTrp4!W46</f>
        <v>0</v>
      </c>
      <c r="EI54" s="214">
        <f>CdTrp4!X46</f>
        <v>0</v>
      </c>
      <c r="EJ54" s="214">
        <f>CdTrp4!Y46</f>
        <v>0</v>
      </c>
    </row>
    <row r="55" spans="1:143" x14ac:dyDescent="0.25">
      <c r="A55" s="5"/>
      <c r="B55" s="5"/>
      <c r="C55" s="5"/>
      <c r="D55" s="5"/>
      <c r="R55" s="14" t="s">
        <v>984</v>
      </c>
      <c r="S55" s="30">
        <f>S54*[1]Eco!$B$25</f>
        <v>0</v>
      </c>
      <c r="X55" s="210"/>
      <c r="Y55" s="210"/>
      <c r="Z55" s="210"/>
      <c r="AA55" s="210"/>
      <c r="AB55" s="210"/>
      <c r="AC55" s="210"/>
      <c r="AD55" s="210"/>
      <c r="AE55" s="210"/>
      <c r="AF55" s="210"/>
      <c r="AG55" s="210" t="str">
        <f>CdTrp1!A47</f>
        <v>lot9</v>
      </c>
      <c r="AH55" s="214">
        <f>CdTrp1!B47</f>
        <v>0</v>
      </c>
      <c r="AI55" s="214">
        <f>CdTrp1!C47</f>
        <v>0</v>
      </c>
      <c r="AJ55" s="214">
        <f>CdTrp1!D47</f>
        <v>0</v>
      </c>
      <c r="AK55" s="214">
        <f>CdTrp1!E47</f>
        <v>0</v>
      </c>
      <c r="AL55" s="214">
        <f>CdTrp1!F47</f>
        <v>0</v>
      </c>
      <c r="AM55" s="214">
        <f>CdTrp1!G47</f>
        <v>0</v>
      </c>
      <c r="AN55" s="214">
        <f>CdTrp1!H47</f>
        <v>0</v>
      </c>
      <c r="AO55" s="214">
        <f>CdTrp1!I47</f>
        <v>0</v>
      </c>
      <c r="AP55" s="214">
        <f>CdTrp1!J47</f>
        <v>0</v>
      </c>
      <c r="AQ55" s="214">
        <f>CdTrp1!K47</f>
        <v>0</v>
      </c>
      <c r="AR55" s="214">
        <f>CdTrp1!L47</f>
        <v>0</v>
      </c>
      <c r="AS55" s="214">
        <f>CdTrp1!M47</f>
        <v>0</v>
      </c>
      <c r="AT55" s="214">
        <f>CdTrp1!N47</f>
        <v>0</v>
      </c>
      <c r="AU55" s="214">
        <f>CdTrp1!O47</f>
        <v>0</v>
      </c>
      <c r="AV55" s="214">
        <f>CdTrp1!P47</f>
        <v>0</v>
      </c>
      <c r="AW55" s="214">
        <f>CdTrp1!Q47</f>
        <v>0</v>
      </c>
      <c r="AX55" s="214">
        <f>CdTrp1!R47</f>
        <v>0</v>
      </c>
      <c r="AY55" s="214">
        <f>CdTrp1!S47</f>
        <v>0</v>
      </c>
      <c r="AZ55" s="214">
        <f>CdTrp1!T47</f>
        <v>0</v>
      </c>
      <c r="BA55" s="214">
        <f>CdTrp1!U47</f>
        <v>0</v>
      </c>
      <c r="BB55" s="214">
        <f>CdTrp1!V47</f>
        <v>0</v>
      </c>
      <c r="BC55" s="214">
        <f>CdTrp1!W47</f>
        <v>0</v>
      </c>
      <c r="BD55" s="214">
        <f>CdTrp1!X47</f>
        <v>0</v>
      </c>
      <c r="BE55" s="214">
        <f>CdTrp1!Y47</f>
        <v>0</v>
      </c>
      <c r="BF55" s="210"/>
      <c r="BG55" s="211"/>
      <c r="BH55" s="210" t="str">
        <f>CdTrp2!A47</f>
        <v>lot9</v>
      </c>
      <c r="BI55" s="210">
        <f>CdTrp2!B47</f>
        <v>0</v>
      </c>
      <c r="BJ55" s="210">
        <f>CdTrp2!C47</f>
        <v>0</v>
      </c>
      <c r="BK55" s="210">
        <f>CdTrp2!D47</f>
        <v>0</v>
      </c>
      <c r="BL55" s="210">
        <f>CdTrp2!E47</f>
        <v>0</v>
      </c>
      <c r="BM55" s="210">
        <f>CdTrp2!F47</f>
        <v>0</v>
      </c>
      <c r="BN55" s="210">
        <f>CdTrp2!G47</f>
        <v>0</v>
      </c>
      <c r="BO55" s="210">
        <f>CdTrp2!H47</f>
        <v>0</v>
      </c>
      <c r="BP55" s="210">
        <f>CdTrp2!I47</f>
        <v>0</v>
      </c>
      <c r="BQ55" s="210">
        <f>CdTrp2!J47</f>
        <v>0</v>
      </c>
      <c r="BR55" s="210">
        <f>CdTrp2!K47</f>
        <v>0</v>
      </c>
      <c r="BS55" s="210">
        <f>CdTrp2!L47</f>
        <v>0</v>
      </c>
      <c r="BT55" s="210">
        <f>CdTrp2!M47</f>
        <v>0</v>
      </c>
      <c r="BU55" s="210">
        <f>CdTrp2!N47</f>
        <v>0</v>
      </c>
      <c r="BV55" s="210">
        <f>CdTrp2!O47</f>
        <v>0</v>
      </c>
      <c r="BW55" s="210">
        <f>CdTrp2!P47</f>
        <v>0</v>
      </c>
      <c r="BX55" s="210">
        <f>CdTrp2!Q47</f>
        <v>0</v>
      </c>
      <c r="BY55" s="210">
        <f>CdTrp2!R47</f>
        <v>0</v>
      </c>
      <c r="BZ55" s="210">
        <f>CdTrp2!S47</f>
        <v>0</v>
      </c>
      <c r="CA55" s="210">
        <f>CdTrp2!T47</f>
        <v>0</v>
      </c>
      <c r="CB55" s="210">
        <f>CdTrp2!U47</f>
        <v>0</v>
      </c>
      <c r="CC55" s="210">
        <f>CdTrp2!V47</f>
        <v>0</v>
      </c>
      <c r="CD55" s="210">
        <f>CdTrp2!W47</f>
        <v>0</v>
      </c>
      <c r="CE55" s="210">
        <f>CdTrp2!X47</f>
        <v>0</v>
      </c>
      <c r="CF55" s="210">
        <f>CdTrp2!Y47</f>
        <v>0</v>
      </c>
      <c r="CG55" s="210"/>
      <c r="CH55" s="210"/>
      <c r="CI55" s="211"/>
      <c r="CJ55" s="210" t="str">
        <f>CdTrp3!A47</f>
        <v>lot9</v>
      </c>
      <c r="CK55" s="214">
        <f>CdTrp3!B47</f>
        <v>0</v>
      </c>
      <c r="CL55" s="214">
        <f>CdTrp3!C47</f>
        <v>0</v>
      </c>
      <c r="CM55" s="214">
        <f>CdTrp3!D47</f>
        <v>0</v>
      </c>
      <c r="CN55" s="214">
        <f>CdTrp3!E47</f>
        <v>0</v>
      </c>
      <c r="CO55" s="214">
        <f>CdTrp3!F47</f>
        <v>0</v>
      </c>
      <c r="CP55" s="214">
        <f>CdTrp3!G47</f>
        <v>0</v>
      </c>
      <c r="CQ55" s="214">
        <f>CdTrp3!H47</f>
        <v>0</v>
      </c>
      <c r="CR55" s="214">
        <f>CdTrp3!I47</f>
        <v>0</v>
      </c>
      <c r="CS55" s="214">
        <f>CdTrp3!J47</f>
        <v>0</v>
      </c>
      <c r="CT55" s="214">
        <f>CdTrp3!K47</f>
        <v>0</v>
      </c>
      <c r="CU55" s="214">
        <f>CdTrp3!L47</f>
        <v>0</v>
      </c>
      <c r="CV55" s="214">
        <f>CdTrp3!M47</f>
        <v>0</v>
      </c>
      <c r="CW55" s="214">
        <f>CdTrp3!N47</f>
        <v>0</v>
      </c>
      <c r="CX55" s="214">
        <f>CdTrp3!O47</f>
        <v>0</v>
      </c>
      <c r="CY55" s="214">
        <f>CdTrp3!P47</f>
        <v>0</v>
      </c>
      <c r="CZ55" s="214">
        <f>CdTrp3!Q47</f>
        <v>0</v>
      </c>
      <c r="DA55" s="214">
        <f>CdTrp3!R47</f>
        <v>0</v>
      </c>
      <c r="DB55" s="214">
        <f>CdTrp3!S47</f>
        <v>0</v>
      </c>
      <c r="DC55" s="214">
        <f>CdTrp3!T47</f>
        <v>0</v>
      </c>
      <c r="DD55" s="214">
        <f>CdTrp3!U47</f>
        <v>0</v>
      </c>
      <c r="DE55" s="214">
        <f>CdTrp3!V47</f>
        <v>0</v>
      </c>
      <c r="DF55" s="214">
        <f>CdTrp3!W47</f>
        <v>0</v>
      </c>
      <c r="DG55" s="214">
        <f>CdTrp3!X47</f>
        <v>0</v>
      </c>
      <c r="DH55" s="214">
        <f>CdTrp3!Y47</f>
        <v>0</v>
      </c>
      <c r="DI55" s="210"/>
      <c r="DJ55" s="210"/>
      <c r="DK55" s="211"/>
      <c r="DL55" s="210" t="str">
        <f>CdTrp4!A47</f>
        <v>lot9</v>
      </c>
      <c r="DM55" s="214">
        <f>CdTrp4!B47</f>
        <v>0</v>
      </c>
      <c r="DN55" s="214">
        <f>CdTrp4!C47</f>
        <v>0</v>
      </c>
      <c r="DO55" s="214">
        <f>CdTrp4!D47</f>
        <v>0</v>
      </c>
      <c r="DP55" s="214">
        <f>CdTrp4!E47</f>
        <v>0</v>
      </c>
      <c r="DQ55" s="214">
        <f>CdTrp4!F47</f>
        <v>0</v>
      </c>
      <c r="DR55" s="214">
        <f>CdTrp4!G47</f>
        <v>0</v>
      </c>
      <c r="DS55" s="214">
        <f>CdTrp4!H47</f>
        <v>0</v>
      </c>
      <c r="DT55" s="214">
        <f>CdTrp4!I47</f>
        <v>0</v>
      </c>
      <c r="DU55" s="214">
        <f>CdTrp4!J47</f>
        <v>0</v>
      </c>
      <c r="DV55" s="214">
        <f>CdTrp4!K47</f>
        <v>0</v>
      </c>
      <c r="DW55" s="214">
        <f>CdTrp4!L47</f>
        <v>0</v>
      </c>
      <c r="DX55" s="214">
        <f>CdTrp4!M47</f>
        <v>0</v>
      </c>
      <c r="DY55" s="214">
        <f>CdTrp4!N47</f>
        <v>0</v>
      </c>
      <c r="DZ55" s="214">
        <f>CdTrp4!O47</f>
        <v>0</v>
      </c>
      <c r="EA55" s="214">
        <f>CdTrp4!P47</f>
        <v>0</v>
      </c>
      <c r="EB55" s="214">
        <f>CdTrp4!Q47</f>
        <v>0</v>
      </c>
      <c r="EC55" s="214">
        <f>CdTrp4!R47</f>
        <v>0</v>
      </c>
      <c r="ED55" s="214">
        <f>CdTrp4!S47</f>
        <v>0</v>
      </c>
      <c r="EE55" s="214">
        <f>CdTrp4!T47</f>
        <v>0</v>
      </c>
      <c r="EF55" s="214">
        <f>CdTrp4!U47</f>
        <v>0</v>
      </c>
      <c r="EG55" s="214">
        <f>CdTrp4!V47</f>
        <v>0</v>
      </c>
      <c r="EH55" s="214">
        <f>CdTrp4!W47</f>
        <v>0</v>
      </c>
      <c r="EI55" s="214">
        <f>CdTrp4!X47</f>
        <v>0</v>
      </c>
      <c r="EJ55" s="214">
        <f>CdTrp4!Y47</f>
        <v>0</v>
      </c>
    </row>
    <row r="56" spans="1:143" x14ac:dyDescent="0.25">
      <c r="A56" s="5"/>
      <c r="B56" s="5"/>
      <c r="C56" s="5"/>
      <c r="D56" s="5"/>
      <c r="X56" s="210"/>
      <c r="Y56" s="210"/>
      <c r="Z56" s="210"/>
      <c r="AA56" s="210"/>
      <c r="AB56" s="210"/>
      <c r="AC56" s="210"/>
      <c r="AD56" s="210"/>
      <c r="AE56" s="210"/>
      <c r="AF56" s="210"/>
      <c r="AG56" s="253" t="str">
        <f>CdTrp1!A48</f>
        <v>lot10</v>
      </c>
      <c r="AH56" s="214">
        <f>CdTrp1!B48</f>
        <v>0</v>
      </c>
      <c r="AI56" s="214">
        <f>CdTrp1!C48</f>
        <v>0</v>
      </c>
      <c r="AJ56" s="214">
        <f>CdTrp1!D48</f>
        <v>0</v>
      </c>
      <c r="AK56" s="214">
        <f>CdTrp1!E48</f>
        <v>0</v>
      </c>
      <c r="AL56" s="214">
        <f>CdTrp1!F48</f>
        <v>0</v>
      </c>
      <c r="AM56" s="214">
        <f>CdTrp1!G48</f>
        <v>0</v>
      </c>
      <c r="AN56" s="214">
        <f>CdTrp1!H48</f>
        <v>0</v>
      </c>
      <c r="AO56" s="214">
        <f>CdTrp1!I48</f>
        <v>0</v>
      </c>
      <c r="AP56" s="214">
        <f>CdTrp1!J48</f>
        <v>0</v>
      </c>
      <c r="AQ56" s="214">
        <f>CdTrp1!K48</f>
        <v>0</v>
      </c>
      <c r="AR56" s="214">
        <f>CdTrp1!L48</f>
        <v>0</v>
      </c>
      <c r="AS56" s="214">
        <f>CdTrp1!M48</f>
        <v>0</v>
      </c>
      <c r="AT56" s="214">
        <f>CdTrp1!N48</f>
        <v>0</v>
      </c>
      <c r="AU56" s="214">
        <f>CdTrp1!O48</f>
        <v>0</v>
      </c>
      <c r="AV56" s="214">
        <f>CdTrp1!P48</f>
        <v>0</v>
      </c>
      <c r="AW56" s="214">
        <f>CdTrp1!Q48</f>
        <v>0</v>
      </c>
      <c r="AX56" s="214">
        <f>CdTrp1!R48</f>
        <v>0</v>
      </c>
      <c r="AY56" s="214">
        <f>CdTrp1!S48</f>
        <v>0</v>
      </c>
      <c r="AZ56" s="214">
        <f>CdTrp1!T48</f>
        <v>0</v>
      </c>
      <c r="BA56" s="214">
        <f>CdTrp1!U48</f>
        <v>0</v>
      </c>
      <c r="BB56" s="214">
        <f>CdTrp1!V48</f>
        <v>0</v>
      </c>
      <c r="BC56" s="214">
        <f>CdTrp1!W48</f>
        <v>0</v>
      </c>
      <c r="BD56" s="214">
        <f>CdTrp1!X48</f>
        <v>0</v>
      </c>
      <c r="BE56" s="214">
        <f>CdTrp1!Y48</f>
        <v>0</v>
      </c>
      <c r="BF56" s="210"/>
      <c r="BG56" s="211"/>
      <c r="BH56" s="253" t="str">
        <f>CdTrp2!A48</f>
        <v>lot10</v>
      </c>
      <c r="BI56" s="210">
        <f>CdTrp2!B48</f>
        <v>0</v>
      </c>
      <c r="BJ56" s="210">
        <f>CdTrp2!C48</f>
        <v>0</v>
      </c>
      <c r="BK56" s="210">
        <f>CdTrp2!D48</f>
        <v>0</v>
      </c>
      <c r="BL56" s="210">
        <f>CdTrp2!E48</f>
        <v>0</v>
      </c>
      <c r="BM56" s="210">
        <f>CdTrp2!F48</f>
        <v>0</v>
      </c>
      <c r="BN56" s="210">
        <f>CdTrp2!G48</f>
        <v>0</v>
      </c>
      <c r="BO56" s="210">
        <f>CdTrp2!H48</f>
        <v>0</v>
      </c>
      <c r="BP56" s="210">
        <f>CdTrp2!I48</f>
        <v>0</v>
      </c>
      <c r="BQ56" s="210">
        <f>CdTrp2!J48</f>
        <v>0</v>
      </c>
      <c r="BR56" s="210">
        <f>CdTrp2!K48</f>
        <v>0</v>
      </c>
      <c r="BS56" s="210">
        <f>CdTrp2!L48</f>
        <v>0</v>
      </c>
      <c r="BT56" s="210">
        <f>CdTrp2!M48</f>
        <v>0</v>
      </c>
      <c r="BU56" s="210">
        <f>CdTrp2!N48</f>
        <v>0</v>
      </c>
      <c r="BV56" s="210">
        <f>CdTrp2!O48</f>
        <v>0</v>
      </c>
      <c r="BW56" s="210">
        <f>CdTrp2!P48</f>
        <v>0</v>
      </c>
      <c r="BX56" s="210">
        <f>CdTrp2!Q48</f>
        <v>0</v>
      </c>
      <c r="BY56" s="210">
        <f>CdTrp2!R48</f>
        <v>0</v>
      </c>
      <c r="BZ56" s="210">
        <f>CdTrp2!S48</f>
        <v>0</v>
      </c>
      <c r="CA56" s="210">
        <f>CdTrp2!T48</f>
        <v>0</v>
      </c>
      <c r="CB56" s="210">
        <f>CdTrp2!U48</f>
        <v>0</v>
      </c>
      <c r="CC56" s="210">
        <f>CdTrp2!V48</f>
        <v>0</v>
      </c>
      <c r="CD56" s="210">
        <f>CdTrp2!W48</f>
        <v>0</v>
      </c>
      <c r="CE56" s="210">
        <f>CdTrp2!X48</f>
        <v>0</v>
      </c>
      <c r="CF56" s="210">
        <f>CdTrp2!Y48</f>
        <v>0</v>
      </c>
      <c r="CG56" s="210"/>
      <c r="CH56" s="210"/>
      <c r="CI56" s="211"/>
      <c r="CJ56" s="253" t="str">
        <f>CdTrp3!A48</f>
        <v>lot10</v>
      </c>
      <c r="CK56" s="214">
        <f>CdTrp3!B48</f>
        <v>0</v>
      </c>
      <c r="CL56" s="214">
        <f>CdTrp3!C48</f>
        <v>0</v>
      </c>
      <c r="CM56" s="214">
        <f>CdTrp3!D48</f>
        <v>0</v>
      </c>
      <c r="CN56" s="214">
        <f>CdTrp3!E48</f>
        <v>0</v>
      </c>
      <c r="CO56" s="214">
        <f>CdTrp3!F48</f>
        <v>0</v>
      </c>
      <c r="CP56" s="214">
        <f>CdTrp3!G48</f>
        <v>0</v>
      </c>
      <c r="CQ56" s="214">
        <f>CdTrp3!H48</f>
        <v>0</v>
      </c>
      <c r="CR56" s="214">
        <f>CdTrp3!I48</f>
        <v>0</v>
      </c>
      <c r="CS56" s="214">
        <f>CdTrp3!J48</f>
        <v>0</v>
      </c>
      <c r="CT56" s="214">
        <f>CdTrp3!K48</f>
        <v>0</v>
      </c>
      <c r="CU56" s="214">
        <f>CdTrp3!L48</f>
        <v>0</v>
      </c>
      <c r="CV56" s="214">
        <f>CdTrp3!M48</f>
        <v>0</v>
      </c>
      <c r="CW56" s="214">
        <f>CdTrp3!N48</f>
        <v>0</v>
      </c>
      <c r="CX56" s="214">
        <f>CdTrp3!O48</f>
        <v>0</v>
      </c>
      <c r="CY56" s="214">
        <f>CdTrp3!P48</f>
        <v>0</v>
      </c>
      <c r="CZ56" s="214">
        <f>CdTrp3!Q48</f>
        <v>0</v>
      </c>
      <c r="DA56" s="214">
        <f>CdTrp3!R48</f>
        <v>0</v>
      </c>
      <c r="DB56" s="214">
        <f>CdTrp3!S48</f>
        <v>0</v>
      </c>
      <c r="DC56" s="214">
        <f>CdTrp3!T48</f>
        <v>0</v>
      </c>
      <c r="DD56" s="214">
        <f>CdTrp3!U48</f>
        <v>0</v>
      </c>
      <c r="DE56" s="214">
        <f>CdTrp3!V48</f>
        <v>0</v>
      </c>
      <c r="DF56" s="214">
        <f>CdTrp3!W48</f>
        <v>0</v>
      </c>
      <c r="DG56" s="214">
        <f>CdTrp3!X48</f>
        <v>0</v>
      </c>
      <c r="DH56" s="214">
        <f>CdTrp3!Y48</f>
        <v>0</v>
      </c>
      <c r="DI56" s="210"/>
      <c r="DJ56" s="210"/>
      <c r="DK56" s="211"/>
      <c r="DL56" s="253" t="str">
        <f>CdTrp4!A48</f>
        <v>lot10</v>
      </c>
      <c r="DM56" s="214">
        <f>CdTrp4!B48</f>
        <v>0</v>
      </c>
      <c r="DN56" s="214">
        <f>CdTrp4!C48</f>
        <v>0</v>
      </c>
      <c r="DO56" s="214">
        <f>CdTrp4!D48</f>
        <v>0</v>
      </c>
      <c r="DP56" s="214">
        <f>CdTrp4!E48</f>
        <v>0</v>
      </c>
      <c r="DQ56" s="214">
        <f>CdTrp4!F48</f>
        <v>0</v>
      </c>
      <c r="DR56" s="214">
        <f>CdTrp4!G48</f>
        <v>0</v>
      </c>
      <c r="DS56" s="214">
        <f>CdTrp4!H48</f>
        <v>0</v>
      </c>
      <c r="DT56" s="214">
        <f>CdTrp4!I48</f>
        <v>0</v>
      </c>
      <c r="DU56" s="214">
        <f>CdTrp4!J48</f>
        <v>0</v>
      </c>
      <c r="DV56" s="214">
        <f>CdTrp4!K48</f>
        <v>0</v>
      </c>
      <c r="DW56" s="214">
        <f>CdTrp4!L48</f>
        <v>0</v>
      </c>
      <c r="DX56" s="214">
        <f>CdTrp4!M48</f>
        <v>0</v>
      </c>
      <c r="DY56" s="214">
        <f>CdTrp4!N48</f>
        <v>0</v>
      </c>
      <c r="DZ56" s="214">
        <f>CdTrp4!O48</f>
        <v>0</v>
      </c>
      <c r="EA56" s="214">
        <f>CdTrp4!P48</f>
        <v>0</v>
      </c>
      <c r="EB56" s="214">
        <f>CdTrp4!Q48</f>
        <v>0</v>
      </c>
      <c r="EC56" s="214">
        <f>CdTrp4!R48</f>
        <v>0</v>
      </c>
      <c r="ED56" s="214">
        <f>CdTrp4!S48</f>
        <v>0</v>
      </c>
      <c r="EE56" s="214">
        <f>CdTrp4!T48</f>
        <v>0</v>
      </c>
      <c r="EF56" s="214">
        <f>CdTrp4!U48</f>
        <v>0</v>
      </c>
      <c r="EG56" s="214">
        <f>CdTrp4!V48</f>
        <v>0</v>
      </c>
      <c r="EH56" s="214">
        <f>CdTrp4!W48</f>
        <v>0</v>
      </c>
      <c r="EI56" s="214">
        <f>CdTrp4!X48</f>
        <v>0</v>
      </c>
      <c r="EJ56" s="214">
        <f>CdTrp4!Y48</f>
        <v>0</v>
      </c>
    </row>
    <row r="57" spans="1:143" x14ac:dyDescent="0.25">
      <c r="A57" s="5"/>
      <c r="B57" s="5"/>
      <c r="C57" s="5"/>
      <c r="D57" s="5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1"/>
      <c r="BH57" s="210"/>
      <c r="BI57" s="210"/>
      <c r="BJ57" s="210"/>
      <c r="BK57" s="210"/>
      <c r="BL57" s="210"/>
      <c r="BM57" s="210"/>
      <c r="BN57" s="210"/>
      <c r="BO57" s="210"/>
      <c r="BP57" s="210"/>
      <c r="BQ57" s="210"/>
      <c r="BR57" s="210"/>
      <c r="BS57" s="210"/>
      <c r="BT57" s="210"/>
      <c r="BU57" s="210"/>
      <c r="BV57" s="210"/>
      <c r="BW57" s="210"/>
      <c r="BX57" s="210"/>
      <c r="BY57" s="210"/>
      <c r="BZ57" s="210"/>
      <c r="CA57" s="210"/>
      <c r="CB57" s="210"/>
      <c r="CC57" s="210"/>
      <c r="CD57" s="210"/>
      <c r="CE57" s="210"/>
      <c r="CF57" s="210"/>
      <c r="CG57" s="210"/>
      <c r="CH57" s="210"/>
      <c r="CI57" s="211"/>
      <c r="CJ57" s="210"/>
      <c r="CK57" s="214"/>
      <c r="CL57" s="214"/>
      <c r="CM57" s="214"/>
      <c r="CN57" s="214"/>
      <c r="CO57" s="214"/>
      <c r="CP57" s="214"/>
      <c r="CQ57" s="214"/>
      <c r="CR57" s="214"/>
      <c r="CS57" s="214"/>
      <c r="CT57" s="214"/>
      <c r="CU57" s="214"/>
      <c r="CV57" s="214"/>
      <c r="CW57" s="214"/>
      <c r="CX57" s="214"/>
      <c r="CY57" s="214"/>
      <c r="CZ57" s="214"/>
      <c r="DA57" s="214"/>
      <c r="DB57" s="214"/>
      <c r="DC57" s="214"/>
      <c r="DD57" s="214"/>
      <c r="DE57" s="214"/>
      <c r="DF57" s="214"/>
      <c r="DG57" s="214"/>
      <c r="DH57" s="214"/>
      <c r="DI57" s="210"/>
      <c r="DJ57" s="210"/>
      <c r="DK57" s="211"/>
      <c r="DL57" s="210"/>
      <c r="DM57" s="214"/>
      <c r="DN57" s="214"/>
      <c r="DO57" s="214"/>
      <c r="DP57" s="214"/>
      <c r="DQ57" s="214"/>
      <c r="DR57" s="214"/>
      <c r="DS57" s="214"/>
      <c r="DT57" s="214"/>
      <c r="DU57" s="214"/>
      <c r="DV57" s="214"/>
      <c r="DW57" s="214"/>
      <c r="DX57" s="214"/>
      <c r="DY57" s="214"/>
      <c r="DZ57" s="214"/>
      <c r="EA57" s="214"/>
      <c r="EB57" s="214"/>
      <c r="EC57" s="214"/>
      <c r="ED57" s="214"/>
      <c r="EE57" s="214"/>
      <c r="EF57" s="214"/>
      <c r="EG57" s="214"/>
      <c r="EH57" s="214"/>
      <c r="EI57" s="214"/>
      <c r="EJ57" s="214"/>
    </row>
    <row r="58" spans="1:143" x14ac:dyDescent="0.25">
      <c r="A58" s="5"/>
      <c r="B58" s="5"/>
      <c r="C58" s="5"/>
      <c r="D58" s="5"/>
      <c r="X58" s="210"/>
      <c r="Y58" s="210"/>
      <c r="Z58" s="210"/>
      <c r="AA58" s="210"/>
      <c r="AB58" s="210"/>
      <c r="AC58" s="210"/>
      <c r="AD58" s="210"/>
      <c r="AE58" s="210"/>
      <c r="AF58" s="217" t="s">
        <v>985</v>
      </c>
      <c r="AG58" s="210" t="str">
        <f>CdTrp1!A76</f>
        <v xml:space="preserve">Vaches </v>
      </c>
      <c r="AH58" s="214">
        <f>IF(CdTrp1!B76=4,1,0)</f>
        <v>0</v>
      </c>
      <c r="AI58" s="214">
        <f>IF(CdTrp1!C76=4,1,0)</f>
        <v>0</v>
      </c>
      <c r="AJ58" s="214">
        <f>IF(CdTrp1!D76=4,1,0)</f>
        <v>0</v>
      </c>
      <c r="AK58" s="214">
        <f>IF(CdTrp1!E76=4,1,0)</f>
        <v>0</v>
      </c>
      <c r="AL58" s="214">
        <f>IF(CdTrp1!F76=4,1,0)</f>
        <v>0</v>
      </c>
      <c r="AM58" s="214">
        <f>IF(CdTrp1!G76=4,1,0)</f>
        <v>0</v>
      </c>
      <c r="AN58" s="214">
        <f>IF(CdTrp1!H76=4,1,0)</f>
        <v>0</v>
      </c>
      <c r="AO58" s="214">
        <f>IF(CdTrp1!I76=4,1,0)</f>
        <v>0</v>
      </c>
      <c r="AP58" s="214">
        <f>IF(CdTrp1!J76=4,1,0)</f>
        <v>0</v>
      </c>
      <c r="AQ58" s="214">
        <f>IF(CdTrp1!K76=4,1,0)</f>
        <v>0</v>
      </c>
      <c r="AR58" s="214">
        <f>IF(CdTrp1!L76=4,1,0)</f>
        <v>0</v>
      </c>
      <c r="AS58" s="214">
        <f>IF(CdTrp1!M76=4,1,0)</f>
        <v>0</v>
      </c>
      <c r="AT58" s="214">
        <f>IF(CdTrp1!N76=4,1,0)</f>
        <v>0</v>
      </c>
      <c r="AU58" s="214">
        <f>IF(CdTrp1!O76=4,1,0)</f>
        <v>0</v>
      </c>
      <c r="AV58" s="214">
        <f>IF(CdTrp1!P76=4,1,0)</f>
        <v>0</v>
      </c>
      <c r="AW58" s="214">
        <f>IF(CdTrp1!Q76=4,1,0)</f>
        <v>0</v>
      </c>
      <c r="AX58" s="214">
        <f>IF(CdTrp1!R76=4,1,0)</f>
        <v>0</v>
      </c>
      <c r="AY58" s="214">
        <f>IF(CdTrp1!S76=4,1,0)</f>
        <v>0</v>
      </c>
      <c r="AZ58" s="214">
        <f>IF(CdTrp1!T76=4,1,0)</f>
        <v>0</v>
      </c>
      <c r="BA58" s="214">
        <f>IF(CdTrp1!U76=4,1,0)</f>
        <v>0</v>
      </c>
      <c r="BB58" s="214">
        <f>IF(CdTrp1!V76=4,1,0)</f>
        <v>0</v>
      </c>
      <c r="BC58" s="214">
        <f>IF(CdTrp1!W76=4,1,0)</f>
        <v>0</v>
      </c>
      <c r="BD58" s="214">
        <f>IF(CdTrp1!X76=4,1,0)</f>
        <v>0</v>
      </c>
      <c r="BE58" s="214">
        <f>IF(CdTrp1!Y76=4,1,0)</f>
        <v>0</v>
      </c>
      <c r="BF58" s="210"/>
      <c r="BG58" s="211" t="s">
        <v>985</v>
      </c>
      <c r="BH58" s="210" t="str">
        <f t="shared" ref="BH58:BH67" si="22">BH47</f>
        <v>lot1</v>
      </c>
      <c r="BI58" s="210">
        <f>IF(CdTrp2!B76=4,1,0)</f>
        <v>0</v>
      </c>
      <c r="BJ58" s="210">
        <f>IF(CdTrp2!C76=4,1,0)</f>
        <v>0</v>
      </c>
      <c r="BK58" s="210">
        <f>IF(CdTrp2!D76=4,1,0)</f>
        <v>0</v>
      </c>
      <c r="BL58" s="210">
        <f>IF(CdTrp2!E76=4,1,0)</f>
        <v>0</v>
      </c>
      <c r="BM58" s="210">
        <f>IF(CdTrp2!F76=4,1,0)</f>
        <v>0</v>
      </c>
      <c r="BN58" s="210">
        <f>IF(CdTrp2!G76=4,1,0)</f>
        <v>0</v>
      </c>
      <c r="BO58" s="210">
        <f>IF(CdTrp2!H76=4,1,0)</f>
        <v>0</v>
      </c>
      <c r="BP58" s="210">
        <f>IF(CdTrp2!I76=4,1,0)</f>
        <v>0</v>
      </c>
      <c r="BQ58" s="210">
        <f>IF(CdTrp2!J76=4,1,0)</f>
        <v>0</v>
      </c>
      <c r="BR58" s="210">
        <f>IF(CdTrp2!K76=4,1,0)</f>
        <v>0</v>
      </c>
      <c r="BS58" s="210">
        <f>IF(CdTrp2!L76=4,1,0)</f>
        <v>0</v>
      </c>
      <c r="BT58" s="210">
        <f>IF(CdTrp2!M76=4,1,0)</f>
        <v>0</v>
      </c>
      <c r="BU58" s="210">
        <f>IF(CdTrp2!N76=4,1,0)</f>
        <v>0</v>
      </c>
      <c r="BV58" s="210">
        <f>IF(CdTrp2!O76=4,1,0)</f>
        <v>0</v>
      </c>
      <c r="BW58" s="210">
        <f>IF(CdTrp2!P76=4,1,0)</f>
        <v>0</v>
      </c>
      <c r="BX58" s="210">
        <f>IF(CdTrp2!Q76=4,1,0)</f>
        <v>0</v>
      </c>
      <c r="BY58" s="210">
        <f>IF(CdTrp2!R76=4,1,0)</f>
        <v>0</v>
      </c>
      <c r="BZ58" s="210">
        <f>IF(CdTrp2!S76=4,1,0)</f>
        <v>0</v>
      </c>
      <c r="CA58" s="210">
        <f>IF(CdTrp2!T76=4,1,0)</f>
        <v>0</v>
      </c>
      <c r="CB58" s="210">
        <f>IF(CdTrp2!U76=4,1,0)</f>
        <v>0</v>
      </c>
      <c r="CC58" s="210">
        <f>IF(CdTrp2!V76=4,1,0)</f>
        <v>0</v>
      </c>
      <c r="CD58" s="210">
        <f>IF(CdTrp2!W76=4,1,0)</f>
        <v>0</v>
      </c>
      <c r="CE58" s="210">
        <f>IF(CdTrp2!X76=4,1,0)</f>
        <v>0</v>
      </c>
      <c r="CF58" s="210">
        <f>IF(CdTrp2!Y76=4,1,0)</f>
        <v>0</v>
      </c>
      <c r="CG58" s="210"/>
      <c r="CH58" s="210"/>
      <c r="CI58" s="211" t="s">
        <v>985</v>
      </c>
      <c r="CJ58" s="210" t="str">
        <f t="shared" ref="CJ58:CJ67" si="23">CJ47</f>
        <v>lot1</v>
      </c>
      <c r="CK58" s="214">
        <f>IF(CdTrp3!B76=4,1,0)</f>
        <v>0</v>
      </c>
      <c r="CL58" s="214">
        <f>IF(CdTrp3!C76=4,1,0)</f>
        <v>0</v>
      </c>
      <c r="CM58" s="214">
        <f>IF(CdTrp3!D76=4,1,0)</f>
        <v>0</v>
      </c>
      <c r="CN58" s="214">
        <f>IF(CdTrp3!E76=4,1,0)</f>
        <v>0</v>
      </c>
      <c r="CO58" s="214">
        <f>IF(CdTrp3!F76=4,1,0)</f>
        <v>0</v>
      </c>
      <c r="CP58" s="214">
        <f>IF(CdTrp3!G76=4,1,0)</f>
        <v>0</v>
      </c>
      <c r="CQ58" s="214">
        <f>IF(CdTrp3!H76=4,1,0)</f>
        <v>0</v>
      </c>
      <c r="CR58" s="214">
        <f>IF(CdTrp3!I76=4,1,0)</f>
        <v>0</v>
      </c>
      <c r="CS58" s="214">
        <f>IF(CdTrp3!J76=4,1,0)</f>
        <v>0</v>
      </c>
      <c r="CT58" s="214">
        <f>IF(CdTrp3!K76=4,1,0)</f>
        <v>0</v>
      </c>
      <c r="CU58" s="214">
        <f>IF(CdTrp3!L76=4,1,0)</f>
        <v>0</v>
      </c>
      <c r="CV58" s="214">
        <f>IF(CdTrp3!M76=4,1,0)</f>
        <v>0</v>
      </c>
      <c r="CW58" s="214">
        <f>IF(CdTrp3!N76=4,1,0)</f>
        <v>0</v>
      </c>
      <c r="CX58" s="214">
        <f>IF(CdTrp3!O76=4,1,0)</f>
        <v>0</v>
      </c>
      <c r="CY58" s="214">
        <f>IF(CdTrp3!P76=4,1,0)</f>
        <v>0</v>
      </c>
      <c r="CZ58" s="214">
        <f>IF(CdTrp3!Q76=4,1,0)</f>
        <v>0</v>
      </c>
      <c r="DA58" s="214">
        <f>IF(CdTrp3!R76=4,1,0)</f>
        <v>0</v>
      </c>
      <c r="DB58" s="214">
        <f>IF(CdTrp3!S76=4,1,0)</f>
        <v>0</v>
      </c>
      <c r="DC58" s="214">
        <f>IF(CdTrp3!T76=4,1,0)</f>
        <v>0</v>
      </c>
      <c r="DD58" s="214">
        <f>IF(CdTrp3!U76=4,1,0)</f>
        <v>0</v>
      </c>
      <c r="DE58" s="214">
        <f>IF(CdTrp3!V76=4,1,0)</f>
        <v>0</v>
      </c>
      <c r="DF58" s="214">
        <f>IF(CdTrp3!W76=4,1,0)</f>
        <v>0</v>
      </c>
      <c r="DG58" s="214">
        <f>IF(CdTrp3!X76=4,1,0)</f>
        <v>0</v>
      </c>
      <c r="DH58" s="214">
        <f>IF(CdTrp3!Y76=4,1,0)</f>
        <v>0</v>
      </c>
      <c r="DI58" s="210"/>
      <c r="DJ58" s="210"/>
      <c r="DK58" s="211" t="s">
        <v>985</v>
      </c>
      <c r="DL58" s="210" t="str">
        <f t="shared" ref="DL58:DL67" si="24">DL47</f>
        <v>lot1</v>
      </c>
      <c r="DM58" s="214">
        <f>IF(CdTrp4!B76=4,1,0)</f>
        <v>0</v>
      </c>
      <c r="DN58" s="214">
        <f>IF(CdTrp4!C76=4,1,0)</f>
        <v>0</v>
      </c>
      <c r="DO58" s="214">
        <f>IF(CdTrp4!D76=4,1,0)</f>
        <v>0</v>
      </c>
      <c r="DP58" s="214">
        <f>IF(CdTrp4!E76=4,1,0)</f>
        <v>0</v>
      </c>
      <c r="DQ58" s="214">
        <f>IF(CdTrp4!F76=4,1,0)</f>
        <v>0</v>
      </c>
      <c r="DR58" s="214">
        <f>IF(CdTrp4!G76=4,1,0)</f>
        <v>0</v>
      </c>
      <c r="DS58" s="214">
        <f>IF(CdTrp4!H76=4,1,0)</f>
        <v>0</v>
      </c>
      <c r="DT58" s="214">
        <f>IF(CdTrp4!I76=4,1,0)</f>
        <v>0</v>
      </c>
      <c r="DU58" s="214">
        <f>IF(CdTrp4!J76=4,1,0)</f>
        <v>0</v>
      </c>
      <c r="DV58" s="214">
        <f>IF(CdTrp4!K76=4,1,0)</f>
        <v>0</v>
      </c>
      <c r="DW58" s="214">
        <f>IF(CdTrp4!L76=4,1,0)</f>
        <v>0</v>
      </c>
      <c r="DX58" s="214">
        <f>IF(CdTrp4!M76=4,1,0)</f>
        <v>0</v>
      </c>
      <c r="DY58" s="214">
        <f>IF(CdTrp4!N76=4,1,0)</f>
        <v>0</v>
      </c>
      <c r="DZ58" s="214">
        <f>IF(CdTrp4!O76=4,1,0)</f>
        <v>0</v>
      </c>
      <c r="EA58" s="214">
        <f>IF(CdTrp4!P76=4,1,0)</f>
        <v>0</v>
      </c>
      <c r="EB58" s="214">
        <f>IF(CdTrp4!Q76=4,1,0)</f>
        <v>0</v>
      </c>
      <c r="EC58" s="214">
        <f>IF(CdTrp4!R76=4,1,0)</f>
        <v>0</v>
      </c>
      <c r="ED58" s="214">
        <f>IF(CdTrp4!S76=4,1,0)</f>
        <v>0</v>
      </c>
      <c r="EE58" s="214">
        <f>IF(CdTrp4!T76=4,1,0)</f>
        <v>0</v>
      </c>
      <c r="EF58" s="214">
        <f>IF(CdTrp4!U76=4,1,0)</f>
        <v>0</v>
      </c>
      <c r="EG58" s="214">
        <f>IF(CdTrp4!V76=4,1,0)</f>
        <v>0</v>
      </c>
      <c r="EH58" s="214">
        <f>IF(CdTrp4!W76=4,1,0)</f>
        <v>0</v>
      </c>
      <c r="EI58" s="214">
        <f>IF(CdTrp4!X76=4,1,0)</f>
        <v>0</v>
      </c>
      <c r="EJ58" s="214">
        <f>IF(CdTrp4!Y76=4,1,0)</f>
        <v>0</v>
      </c>
    </row>
    <row r="59" spans="1:143" x14ac:dyDescent="0.25">
      <c r="A59" s="23"/>
      <c r="B59" s="23"/>
      <c r="C59" s="23"/>
      <c r="D59" s="23"/>
      <c r="X59" s="210"/>
      <c r="Y59" s="210"/>
      <c r="Z59" s="210"/>
      <c r="AA59" s="210"/>
      <c r="AB59" s="210"/>
      <c r="AC59" s="210"/>
      <c r="AD59" s="210"/>
      <c r="AE59" s="210"/>
      <c r="AF59" s="210"/>
      <c r="AG59" s="253" t="str">
        <f>CdTrp1!A77</f>
        <v>Génisses 24 mois</v>
      </c>
      <c r="AH59" s="214">
        <f>IF(CdTrp1!B77=4,1,0)</f>
        <v>0</v>
      </c>
      <c r="AI59" s="214">
        <f>IF(CdTrp1!C77=4,1,0)</f>
        <v>0</v>
      </c>
      <c r="AJ59" s="214">
        <f>IF(CdTrp1!D77=4,1,0)</f>
        <v>0</v>
      </c>
      <c r="AK59" s="214">
        <f>IF(CdTrp1!E77=4,1,0)</f>
        <v>0</v>
      </c>
      <c r="AL59" s="214">
        <f>IF(CdTrp1!F77=4,1,0)</f>
        <v>0</v>
      </c>
      <c r="AM59" s="214">
        <f>IF(CdTrp1!G77=4,1,0)</f>
        <v>0</v>
      </c>
      <c r="AN59" s="214">
        <f>IF(CdTrp1!H77=4,1,0)</f>
        <v>0</v>
      </c>
      <c r="AO59" s="214">
        <f>IF(CdTrp1!I77=4,1,0)</f>
        <v>0</v>
      </c>
      <c r="AP59" s="214">
        <f>IF(CdTrp1!J77=4,1,0)</f>
        <v>0</v>
      </c>
      <c r="AQ59" s="214">
        <f>IF(CdTrp1!K77=4,1,0)</f>
        <v>0</v>
      </c>
      <c r="AR59" s="214">
        <f>IF(CdTrp1!L77=4,1,0)</f>
        <v>0</v>
      </c>
      <c r="AS59" s="214">
        <f>IF(CdTrp1!M77=4,1,0)</f>
        <v>0</v>
      </c>
      <c r="AT59" s="214">
        <f>IF(CdTrp1!N77=4,1,0)</f>
        <v>0</v>
      </c>
      <c r="AU59" s="214">
        <f>IF(CdTrp1!O77=4,1,0)</f>
        <v>0</v>
      </c>
      <c r="AV59" s="214">
        <f>IF(CdTrp1!P77=4,1,0)</f>
        <v>0</v>
      </c>
      <c r="AW59" s="214">
        <f>IF(CdTrp1!Q77=4,1,0)</f>
        <v>0</v>
      </c>
      <c r="AX59" s="214">
        <f>IF(CdTrp1!R77=4,1,0)</f>
        <v>0</v>
      </c>
      <c r="AY59" s="214">
        <f>IF(CdTrp1!S77=4,1,0)</f>
        <v>0</v>
      </c>
      <c r="AZ59" s="214">
        <f>IF(CdTrp1!T77=4,1,0)</f>
        <v>0</v>
      </c>
      <c r="BA59" s="214">
        <f>IF(CdTrp1!U77=4,1,0)</f>
        <v>0</v>
      </c>
      <c r="BB59" s="214">
        <f>IF(CdTrp1!V77=4,1,0)</f>
        <v>0</v>
      </c>
      <c r="BC59" s="214">
        <f>IF(CdTrp1!W77=4,1,0)</f>
        <v>0</v>
      </c>
      <c r="BD59" s="214">
        <f>IF(CdTrp1!X77=4,1,0)</f>
        <v>0</v>
      </c>
      <c r="BE59" s="214">
        <f>IF(CdTrp1!Y77=4,1,0)</f>
        <v>0</v>
      </c>
      <c r="BF59" s="210"/>
      <c r="BG59" s="211"/>
      <c r="BH59" s="210" t="str">
        <f t="shared" si="22"/>
        <v>lot2</v>
      </c>
      <c r="BI59" s="210">
        <f>IF(CdTrp2!B77=4,1,0)</f>
        <v>0</v>
      </c>
      <c r="BJ59" s="210">
        <f>IF(CdTrp2!C77=4,1,0)</f>
        <v>0</v>
      </c>
      <c r="BK59" s="210">
        <f>IF(CdTrp2!D77=4,1,0)</f>
        <v>0</v>
      </c>
      <c r="BL59" s="210">
        <f>IF(CdTrp2!E77=4,1,0)</f>
        <v>0</v>
      </c>
      <c r="BM59" s="210">
        <f>IF(CdTrp2!F77=4,1,0)</f>
        <v>0</v>
      </c>
      <c r="BN59" s="210">
        <f>IF(CdTrp2!G77=4,1,0)</f>
        <v>0</v>
      </c>
      <c r="BO59" s="210">
        <f>IF(CdTrp2!H77=4,1,0)</f>
        <v>0</v>
      </c>
      <c r="BP59" s="210">
        <f>IF(CdTrp2!I77=4,1,0)</f>
        <v>0</v>
      </c>
      <c r="BQ59" s="210">
        <f>IF(CdTrp2!J77=4,1,0)</f>
        <v>0</v>
      </c>
      <c r="BR59" s="210">
        <f>IF(CdTrp2!K77=4,1,0)</f>
        <v>0</v>
      </c>
      <c r="BS59" s="210">
        <f>IF(CdTrp2!L77=4,1,0)</f>
        <v>0</v>
      </c>
      <c r="BT59" s="210">
        <f>IF(CdTrp2!M77=4,1,0)</f>
        <v>0</v>
      </c>
      <c r="BU59" s="210">
        <f>IF(CdTrp2!N77=4,1,0)</f>
        <v>0</v>
      </c>
      <c r="BV59" s="210">
        <f>IF(CdTrp2!O77=4,1,0)</f>
        <v>0</v>
      </c>
      <c r="BW59" s="210">
        <f>IF(CdTrp2!P77=4,1,0)</f>
        <v>0</v>
      </c>
      <c r="BX59" s="210">
        <f>IF(CdTrp2!Q77=4,1,0)</f>
        <v>0</v>
      </c>
      <c r="BY59" s="210">
        <f>IF(CdTrp2!R77=4,1,0)</f>
        <v>0</v>
      </c>
      <c r="BZ59" s="210">
        <f>IF(CdTrp2!S77=4,1,0)</f>
        <v>0</v>
      </c>
      <c r="CA59" s="210">
        <f>IF(CdTrp2!T77=4,1,0)</f>
        <v>0</v>
      </c>
      <c r="CB59" s="210">
        <f>IF(CdTrp2!U77=4,1,0)</f>
        <v>0</v>
      </c>
      <c r="CC59" s="210">
        <f>IF(CdTrp2!V77=4,1,0)</f>
        <v>0</v>
      </c>
      <c r="CD59" s="210">
        <f>IF(CdTrp2!W77=4,1,0)</f>
        <v>0</v>
      </c>
      <c r="CE59" s="210">
        <f>IF(CdTrp2!X77=4,1,0)</f>
        <v>0</v>
      </c>
      <c r="CF59" s="210">
        <f>IF(CdTrp2!Y77=4,1,0)</f>
        <v>0</v>
      </c>
      <c r="CG59" s="210"/>
      <c r="CH59" s="210"/>
      <c r="CI59" s="211"/>
      <c r="CJ59" s="210" t="str">
        <f t="shared" si="23"/>
        <v>lot2</v>
      </c>
      <c r="CK59" s="214">
        <f>IF(CdTrp3!B77=4,1,0)</f>
        <v>0</v>
      </c>
      <c r="CL59" s="214">
        <f>IF(CdTrp3!C77=4,1,0)</f>
        <v>0</v>
      </c>
      <c r="CM59" s="214">
        <f>IF(CdTrp3!D77=4,1,0)</f>
        <v>0</v>
      </c>
      <c r="CN59" s="214">
        <f>IF(CdTrp3!E77=4,1,0)</f>
        <v>0</v>
      </c>
      <c r="CO59" s="214">
        <f>IF(CdTrp3!F77=4,1,0)</f>
        <v>0</v>
      </c>
      <c r="CP59" s="214">
        <f>IF(CdTrp3!G77=4,1,0)</f>
        <v>0</v>
      </c>
      <c r="CQ59" s="214">
        <f>IF(CdTrp3!H77=4,1,0)</f>
        <v>0</v>
      </c>
      <c r="CR59" s="214">
        <f>IF(CdTrp3!I77=4,1,0)</f>
        <v>0</v>
      </c>
      <c r="CS59" s="214">
        <f>IF(CdTrp3!J77=4,1,0)</f>
        <v>0</v>
      </c>
      <c r="CT59" s="214">
        <f>IF(CdTrp3!K77=4,1,0)</f>
        <v>0</v>
      </c>
      <c r="CU59" s="214">
        <f>IF(CdTrp3!L77=4,1,0)</f>
        <v>0</v>
      </c>
      <c r="CV59" s="214">
        <f>IF(CdTrp3!M77=4,1,0)</f>
        <v>0</v>
      </c>
      <c r="CW59" s="214">
        <f>IF(CdTrp3!N77=4,1,0)</f>
        <v>0</v>
      </c>
      <c r="CX59" s="214">
        <f>IF(CdTrp3!O77=4,1,0)</f>
        <v>0</v>
      </c>
      <c r="CY59" s="214">
        <f>IF(CdTrp3!P77=4,1,0)</f>
        <v>0</v>
      </c>
      <c r="CZ59" s="214">
        <f>IF(CdTrp3!Q77=4,1,0)</f>
        <v>0</v>
      </c>
      <c r="DA59" s="214">
        <f>IF(CdTrp3!R77=4,1,0)</f>
        <v>0</v>
      </c>
      <c r="DB59" s="214">
        <f>IF(CdTrp3!S77=4,1,0)</f>
        <v>0</v>
      </c>
      <c r="DC59" s="214">
        <f>IF(CdTrp3!T77=4,1,0)</f>
        <v>0</v>
      </c>
      <c r="DD59" s="214">
        <f>IF(CdTrp3!U77=4,1,0)</f>
        <v>0</v>
      </c>
      <c r="DE59" s="214">
        <f>IF(CdTrp3!V77=4,1,0)</f>
        <v>0</v>
      </c>
      <c r="DF59" s="214">
        <f>IF(CdTrp3!W77=4,1,0)</f>
        <v>0</v>
      </c>
      <c r="DG59" s="214">
        <f>IF(CdTrp3!X77=4,1,0)</f>
        <v>0</v>
      </c>
      <c r="DH59" s="214">
        <f>IF(CdTrp3!Y77=4,1,0)</f>
        <v>0</v>
      </c>
      <c r="DI59" s="210"/>
      <c r="DJ59" s="210"/>
      <c r="DK59" s="211"/>
      <c r="DL59" s="210" t="str">
        <f t="shared" si="24"/>
        <v>lot2</v>
      </c>
      <c r="DM59" s="214">
        <f>IF(CdTrp4!B77=4,1,0)</f>
        <v>0</v>
      </c>
      <c r="DN59" s="214">
        <f>IF(CdTrp4!C77=4,1,0)</f>
        <v>0</v>
      </c>
      <c r="DO59" s="214">
        <f>IF(CdTrp4!D77=4,1,0)</f>
        <v>0</v>
      </c>
      <c r="DP59" s="214">
        <f>IF(CdTrp4!E77=4,1,0)</f>
        <v>0</v>
      </c>
      <c r="DQ59" s="214">
        <f>IF(CdTrp4!F77=4,1,0)</f>
        <v>0</v>
      </c>
      <c r="DR59" s="214">
        <f>IF(CdTrp4!G77=4,1,0)</f>
        <v>0</v>
      </c>
      <c r="DS59" s="214">
        <f>IF(CdTrp4!H77=4,1,0)</f>
        <v>0</v>
      </c>
      <c r="DT59" s="214">
        <f>IF(CdTrp4!I77=4,1,0)</f>
        <v>0</v>
      </c>
      <c r="DU59" s="214">
        <f>IF(CdTrp4!J77=4,1,0)</f>
        <v>0</v>
      </c>
      <c r="DV59" s="214">
        <f>IF(CdTrp4!K77=4,1,0)</f>
        <v>0</v>
      </c>
      <c r="DW59" s="214">
        <f>IF(CdTrp4!L77=4,1,0)</f>
        <v>0</v>
      </c>
      <c r="DX59" s="214">
        <f>IF(CdTrp4!M77=4,1,0)</f>
        <v>0</v>
      </c>
      <c r="DY59" s="214">
        <f>IF(CdTrp4!N77=4,1,0)</f>
        <v>0</v>
      </c>
      <c r="DZ59" s="214">
        <f>IF(CdTrp4!O77=4,1,0)</f>
        <v>0</v>
      </c>
      <c r="EA59" s="214">
        <f>IF(CdTrp4!P77=4,1,0)</f>
        <v>0</v>
      </c>
      <c r="EB59" s="214">
        <f>IF(CdTrp4!Q77=4,1,0)</f>
        <v>0</v>
      </c>
      <c r="EC59" s="214">
        <f>IF(CdTrp4!R77=4,1,0)</f>
        <v>0</v>
      </c>
      <c r="ED59" s="214">
        <f>IF(CdTrp4!S77=4,1,0)</f>
        <v>0</v>
      </c>
      <c r="EE59" s="214">
        <f>IF(CdTrp4!T77=4,1,0)</f>
        <v>0</v>
      </c>
      <c r="EF59" s="214">
        <f>IF(CdTrp4!U77=4,1,0)</f>
        <v>0</v>
      </c>
      <c r="EG59" s="214">
        <f>IF(CdTrp4!V77=4,1,0)</f>
        <v>0</v>
      </c>
      <c r="EH59" s="214">
        <f>IF(CdTrp4!W77=4,1,0)</f>
        <v>0</v>
      </c>
      <c r="EI59" s="214">
        <f>IF(CdTrp4!X77=4,1,0)</f>
        <v>0</v>
      </c>
      <c r="EJ59" s="214">
        <f>IF(CdTrp4!Y77=4,1,0)</f>
        <v>0</v>
      </c>
    </row>
    <row r="60" spans="1:143" x14ac:dyDescent="0.25">
      <c r="A60" s="5"/>
      <c r="B60" s="5"/>
      <c r="C60" s="5"/>
      <c r="D60" s="5"/>
      <c r="X60" s="210"/>
      <c r="Y60" s="210"/>
      <c r="Z60" s="210"/>
      <c r="AA60" s="210"/>
      <c r="AB60" s="210"/>
      <c r="AC60" s="210"/>
      <c r="AD60" s="210"/>
      <c r="AE60" s="210"/>
      <c r="AF60" s="210"/>
      <c r="AG60" s="253" t="str">
        <f>CdTrp1!A78</f>
        <v>Génisses jeunes</v>
      </c>
      <c r="AH60" s="214">
        <f>IF(CdTrp1!B78=4,1,0)</f>
        <v>0</v>
      </c>
      <c r="AI60" s="214">
        <f>IF(CdTrp1!C78=4,1,0)</f>
        <v>0</v>
      </c>
      <c r="AJ60" s="214">
        <f>IF(CdTrp1!D78=4,1,0)</f>
        <v>0</v>
      </c>
      <c r="AK60" s="214">
        <f>IF(CdTrp1!E78=4,1,0)</f>
        <v>0</v>
      </c>
      <c r="AL60" s="214">
        <f>IF(CdTrp1!F78=4,1,0)</f>
        <v>0</v>
      </c>
      <c r="AM60" s="214">
        <f>IF(CdTrp1!G78=4,1,0)</f>
        <v>0</v>
      </c>
      <c r="AN60" s="214">
        <f>IF(CdTrp1!H78=4,1,0)</f>
        <v>0</v>
      </c>
      <c r="AO60" s="214">
        <f>IF(CdTrp1!I78=4,1,0)</f>
        <v>0</v>
      </c>
      <c r="AP60" s="214">
        <f>IF(CdTrp1!J78=4,1,0)</f>
        <v>0</v>
      </c>
      <c r="AQ60" s="214">
        <f>IF(CdTrp1!K78=4,1,0)</f>
        <v>0</v>
      </c>
      <c r="AR60" s="214">
        <f>IF(CdTrp1!L78=4,1,0)</f>
        <v>0</v>
      </c>
      <c r="AS60" s="214">
        <f>IF(CdTrp1!M78=4,1,0)</f>
        <v>0</v>
      </c>
      <c r="AT60" s="214">
        <f>IF(CdTrp1!N78=4,1,0)</f>
        <v>0</v>
      </c>
      <c r="AU60" s="214">
        <f>IF(CdTrp1!O78=4,1,0)</f>
        <v>0</v>
      </c>
      <c r="AV60" s="214">
        <f>IF(CdTrp1!P78=4,1,0)</f>
        <v>0</v>
      </c>
      <c r="AW60" s="214">
        <f>IF(CdTrp1!Q78=4,1,0)</f>
        <v>0</v>
      </c>
      <c r="AX60" s="214">
        <f>IF(CdTrp1!R78=4,1,0)</f>
        <v>0</v>
      </c>
      <c r="AY60" s="214">
        <f>IF(CdTrp1!S78=4,1,0)</f>
        <v>0</v>
      </c>
      <c r="AZ60" s="214">
        <f>IF(CdTrp1!T78=4,1,0)</f>
        <v>0</v>
      </c>
      <c r="BA60" s="214">
        <f>IF(CdTrp1!U78=4,1,0)</f>
        <v>0</v>
      </c>
      <c r="BB60" s="214">
        <f>IF(CdTrp1!V78=4,1,0)</f>
        <v>0</v>
      </c>
      <c r="BC60" s="214">
        <f>IF(CdTrp1!W78=4,1,0)</f>
        <v>0</v>
      </c>
      <c r="BD60" s="214">
        <f>IF(CdTrp1!X78=4,1,0)</f>
        <v>0</v>
      </c>
      <c r="BE60" s="214">
        <f>IF(CdTrp1!Y78=4,1,0)</f>
        <v>0</v>
      </c>
      <c r="BF60" s="210"/>
      <c r="BG60" s="211"/>
      <c r="BH60" s="210" t="str">
        <f t="shared" si="22"/>
        <v>lot3</v>
      </c>
      <c r="BI60" s="210">
        <f>IF(CdTrp2!B78=4,1,0)</f>
        <v>0</v>
      </c>
      <c r="BJ60" s="210">
        <f>IF(CdTrp2!C78=4,1,0)</f>
        <v>0</v>
      </c>
      <c r="BK60" s="210">
        <f>IF(CdTrp2!D78=4,1,0)</f>
        <v>0</v>
      </c>
      <c r="BL60" s="210">
        <f>IF(CdTrp2!E78=4,1,0)</f>
        <v>0</v>
      </c>
      <c r="BM60" s="210">
        <f>IF(CdTrp2!F78=4,1,0)</f>
        <v>0</v>
      </c>
      <c r="BN60" s="210">
        <f>IF(CdTrp2!G78=4,1,0)</f>
        <v>0</v>
      </c>
      <c r="BO60" s="210">
        <f>IF(CdTrp2!H78=4,1,0)</f>
        <v>0</v>
      </c>
      <c r="BP60" s="210">
        <f>IF(CdTrp2!I78=4,1,0)</f>
        <v>0</v>
      </c>
      <c r="BQ60" s="210">
        <f>IF(CdTrp2!J78=4,1,0)</f>
        <v>0</v>
      </c>
      <c r="BR60" s="210">
        <f>IF(CdTrp2!K78=4,1,0)</f>
        <v>0</v>
      </c>
      <c r="BS60" s="210">
        <f>IF(CdTrp2!L78=4,1,0)</f>
        <v>0</v>
      </c>
      <c r="BT60" s="210">
        <f>IF(CdTrp2!M78=4,1,0)</f>
        <v>0</v>
      </c>
      <c r="BU60" s="210">
        <f>IF(CdTrp2!N78=4,1,0)</f>
        <v>0</v>
      </c>
      <c r="BV60" s="210">
        <f>IF(CdTrp2!O78=4,1,0)</f>
        <v>0</v>
      </c>
      <c r="BW60" s="210">
        <f>IF(CdTrp2!P78=4,1,0)</f>
        <v>0</v>
      </c>
      <c r="BX60" s="210">
        <f>IF(CdTrp2!Q78=4,1,0)</f>
        <v>0</v>
      </c>
      <c r="BY60" s="210">
        <f>IF(CdTrp2!R78=4,1,0)</f>
        <v>0</v>
      </c>
      <c r="BZ60" s="210">
        <f>IF(CdTrp2!S78=4,1,0)</f>
        <v>0</v>
      </c>
      <c r="CA60" s="210">
        <f>IF(CdTrp2!T78=4,1,0)</f>
        <v>0</v>
      </c>
      <c r="CB60" s="210">
        <f>IF(CdTrp2!U78=4,1,0)</f>
        <v>0</v>
      </c>
      <c r="CC60" s="210">
        <f>IF(CdTrp2!V78=4,1,0)</f>
        <v>0</v>
      </c>
      <c r="CD60" s="210">
        <f>IF(CdTrp2!W78=4,1,0)</f>
        <v>0</v>
      </c>
      <c r="CE60" s="210">
        <f>IF(CdTrp2!X78=4,1,0)</f>
        <v>0</v>
      </c>
      <c r="CF60" s="210">
        <f>IF(CdTrp2!Y78=4,1,0)</f>
        <v>0</v>
      </c>
      <c r="CG60" s="210"/>
      <c r="CH60" s="210"/>
      <c r="CI60" s="211"/>
      <c r="CJ60" s="210" t="str">
        <f t="shared" si="23"/>
        <v>lot3</v>
      </c>
      <c r="CK60" s="214">
        <f>IF(CdTrp3!B78=4,1,0)</f>
        <v>0</v>
      </c>
      <c r="CL60" s="214">
        <f>IF(CdTrp3!C78=4,1,0)</f>
        <v>0</v>
      </c>
      <c r="CM60" s="214">
        <f>IF(CdTrp3!D78=4,1,0)</f>
        <v>0</v>
      </c>
      <c r="CN60" s="214">
        <f>IF(CdTrp3!E78=4,1,0)</f>
        <v>0</v>
      </c>
      <c r="CO60" s="214">
        <f>IF(CdTrp3!F78=4,1,0)</f>
        <v>0</v>
      </c>
      <c r="CP60" s="214">
        <f>IF(CdTrp3!G78=4,1,0)</f>
        <v>0</v>
      </c>
      <c r="CQ60" s="214">
        <f>IF(CdTrp3!H78=4,1,0)</f>
        <v>0</v>
      </c>
      <c r="CR60" s="214">
        <f>IF(CdTrp3!I78=4,1,0)</f>
        <v>0</v>
      </c>
      <c r="CS60" s="214">
        <f>IF(CdTrp3!J78=4,1,0)</f>
        <v>0</v>
      </c>
      <c r="CT60" s="214">
        <f>IF(CdTrp3!K78=4,1,0)</f>
        <v>0</v>
      </c>
      <c r="CU60" s="214">
        <f>IF(CdTrp3!L78=4,1,0)</f>
        <v>0</v>
      </c>
      <c r="CV60" s="214">
        <f>IF(CdTrp3!M78=4,1,0)</f>
        <v>0</v>
      </c>
      <c r="CW60" s="214">
        <f>IF(CdTrp3!N78=4,1,0)</f>
        <v>0</v>
      </c>
      <c r="CX60" s="214">
        <f>IF(CdTrp3!O78=4,1,0)</f>
        <v>0</v>
      </c>
      <c r="CY60" s="214">
        <f>IF(CdTrp3!P78=4,1,0)</f>
        <v>0</v>
      </c>
      <c r="CZ60" s="214">
        <f>IF(CdTrp3!Q78=4,1,0)</f>
        <v>0</v>
      </c>
      <c r="DA60" s="214">
        <f>IF(CdTrp3!R78=4,1,0)</f>
        <v>0</v>
      </c>
      <c r="DB60" s="214">
        <f>IF(CdTrp3!S78=4,1,0)</f>
        <v>0</v>
      </c>
      <c r="DC60" s="214">
        <f>IF(CdTrp3!T78=4,1,0)</f>
        <v>0</v>
      </c>
      <c r="DD60" s="214">
        <f>IF(CdTrp3!U78=4,1,0)</f>
        <v>0</v>
      </c>
      <c r="DE60" s="214">
        <f>IF(CdTrp3!V78=4,1,0)</f>
        <v>0</v>
      </c>
      <c r="DF60" s="214">
        <f>IF(CdTrp3!W78=4,1,0)</f>
        <v>0</v>
      </c>
      <c r="DG60" s="214">
        <f>IF(CdTrp3!X78=4,1,0)</f>
        <v>0</v>
      </c>
      <c r="DH60" s="214">
        <f>IF(CdTrp3!Y78=4,1,0)</f>
        <v>0</v>
      </c>
      <c r="DI60" s="210"/>
      <c r="DJ60" s="210"/>
      <c r="DK60" s="211"/>
      <c r="DL60" s="210" t="str">
        <f t="shared" si="24"/>
        <v>lot3</v>
      </c>
      <c r="DM60" s="214">
        <f>IF(CdTrp4!B78=4,1,0)</f>
        <v>0</v>
      </c>
      <c r="DN60" s="214">
        <f>IF(CdTrp4!C78=4,1,0)</f>
        <v>0</v>
      </c>
      <c r="DO60" s="214">
        <f>IF(CdTrp4!D78=4,1,0)</f>
        <v>0</v>
      </c>
      <c r="DP60" s="214">
        <f>IF(CdTrp4!E78=4,1,0)</f>
        <v>0</v>
      </c>
      <c r="DQ60" s="214">
        <f>IF(CdTrp4!F78=4,1,0)</f>
        <v>0</v>
      </c>
      <c r="DR60" s="214">
        <f>IF(CdTrp4!G78=4,1,0)</f>
        <v>0</v>
      </c>
      <c r="DS60" s="214">
        <f>IF(CdTrp4!H78=4,1,0)</f>
        <v>0</v>
      </c>
      <c r="DT60" s="214">
        <f>IF(CdTrp4!I78=4,1,0)</f>
        <v>0</v>
      </c>
      <c r="DU60" s="214">
        <f>IF(CdTrp4!J78=4,1,0)</f>
        <v>0</v>
      </c>
      <c r="DV60" s="214">
        <f>IF(CdTrp4!K78=4,1,0)</f>
        <v>0</v>
      </c>
      <c r="DW60" s="214">
        <f>IF(CdTrp4!L78=4,1,0)</f>
        <v>0</v>
      </c>
      <c r="DX60" s="214">
        <f>IF(CdTrp4!M78=4,1,0)</f>
        <v>0</v>
      </c>
      <c r="DY60" s="214">
        <f>IF(CdTrp4!N78=4,1,0)</f>
        <v>0</v>
      </c>
      <c r="DZ60" s="214">
        <f>IF(CdTrp4!O78=4,1,0)</f>
        <v>0</v>
      </c>
      <c r="EA60" s="214">
        <f>IF(CdTrp4!P78=4,1,0)</f>
        <v>0</v>
      </c>
      <c r="EB60" s="214">
        <f>IF(CdTrp4!Q78=4,1,0)</f>
        <v>0</v>
      </c>
      <c r="EC60" s="214">
        <f>IF(CdTrp4!R78=4,1,0)</f>
        <v>0</v>
      </c>
      <c r="ED60" s="214">
        <f>IF(CdTrp4!S78=4,1,0)</f>
        <v>0</v>
      </c>
      <c r="EE60" s="214">
        <f>IF(CdTrp4!T78=4,1,0)</f>
        <v>0</v>
      </c>
      <c r="EF60" s="214">
        <f>IF(CdTrp4!U78=4,1,0)</f>
        <v>0</v>
      </c>
      <c r="EG60" s="214">
        <f>IF(CdTrp4!V78=4,1,0)</f>
        <v>0</v>
      </c>
      <c r="EH60" s="214">
        <f>IF(CdTrp4!W78=4,1,0)</f>
        <v>0</v>
      </c>
      <c r="EI60" s="214">
        <f>IF(CdTrp4!X78=4,1,0)</f>
        <v>0</v>
      </c>
      <c r="EJ60" s="214">
        <f>IF(CdTrp4!Y78=4,1,0)</f>
        <v>0</v>
      </c>
    </row>
    <row r="61" spans="1:143" x14ac:dyDescent="0.25">
      <c r="A61" s="5"/>
      <c r="B61" s="5"/>
      <c r="C61" s="5"/>
      <c r="D61" s="5"/>
      <c r="X61" s="210"/>
      <c r="Y61" s="210"/>
      <c r="Z61" s="210"/>
      <c r="AA61" s="210"/>
      <c r="AB61" s="210"/>
      <c r="AC61" s="210"/>
      <c r="AD61" s="210"/>
      <c r="AE61" s="210"/>
      <c r="AF61" s="210"/>
      <c r="AG61" s="210" t="str">
        <f>CdTrp1!A79</f>
        <v>broutards</v>
      </c>
      <c r="AH61" s="214">
        <f>IF(CdTrp1!B79=4,1,0)</f>
        <v>0</v>
      </c>
      <c r="AI61" s="214">
        <f>IF(CdTrp1!C79=4,1,0)</f>
        <v>0</v>
      </c>
      <c r="AJ61" s="214">
        <f>IF(CdTrp1!D79=4,1,0)</f>
        <v>0</v>
      </c>
      <c r="AK61" s="214">
        <f>IF(CdTrp1!E79=4,1,0)</f>
        <v>0</v>
      </c>
      <c r="AL61" s="214">
        <f>IF(CdTrp1!F79=4,1,0)</f>
        <v>0</v>
      </c>
      <c r="AM61" s="214">
        <f>IF(CdTrp1!G79=4,1,0)</f>
        <v>0</v>
      </c>
      <c r="AN61" s="214">
        <f>IF(CdTrp1!H79=4,1,0)</f>
        <v>0</v>
      </c>
      <c r="AO61" s="214">
        <f>IF(CdTrp1!I79=4,1,0)</f>
        <v>0</v>
      </c>
      <c r="AP61" s="214">
        <f>IF(CdTrp1!J79=4,1,0)</f>
        <v>0</v>
      </c>
      <c r="AQ61" s="214">
        <f>IF(CdTrp1!K79=4,1,0)</f>
        <v>0</v>
      </c>
      <c r="AR61" s="214">
        <f>IF(CdTrp1!L79=4,1,0)</f>
        <v>0</v>
      </c>
      <c r="AS61" s="214">
        <f>IF(CdTrp1!M79=4,1,0)</f>
        <v>0</v>
      </c>
      <c r="AT61" s="214">
        <f>IF(CdTrp1!N79=4,1,0)</f>
        <v>0</v>
      </c>
      <c r="AU61" s="214">
        <f>IF(CdTrp1!O79=4,1,0)</f>
        <v>0</v>
      </c>
      <c r="AV61" s="214">
        <f>IF(CdTrp1!P79=4,1,0)</f>
        <v>0</v>
      </c>
      <c r="AW61" s="214">
        <f>IF(CdTrp1!Q79=4,1,0)</f>
        <v>0</v>
      </c>
      <c r="AX61" s="214">
        <f>IF(CdTrp1!R79=4,1,0)</f>
        <v>0</v>
      </c>
      <c r="AY61" s="214">
        <f>IF(CdTrp1!S79=4,1,0)</f>
        <v>0</v>
      </c>
      <c r="AZ61" s="214">
        <f>IF(CdTrp1!T79=4,1,0)</f>
        <v>0</v>
      </c>
      <c r="BA61" s="214">
        <f>IF(CdTrp1!U79=4,1,0)</f>
        <v>0</v>
      </c>
      <c r="BB61" s="214">
        <f>IF(CdTrp1!V79=4,1,0)</f>
        <v>0</v>
      </c>
      <c r="BC61" s="214">
        <f>IF(CdTrp1!W79=4,1,0)</f>
        <v>0</v>
      </c>
      <c r="BD61" s="214">
        <f>IF(CdTrp1!X79=4,1,0)</f>
        <v>0</v>
      </c>
      <c r="BE61" s="214">
        <f>IF(CdTrp1!Y79=4,1,0)</f>
        <v>0</v>
      </c>
      <c r="BF61" s="210"/>
      <c r="BG61" s="211"/>
      <c r="BH61" s="210" t="str">
        <f t="shared" si="22"/>
        <v>lot4</v>
      </c>
      <c r="BI61" s="210">
        <f>IF(CdTrp2!B79=4,1,0)</f>
        <v>0</v>
      </c>
      <c r="BJ61" s="210">
        <f>IF(CdTrp2!C79=4,1,0)</f>
        <v>0</v>
      </c>
      <c r="BK61" s="210">
        <f>IF(CdTrp2!D79=4,1,0)</f>
        <v>0</v>
      </c>
      <c r="BL61" s="210">
        <f>IF(CdTrp2!E79=4,1,0)</f>
        <v>0</v>
      </c>
      <c r="BM61" s="210">
        <f>IF(CdTrp2!F79=4,1,0)</f>
        <v>0</v>
      </c>
      <c r="BN61" s="210">
        <f>IF(CdTrp2!G79=4,1,0)</f>
        <v>0</v>
      </c>
      <c r="BO61" s="210">
        <f>IF(CdTrp2!H79=4,1,0)</f>
        <v>0</v>
      </c>
      <c r="BP61" s="210">
        <f>IF(CdTrp2!I79=4,1,0)</f>
        <v>0</v>
      </c>
      <c r="BQ61" s="210">
        <f>IF(CdTrp2!J79=4,1,0)</f>
        <v>0</v>
      </c>
      <c r="BR61" s="210">
        <f>IF(CdTrp2!K79=4,1,0)</f>
        <v>0</v>
      </c>
      <c r="BS61" s="210">
        <f>IF(CdTrp2!L79=4,1,0)</f>
        <v>0</v>
      </c>
      <c r="BT61" s="210">
        <f>IF(CdTrp2!M79=4,1,0)</f>
        <v>0</v>
      </c>
      <c r="BU61" s="210">
        <f>IF(CdTrp2!N79=4,1,0)</f>
        <v>0</v>
      </c>
      <c r="BV61" s="210">
        <f>IF(CdTrp2!O79=4,1,0)</f>
        <v>0</v>
      </c>
      <c r="BW61" s="210">
        <f>IF(CdTrp2!P79=4,1,0)</f>
        <v>0</v>
      </c>
      <c r="BX61" s="210">
        <f>IF(CdTrp2!Q79=4,1,0)</f>
        <v>0</v>
      </c>
      <c r="BY61" s="210">
        <f>IF(CdTrp2!R79=4,1,0)</f>
        <v>0</v>
      </c>
      <c r="BZ61" s="210">
        <f>IF(CdTrp2!S79=4,1,0)</f>
        <v>0</v>
      </c>
      <c r="CA61" s="210">
        <f>IF(CdTrp2!T79=4,1,0)</f>
        <v>0</v>
      </c>
      <c r="CB61" s="210">
        <f>IF(CdTrp2!U79=4,1,0)</f>
        <v>0</v>
      </c>
      <c r="CC61" s="210">
        <f>IF(CdTrp2!V79=4,1,0)</f>
        <v>0</v>
      </c>
      <c r="CD61" s="210">
        <f>IF(CdTrp2!W79=4,1,0)</f>
        <v>0</v>
      </c>
      <c r="CE61" s="210">
        <f>IF(CdTrp2!X79=4,1,0)</f>
        <v>0</v>
      </c>
      <c r="CF61" s="210">
        <f>IF(CdTrp2!Y79=4,1,0)</f>
        <v>0</v>
      </c>
      <c r="CG61" s="210"/>
      <c r="CH61" s="210"/>
      <c r="CI61" s="211"/>
      <c r="CJ61" s="210" t="str">
        <f t="shared" si="23"/>
        <v>lot4</v>
      </c>
      <c r="CK61" s="214">
        <f>IF(CdTrp3!B79=4,1,0)</f>
        <v>0</v>
      </c>
      <c r="CL61" s="214">
        <f>IF(CdTrp3!C79=4,1,0)</f>
        <v>0</v>
      </c>
      <c r="CM61" s="214">
        <f>IF(CdTrp3!D79=4,1,0)</f>
        <v>0</v>
      </c>
      <c r="CN61" s="214">
        <f>IF(CdTrp3!E79=4,1,0)</f>
        <v>0</v>
      </c>
      <c r="CO61" s="214">
        <f>IF(CdTrp3!F79=4,1,0)</f>
        <v>0</v>
      </c>
      <c r="CP61" s="214">
        <f>IF(CdTrp3!G79=4,1,0)</f>
        <v>0</v>
      </c>
      <c r="CQ61" s="214">
        <f>IF(CdTrp3!H79=4,1,0)</f>
        <v>0</v>
      </c>
      <c r="CR61" s="214">
        <f>IF(CdTrp3!I79=4,1,0)</f>
        <v>0</v>
      </c>
      <c r="CS61" s="214">
        <f>IF(CdTrp3!J79=4,1,0)</f>
        <v>0</v>
      </c>
      <c r="CT61" s="214">
        <f>IF(CdTrp3!K79=4,1,0)</f>
        <v>0</v>
      </c>
      <c r="CU61" s="214">
        <f>IF(CdTrp3!L79=4,1,0)</f>
        <v>0</v>
      </c>
      <c r="CV61" s="214">
        <f>IF(CdTrp3!M79=4,1,0)</f>
        <v>0</v>
      </c>
      <c r="CW61" s="214">
        <f>IF(CdTrp3!N79=4,1,0)</f>
        <v>0</v>
      </c>
      <c r="CX61" s="214">
        <f>IF(CdTrp3!O79=4,1,0)</f>
        <v>0</v>
      </c>
      <c r="CY61" s="214">
        <f>IF(CdTrp3!P79=4,1,0)</f>
        <v>0</v>
      </c>
      <c r="CZ61" s="214">
        <f>IF(CdTrp3!Q79=4,1,0)</f>
        <v>0</v>
      </c>
      <c r="DA61" s="214">
        <f>IF(CdTrp3!R79=4,1,0)</f>
        <v>0</v>
      </c>
      <c r="DB61" s="214">
        <f>IF(CdTrp3!S79=4,1,0)</f>
        <v>0</v>
      </c>
      <c r="DC61" s="214">
        <f>IF(CdTrp3!T79=4,1,0)</f>
        <v>0</v>
      </c>
      <c r="DD61" s="214">
        <f>IF(CdTrp3!U79=4,1,0)</f>
        <v>0</v>
      </c>
      <c r="DE61" s="214">
        <f>IF(CdTrp3!V79=4,1,0)</f>
        <v>0</v>
      </c>
      <c r="DF61" s="214">
        <f>IF(CdTrp3!W79=4,1,0)</f>
        <v>0</v>
      </c>
      <c r="DG61" s="214">
        <f>IF(CdTrp3!X79=4,1,0)</f>
        <v>0</v>
      </c>
      <c r="DH61" s="214">
        <f>IF(CdTrp3!Y79=4,1,0)</f>
        <v>0</v>
      </c>
      <c r="DI61" s="210"/>
      <c r="DJ61" s="210"/>
      <c r="DK61" s="211"/>
      <c r="DL61" s="210" t="str">
        <f t="shared" si="24"/>
        <v>lot4</v>
      </c>
      <c r="DM61" s="214">
        <f>IF(CdTrp4!B79=4,1,0)</f>
        <v>0</v>
      </c>
      <c r="DN61" s="214">
        <f>IF(CdTrp4!C79=4,1,0)</f>
        <v>0</v>
      </c>
      <c r="DO61" s="214">
        <f>IF(CdTrp4!D79=4,1,0)</f>
        <v>0</v>
      </c>
      <c r="DP61" s="214">
        <f>IF(CdTrp4!E79=4,1,0)</f>
        <v>0</v>
      </c>
      <c r="DQ61" s="214">
        <f>IF(CdTrp4!F79=4,1,0)</f>
        <v>0</v>
      </c>
      <c r="DR61" s="214">
        <f>IF(CdTrp4!G79=4,1,0)</f>
        <v>0</v>
      </c>
      <c r="DS61" s="214">
        <f>IF(CdTrp4!H79=4,1,0)</f>
        <v>0</v>
      </c>
      <c r="DT61" s="214">
        <f>IF(CdTrp4!I79=4,1,0)</f>
        <v>0</v>
      </c>
      <c r="DU61" s="214">
        <f>IF(CdTrp4!J79=4,1,0)</f>
        <v>0</v>
      </c>
      <c r="DV61" s="214">
        <f>IF(CdTrp4!K79=4,1,0)</f>
        <v>0</v>
      </c>
      <c r="DW61" s="214">
        <f>IF(CdTrp4!L79=4,1,0)</f>
        <v>0</v>
      </c>
      <c r="DX61" s="214">
        <f>IF(CdTrp4!M79=4,1,0)</f>
        <v>0</v>
      </c>
      <c r="DY61" s="214">
        <f>IF(CdTrp4!N79=4,1,0)</f>
        <v>0</v>
      </c>
      <c r="DZ61" s="214">
        <f>IF(CdTrp4!O79=4,1,0)</f>
        <v>0</v>
      </c>
      <c r="EA61" s="214">
        <f>IF(CdTrp4!P79=4,1,0)</f>
        <v>0</v>
      </c>
      <c r="EB61" s="214">
        <f>IF(CdTrp4!Q79=4,1,0)</f>
        <v>0</v>
      </c>
      <c r="EC61" s="214">
        <f>IF(CdTrp4!R79=4,1,0)</f>
        <v>0</v>
      </c>
      <c r="ED61" s="214">
        <f>IF(CdTrp4!S79=4,1,0)</f>
        <v>0</v>
      </c>
      <c r="EE61" s="214">
        <f>IF(CdTrp4!T79=4,1,0)</f>
        <v>0</v>
      </c>
      <c r="EF61" s="214">
        <f>IF(CdTrp4!U79=4,1,0)</f>
        <v>0</v>
      </c>
      <c r="EG61" s="214">
        <f>IF(CdTrp4!V79=4,1,0)</f>
        <v>0</v>
      </c>
      <c r="EH61" s="214">
        <f>IF(CdTrp4!W79=4,1,0)</f>
        <v>0</v>
      </c>
      <c r="EI61" s="214">
        <f>IF(CdTrp4!X79=4,1,0)</f>
        <v>0</v>
      </c>
      <c r="EJ61" s="214">
        <f>IF(CdTrp4!Y79=4,1,0)</f>
        <v>0</v>
      </c>
    </row>
    <row r="62" spans="1:143" x14ac:dyDescent="0.25">
      <c r="A62" s="5"/>
      <c r="B62" s="5"/>
      <c r="C62" s="5"/>
      <c r="D62" s="5"/>
      <c r="X62" s="210"/>
      <c r="Y62" s="210"/>
      <c r="Z62" s="210"/>
      <c r="AA62" s="210"/>
      <c r="AB62" s="210"/>
      <c r="AC62" s="210"/>
      <c r="AD62" s="210"/>
      <c r="AE62" s="210"/>
      <c r="AF62" s="210"/>
      <c r="AG62" s="253" t="str">
        <f>CdTrp1!A80</f>
        <v>génisses &lt; 1 an</v>
      </c>
      <c r="AH62" s="214">
        <f>IF(CdTrp1!B80=4,1,0)</f>
        <v>0</v>
      </c>
      <c r="AI62" s="214">
        <f>IF(CdTrp1!C80=4,1,0)</f>
        <v>0</v>
      </c>
      <c r="AJ62" s="214">
        <f>IF(CdTrp1!D80=4,1,0)</f>
        <v>0</v>
      </c>
      <c r="AK62" s="214">
        <f>IF(CdTrp1!E80=4,1,0)</f>
        <v>0</v>
      </c>
      <c r="AL62" s="214">
        <f>IF(CdTrp1!F80=4,1,0)</f>
        <v>0</v>
      </c>
      <c r="AM62" s="214">
        <f>IF(CdTrp1!G80=4,1,0)</f>
        <v>0</v>
      </c>
      <c r="AN62" s="214">
        <f>IF(CdTrp1!H80=4,1,0)</f>
        <v>0</v>
      </c>
      <c r="AO62" s="214">
        <f>IF(CdTrp1!I80=4,1,0)</f>
        <v>0</v>
      </c>
      <c r="AP62" s="214">
        <f>IF(CdTrp1!J80=4,1,0)</f>
        <v>0</v>
      </c>
      <c r="AQ62" s="214">
        <f>IF(CdTrp1!K80=4,1,0)</f>
        <v>0</v>
      </c>
      <c r="AR62" s="214">
        <f>IF(CdTrp1!L80=4,1,0)</f>
        <v>0</v>
      </c>
      <c r="AS62" s="214">
        <f>IF(CdTrp1!M80=4,1,0)</f>
        <v>0</v>
      </c>
      <c r="AT62" s="214">
        <f>IF(CdTrp1!N80=4,1,0)</f>
        <v>0</v>
      </c>
      <c r="AU62" s="214">
        <f>IF(CdTrp1!O80=4,1,0)</f>
        <v>0</v>
      </c>
      <c r="AV62" s="214">
        <f>IF(CdTrp1!P80=4,1,0)</f>
        <v>0</v>
      </c>
      <c r="AW62" s="214">
        <f>IF(CdTrp1!Q80=4,1,0)</f>
        <v>0</v>
      </c>
      <c r="AX62" s="214">
        <f>IF(CdTrp1!R80=4,1,0)</f>
        <v>0</v>
      </c>
      <c r="AY62" s="214">
        <f>IF(CdTrp1!S80=4,1,0)</f>
        <v>0</v>
      </c>
      <c r="AZ62" s="214">
        <f>IF(CdTrp1!T80=4,1,0)</f>
        <v>0</v>
      </c>
      <c r="BA62" s="214">
        <f>IF(CdTrp1!U80=4,1,0)</f>
        <v>0</v>
      </c>
      <c r="BB62" s="214">
        <f>IF(CdTrp1!V80=4,1,0)</f>
        <v>0</v>
      </c>
      <c r="BC62" s="214">
        <f>IF(CdTrp1!W80=4,1,0)</f>
        <v>0</v>
      </c>
      <c r="BD62" s="214">
        <f>IF(CdTrp1!X80=4,1,0)</f>
        <v>0</v>
      </c>
      <c r="BE62" s="214">
        <f>IF(CdTrp1!Y80=4,1,0)</f>
        <v>0</v>
      </c>
      <c r="BF62" s="210"/>
      <c r="BG62" s="211"/>
      <c r="BH62" s="210" t="str">
        <f t="shared" si="22"/>
        <v>lot5</v>
      </c>
      <c r="BI62" s="210">
        <f>IF(CdTrp2!B80=4,1,0)</f>
        <v>0</v>
      </c>
      <c r="BJ62" s="210">
        <f>IF(CdTrp2!C80=4,1,0)</f>
        <v>0</v>
      </c>
      <c r="BK62" s="210">
        <f>IF(CdTrp2!D80=4,1,0)</f>
        <v>0</v>
      </c>
      <c r="BL62" s="210">
        <f>IF(CdTrp2!E80=4,1,0)</f>
        <v>0</v>
      </c>
      <c r="BM62" s="210">
        <f>IF(CdTrp2!F80=4,1,0)</f>
        <v>0</v>
      </c>
      <c r="BN62" s="210">
        <f>IF(CdTrp2!G80=4,1,0)</f>
        <v>0</v>
      </c>
      <c r="BO62" s="210">
        <f>IF(CdTrp2!H80=4,1,0)</f>
        <v>0</v>
      </c>
      <c r="BP62" s="210">
        <f>IF(CdTrp2!I80=4,1,0)</f>
        <v>0</v>
      </c>
      <c r="BQ62" s="210">
        <f>IF(CdTrp2!J80=4,1,0)</f>
        <v>0</v>
      </c>
      <c r="BR62" s="210">
        <f>IF(CdTrp2!K80=4,1,0)</f>
        <v>0</v>
      </c>
      <c r="BS62" s="210">
        <f>IF(CdTrp2!L80=4,1,0)</f>
        <v>0</v>
      </c>
      <c r="BT62" s="210">
        <f>IF(CdTrp2!M80=4,1,0)</f>
        <v>0</v>
      </c>
      <c r="BU62" s="210">
        <f>IF(CdTrp2!N80=4,1,0)</f>
        <v>0</v>
      </c>
      <c r="BV62" s="210">
        <f>IF(CdTrp2!O80=4,1,0)</f>
        <v>0</v>
      </c>
      <c r="BW62" s="210">
        <f>IF(CdTrp2!P80=4,1,0)</f>
        <v>0</v>
      </c>
      <c r="BX62" s="210">
        <f>IF(CdTrp2!Q80=4,1,0)</f>
        <v>0</v>
      </c>
      <c r="BY62" s="210">
        <f>IF(CdTrp2!R80=4,1,0)</f>
        <v>0</v>
      </c>
      <c r="BZ62" s="210">
        <f>IF(CdTrp2!S80=4,1,0)</f>
        <v>0</v>
      </c>
      <c r="CA62" s="210">
        <f>IF(CdTrp2!T80=4,1,0)</f>
        <v>0</v>
      </c>
      <c r="CB62" s="210">
        <f>IF(CdTrp2!U80=4,1,0)</f>
        <v>0</v>
      </c>
      <c r="CC62" s="210">
        <f>IF(CdTrp2!V80=4,1,0)</f>
        <v>0</v>
      </c>
      <c r="CD62" s="210">
        <f>IF(CdTrp2!W80=4,1,0)</f>
        <v>0</v>
      </c>
      <c r="CE62" s="210">
        <f>IF(CdTrp2!X80=4,1,0)</f>
        <v>0</v>
      </c>
      <c r="CF62" s="210">
        <f>IF(CdTrp2!Y80=4,1,0)</f>
        <v>0</v>
      </c>
      <c r="CG62" s="210"/>
      <c r="CH62" s="210"/>
      <c r="CI62" s="211"/>
      <c r="CJ62" s="210" t="str">
        <f t="shared" si="23"/>
        <v>lot5</v>
      </c>
      <c r="CK62" s="214">
        <f>IF(CdTrp3!B80=4,1,0)</f>
        <v>0</v>
      </c>
      <c r="CL62" s="214">
        <f>IF(CdTrp3!C80=4,1,0)</f>
        <v>0</v>
      </c>
      <c r="CM62" s="214">
        <f>IF(CdTrp3!D80=4,1,0)</f>
        <v>0</v>
      </c>
      <c r="CN62" s="214">
        <f>IF(CdTrp3!E80=4,1,0)</f>
        <v>0</v>
      </c>
      <c r="CO62" s="214">
        <f>IF(CdTrp3!F80=4,1,0)</f>
        <v>0</v>
      </c>
      <c r="CP62" s="214">
        <f>IF(CdTrp3!G80=4,1,0)</f>
        <v>0</v>
      </c>
      <c r="CQ62" s="214">
        <f>IF(CdTrp3!H80=4,1,0)</f>
        <v>0</v>
      </c>
      <c r="CR62" s="214">
        <f>IF(CdTrp3!I80=4,1,0)</f>
        <v>0</v>
      </c>
      <c r="CS62" s="214">
        <f>IF(CdTrp3!J80=4,1,0)</f>
        <v>0</v>
      </c>
      <c r="CT62" s="214">
        <f>IF(CdTrp3!K80=4,1,0)</f>
        <v>0</v>
      </c>
      <c r="CU62" s="214">
        <f>IF(CdTrp3!L80=4,1,0)</f>
        <v>0</v>
      </c>
      <c r="CV62" s="214">
        <f>IF(CdTrp3!M80=4,1,0)</f>
        <v>0</v>
      </c>
      <c r="CW62" s="214">
        <f>IF(CdTrp3!N80=4,1,0)</f>
        <v>0</v>
      </c>
      <c r="CX62" s="214">
        <f>IF(CdTrp3!O80=4,1,0)</f>
        <v>0</v>
      </c>
      <c r="CY62" s="214">
        <f>IF(CdTrp3!P80=4,1,0)</f>
        <v>0</v>
      </c>
      <c r="CZ62" s="214">
        <f>IF(CdTrp3!Q80=4,1,0)</f>
        <v>0</v>
      </c>
      <c r="DA62" s="214">
        <f>IF(CdTrp3!R80=4,1,0)</f>
        <v>0</v>
      </c>
      <c r="DB62" s="214">
        <f>IF(CdTrp3!S80=4,1,0)</f>
        <v>0</v>
      </c>
      <c r="DC62" s="214">
        <f>IF(CdTrp3!T80=4,1,0)</f>
        <v>0</v>
      </c>
      <c r="DD62" s="214">
        <f>IF(CdTrp3!U80=4,1,0)</f>
        <v>0</v>
      </c>
      <c r="DE62" s="214">
        <f>IF(CdTrp3!V80=4,1,0)</f>
        <v>0</v>
      </c>
      <c r="DF62" s="214">
        <f>IF(CdTrp3!W80=4,1,0)</f>
        <v>0</v>
      </c>
      <c r="DG62" s="214">
        <f>IF(CdTrp3!X80=4,1,0)</f>
        <v>0</v>
      </c>
      <c r="DH62" s="214">
        <f>IF(CdTrp3!Y80=4,1,0)</f>
        <v>0</v>
      </c>
      <c r="DI62" s="210"/>
      <c r="DJ62" s="210"/>
      <c r="DK62" s="211"/>
      <c r="DL62" s="210" t="str">
        <f t="shared" si="24"/>
        <v>lot5</v>
      </c>
      <c r="DM62" s="214">
        <f>IF(CdTrp4!B80=4,1,0)</f>
        <v>0</v>
      </c>
      <c r="DN62" s="214">
        <f>IF(CdTrp4!C80=4,1,0)</f>
        <v>0</v>
      </c>
      <c r="DO62" s="214">
        <f>IF(CdTrp4!D80=4,1,0)</f>
        <v>0</v>
      </c>
      <c r="DP62" s="214">
        <f>IF(CdTrp4!E80=4,1,0)</f>
        <v>0</v>
      </c>
      <c r="DQ62" s="214">
        <f>IF(CdTrp4!F80=4,1,0)</f>
        <v>0</v>
      </c>
      <c r="DR62" s="214">
        <f>IF(CdTrp4!G80=4,1,0)</f>
        <v>0</v>
      </c>
      <c r="DS62" s="214">
        <f>IF(CdTrp4!H80=4,1,0)</f>
        <v>0</v>
      </c>
      <c r="DT62" s="214">
        <f>IF(CdTrp4!I80=4,1,0)</f>
        <v>0</v>
      </c>
      <c r="DU62" s="214">
        <f>IF(CdTrp4!J80=4,1,0)</f>
        <v>0</v>
      </c>
      <c r="DV62" s="214">
        <f>IF(CdTrp4!K80=4,1,0)</f>
        <v>0</v>
      </c>
      <c r="DW62" s="214">
        <f>IF(CdTrp4!L80=4,1,0)</f>
        <v>0</v>
      </c>
      <c r="DX62" s="214">
        <f>IF(CdTrp4!M80=4,1,0)</f>
        <v>0</v>
      </c>
      <c r="DY62" s="214">
        <f>IF(CdTrp4!N80=4,1,0)</f>
        <v>0</v>
      </c>
      <c r="DZ62" s="214">
        <f>IF(CdTrp4!O80=4,1,0)</f>
        <v>0</v>
      </c>
      <c r="EA62" s="214">
        <f>IF(CdTrp4!P80=4,1,0)</f>
        <v>0</v>
      </c>
      <c r="EB62" s="214">
        <f>IF(CdTrp4!Q80=4,1,0)</f>
        <v>0</v>
      </c>
      <c r="EC62" s="214">
        <f>IF(CdTrp4!R80=4,1,0)</f>
        <v>0</v>
      </c>
      <c r="ED62" s="214">
        <f>IF(CdTrp4!S80=4,1,0)</f>
        <v>0</v>
      </c>
      <c r="EE62" s="214">
        <f>IF(CdTrp4!T80=4,1,0)</f>
        <v>0</v>
      </c>
      <c r="EF62" s="214">
        <f>IF(CdTrp4!U80=4,1,0)</f>
        <v>0</v>
      </c>
      <c r="EG62" s="214">
        <f>IF(CdTrp4!V80=4,1,0)</f>
        <v>0</v>
      </c>
      <c r="EH62" s="214">
        <f>IF(CdTrp4!W80=4,1,0)</f>
        <v>0</v>
      </c>
      <c r="EI62" s="214">
        <f>IF(CdTrp4!X80=4,1,0)</f>
        <v>0</v>
      </c>
      <c r="EJ62" s="214">
        <f>IF(CdTrp4!Y80=4,1,0)</f>
        <v>0</v>
      </c>
    </row>
    <row r="63" spans="1:143" x14ac:dyDescent="0.25">
      <c r="A63" s="5"/>
      <c r="B63" s="5"/>
      <c r="C63" s="5"/>
      <c r="D63" s="5"/>
      <c r="X63" s="210"/>
      <c r="Y63" s="210"/>
      <c r="Z63" s="210"/>
      <c r="AA63" s="210"/>
      <c r="AB63" s="210"/>
      <c r="AC63" s="210"/>
      <c r="AD63" s="210"/>
      <c r="AE63" s="210"/>
      <c r="AF63" s="210"/>
      <c r="AG63" s="210" t="str">
        <f>CdTrp1!A81</f>
        <v>lot6</v>
      </c>
      <c r="AH63" s="214">
        <f>IF(CdTrp1!B81=4,1,0)</f>
        <v>0</v>
      </c>
      <c r="AI63" s="214">
        <f>IF(CdTrp1!C81=4,1,0)</f>
        <v>0</v>
      </c>
      <c r="AJ63" s="214">
        <f>IF(CdTrp1!D81=4,1,0)</f>
        <v>0</v>
      </c>
      <c r="AK63" s="214">
        <f>IF(CdTrp1!E81=4,1,0)</f>
        <v>0</v>
      </c>
      <c r="AL63" s="214">
        <f>IF(CdTrp1!F81=4,1,0)</f>
        <v>0</v>
      </c>
      <c r="AM63" s="214">
        <f>IF(CdTrp1!G81=4,1,0)</f>
        <v>0</v>
      </c>
      <c r="AN63" s="214">
        <f>IF(CdTrp1!H81=4,1,0)</f>
        <v>0</v>
      </c>
      <c r="AO63" s="214">
        <f>IF(CdTrp1!I81=4,1,0)</f>
        <v>0</v>
      </c>
      <c r="AP63" s="214">
        <f>IF(CdTrp1!J81=4,1,0)</f>
        <v>0</v>
      </c>
      <c r="AQ63" s="214">
        <f>IF(CdTrp1!K81=4,1,0)</f>
        <v>0</v>
      </c>
      <c r="AR63" s="214">
        <f>IF(CdTrp1!L81=4,1,0)</f>
        <v>0</v>
      </c>
      <c r="AS63" s="214">
        <f>IF(CdTrp1!M81=4,1,0)</f>
        <v>0</v>
      </c>
      <c r="AT63" s="214">
        <f>IF(CdTrp1!N81=4,1,0)</f>
        <v>0</v>
      </c>
      <c r="AU63" s="214">
        <f>IF(CdTrp1!O81=4,1,0)</f>
        <v>0</v>
      </c>
      <c r="AV63" s="214">
        <f>IF(CdTrp1!P81=4,1,0)</f>
        <v>0</v>
      </c>
      <c r="AW63" s="214">
        <f>IF(CdTrp1!Q81=4,1,0)</f>
        <v>0</v>
      </c>
      <c r="AX63" s="214">
        <f>IF(CdTrp1!R81=4,1,0)</f>
        <v>0</v>
      </c>
      <c r="AY63" s="214">
        <f>IF(CdTrp1!S81=4,1,0)</f>
        <v>0</v>
      </c>
      <c r="AZ63" s="214">
        <f>IF(CdTrp1!T81=4,1,0)</f>
        <v>0</v>
      </c>
      <c r="BA63" s="214">
        <f>IF(CdTrp1!U81=4,1,0)</f>
        <v>0</v>
      </c>
      <c r="BB63" s="214">
        <f>IF(CdTrp1!V81=4,1,0)</f>
        <v>0</v>
      </c>
      <c r="BC63" s="214">
        <f>IF(CdTrp1!W81=4,1,0)</f>
        <v>0</v>
      </c>
      <c r="BD63" s="214">
        <f>IF(CdTrp1!X81=4,1,0)</f>
        <v>0</v>
      </c>
      <c r="BE63" s="214">
        <f>IF(CdTrp1!Y81=4,1,0)</f>
        <v>0</v>
      </c>
      <c r="BF63" s="210"/>
      <c r="BG63" s="211"/>
      <c r="BH63" s="210" t="str">
        <f t="shared" si="22"/>
        <v>lot6</v>
      </c>
      <c r="BI63" s="210">
        <f>IF(CdTrp2!B81=4,1,0)</f>
        <v>0</v>
      </c>
      <c r="BJ63" s="210">
        <f>IF(CdTrp2!C81=4,1,0)</f>
        <v>0</v>
      </c>
      <c r="BK63" s="210">
        <f>IF(CdTrp2!D81=4,1,0)</f>
        <v>0</v>
      </c>
      <c r="BL63" s="210">
        <f>IF(CdTrp2!E81=4,1,0)</f>
        <v>0</v>
      </c>
      <c r="BM63" s="210">
        <f>IF(CdTrp2!F81=4,1,0)</f>
        <v>0</v>
      </c>
      <c r="BN63" s="210">
        <f>IF(CdTrp2!G81=4,1,0)</f>
        <v>0</v>
      </c>
      <c r="BO63" s="210">
        <f>IF(CdTrp2!H81=4,1,0)</f>
        <v>0</v>
      </c>
      <c r="BP63" s="210">
        <f>IF(CdTrp2!I81=4,1,0)</f>
        <v>0</v>
      </c>
      <c r="BQ63" s="210">
        <f>IF(CdTrp2!J81=4,1,0)</f>
        <v>0</v>
      </c>
      <c r="BR63" s="210">
        <f>IF(CdTrp2!K81=4,1,0)</f>
        <v>0</v>
      </c>
      <c r="BS63" s="210">
        <f>IF(CdTrp2!L81=4,1,0)</f>
        <v>0</v>
      </c>
      <c r="BT63" s="210">
        <f>IF(CdTrp2!M81=4,1,0)</f>
        <v>0</v>
      </c>
      <c r="BU63" s="210">
        <f>IF(CdTrp2!N81=4,1,0)</f>
        <v>0</v>
      </c>
      <c r="BV63" s="210">
        <f>IF(CdTrp2!O81=4,1,0)</f>
        <v>0</v>
      </c>
      <c r="BW63" s="210">
        <f>IF(CdTrp2!P81=4,1,0)</f>
        <v>0</v>
      </c>
      <c r="BX63" s="210">
        <f>IF(CdTrp2!Q81=4,1,0)</f>
        <v>0</v>
      </c>
      <c r="BY63" s="210">
        <f>IF(CdTrp2!R81=4,1,0)</f>
        <v>0</v>
      </c>
      <c r="BZ63" s="210">
        <f>IF(CdTrp2!S81=4,1,0)</f>
        <v>0</v>
      </c>
      <c r="CA63" s="210">
        <f>IF(CdTrp2!T81=4,1,0)</f>
        <v>0</v>
      </c>
      <c r="CB63" s="210">
        <f>IF(CdTrp2!U81=4,1,0)</f>
        <v>0</v>
      </c>
      <c r="CC63" s="210">
        <f>IF(CdTrp2!V81=4,1,0)</f>
        <v>0</v>
      </c>
      <c r="CD63" s="210">
        <f>IF(CdTrp2!W81=4,1,0)</f>
        <v>0</v>
      </c>
      <c r="CE63" s="210">
        <f>IF(CdTrp2!X81=4,1,0)</f>
        <v>0</v>
      </c>
      <c r="CF63" s="210">
        <f>IF(CdTrp2!Y81=4,1,0)</f>
        <v>0</v>
      </c>
      <c r="CG63" s="210"/>
      <c r="CH63" s="210"/>
      <c r="CI63" s="211"/>
      <c r="CJ63" s="210" t="str">
        <f t="shared" si="23"/>
        <v>lot6</v>
      </c>
      <c r="CK63" s="214">
        <f>IF(CdTrp3!B81=4,1,0)</f>
        <v>0</v>
      </c>
      <c r="CL63" s="214">
        <f>IF(CdTrp3!C81=4,1,0)</f>
        <v>0</v>
      </c>
      <c r="CM63" s="214">
        <f>IF(CdTrp3!D81=4,1,0)</f>
        <v>0</v>
      </c>
      <c r="CN63" s="214">
        <f>IF(CdTrp3!E81=4,1,0)</f>
        <v>0</v>
      </c>
      <c r="CO63" s="214">
        <f>IF(CdTrp3!F81=4,1,0)</f>
        <v>0</v>
      </c>
      <c r="CP63" s="214">
        <f>IF(CdTrp3!G81=4,1,0)</f>
        <v>0</v>
      </c>
      <c r="CQ63" s="214">
        <f>IF(CdTrp3!H81=4,1,0)</f>
        <v>0</v>
      </c>
      <c r="CR63" s="214">
        <f>IF(CdTrp3!I81=4,1,0)</f>
        <v>0</v>
      </c>
      <c r="CS63" s="214">
        <f>IF(CdTrp3!J81=4,1,0)</f>
        <v>0</v>
      </c>
      <c r="CT63" s="214">
        <f>IF(CdTrp3!K81=4,1,0)</f>
        <v>0</v>
      </c>
      <c r="CU63" s="214">
        <f>IF(CdTrp3!L81=4,1,0)</f>
        <v>0</v>
      </c>
      <c r="CV63" s="214">
        <f>IF(CdTrp3!M81=4,1,0)</f>
        <v>0</v>
      </c>
      <c r="CW63" s="214">
        <f>IF(CdTrp3!N81=4,1,0)</f>
        <v>0</v>
      </c>
      <c r="CX63" s="214">
        <f>IF(CdTrp3!O81=4,1,0)</f>
        <v>0</v>
      </c>
      <c r="CY63" s="214">
        <f>IF(CdTrp3!P81=4,1,0)</f>
        <v>0</v>
      </c>
      <c r="CZ63" s="214">
        <f>IF(CdTrp3!Q81=4,1,0)</f>
        <v>0</v>
      </c>
      <c r="DA63" s="214">
        <f>IF(CdTrp3!R81=4,1,0)</f>
        <v>0</v>
      </c>
      <c r="DB63" s="214">
        <f>IF(CdTrp3!S81=4,1,0)</f>
        <v>0</v>
      </c>
      <c r="DC63" s="214">
        <f>IF(CdTrp3!T81=4,1,0)</f>
        <v>0</v>
      </c>
      <c r="DD63" s="214">
        <f>IF(CdTrp3!U81=4,1,0)</f>
        <v>0</v>
      </c>
      <c r="DE63" s="214">
        <f>IF(CdTrp3!V81=4,1,0)</f>
        <v>0</v>
      </c>
      <c r="DF63" s="214">
        <f>IF(CdTrp3!W81=4,1,0)</f>
        <v>0</v>
      </c>
      <c r="DG63" s="214">
        <f>IF(CdTrp3!X81=4,1,0)</f>
        <v>0</v>
      </c>
      <c r="DH63" s="214">
        <f>IF(CdTrp3!Y81=4,1,0)</f>
        <v>0</v>
      </c>
      <c r="DI63" s="210"/>
      <c r="DJ63" s="210"/>
      <c r="DK63" s="211"/>
      <c r="DL63" s="210" t="str">
        <f t="shared" si="24"/>
        <v>lot6</v>
      </c>
      <c r="DM63" s="214">
        <f>IF(CdTrp4!B81=4,1,0)</f>
        <v>0</v>
      </c>
      <c r="DN63" s="214">
        <f>IF(CdTrp4!C81=4,1,0)</f>
        <v>0</v>
      </c>
      <c r="DO63" s="214">
        <f>IF(CdTrp4!D81=4,1,0)</f>
        <v>0</v>
      </c>
      <c r="DP63" s="214">
        <f>IF(CdTrp4!E81=4,1,0)</f>
        <v>0</v>
      </c>
      <c r="DQ63" s="214">
        <f>IF(CdTrp4!F81=4,1,0)</f>
        <v>0</v>
      </c>
      <c r="DR63" s="214">
        <f>IF(CdTrp4!G81=4,1,0)</f>
        <v>0</v>
      </c>
      <c r="DS63" s="214">
        <f>IF(CdTrp4!H81=4,1,0)</f>
        <v>0</v>
      </c>
      <c r="DT63" s="214">
        <f>IF(CdTrp4!I81=4,1,0)</f>
        <v>0</v>
      </c>
      <c r="DU63" s="214">
        <f>IF(CdTrp4!J81=4,1,0)</f>
        <v>0</v>
      </c>
      <c r="DV63" s="214">
        <f>IF(CdTrp4!K81=4,1,0)</f>
        <v>0</v>
      </c>
      <c r="DW63" s="214">
        <f>IF(CdTrp4!L81=4,1,0)</f>
        <v>0</v>
      </c>
      <c r="DX63" s="214">
        <f>IF(CdTrp4!M81=4,1,0)</f>
        <v>0</v>
      </c>
      <c r="DY63" s="214">
        <f>IF(CdTrp4!N81=4,1,0)</f>
        <v>0</v>
      </c>
      <c r="DZ63" s="214">
        <f>IF(CdTrp4!O81=4,1,0)</f>
        <v>0</v>
      </c>
      <c r="EA63" s="214">
        <f>IF(CdTrp4!P81=4,1,0)</f>
        <v>0</v>
      </c>
      <c r="EB63" s="214">
        <f>IF(CdTrp4!Q81=4,1,0)</f>
        <v>0</v>
      </c>
      <c r="EC63" s="214">
        <f>IF(CdTrp4!R81=4,1,0)</f>
        <v>0</v>
      </c>
      <c r="ED63" s="214">
        <f>IF(CdTrp4!S81=4,1,0)</f>
        <v>0</v>
      </c>
      <c r="EE63" s="214">
        <f>IF(CdTrp4!T81=4,1,0)</f>
        <v>0</v>
      </c>
      <c r="EF63" s="214">
        <f>IF(CdTrp4!U81=4,1,0)</f>
        <v>0</v>
      </c>
      <c r="EG63" s="214">
        <f>IF(CdTrp4!V81=4,1,0)</f>
        <v>0</v>
      </c>
      <c r="EH63" s="214">
        <f>IF(CdTrp4!W81=4,1,0)</f>
        <v>0</v>
      </c>
      <c r="EI63" s="214">
        <f>IF(CdTrp4!X81=4,1,0)</f>
        <v>0</v>
      </c>
      <c r="EJ63" s="214">
        <f>IF(CdTrp4!Y81=4,1,0)</f>
        <v>0</v>
      </c>
    </row>
    <row r="64" spans="1:143" x14ac:dyDescent="0.25">
      <c r="A64" s="5"/>
      <c r="B64" s="5"/>
      <c r="C64" s="5"/>
      <c r="D64" s="5"/>
      <c r="X64" s="210"/>
      <c r="Y64" s="210"/>
      <c r="Z64" s="210"/>
      <c r="AA64" s="210"/>
      <c r="AB64" s="210"/>
      <c r="AC64" s="210"/>
      <c r="AD64" s="210"/>
      <c r="AE64" s="210"/>
      <c r="AF64" s="210"/>
      <c r="AG64" s="253" t="str">
        <f>CdTrp1!A82</f>
        <v>lot7</v>
      </c>
      <c r="AH64" s="214">
        <f>IF(CdTrp1!B82=4,1,0)</f>
        <v>0</v>
      </c>
      <c r="AI64" s="214">
        <f>IF(CdTrp1!C82=4,1,0)</f>
        <v>0</v>
      </c>
      <c r="AJ64" s="214">
        <f>IF(CdTrp1!D82=4,1,0)</f>
        <v>0</v>
      </c>
      <c r="AK64" s="214">
        <f>IF(CdTrp1!E82=4,1,0)</f>
        <v>0</v>
      </c>
      <c r="AL64" s="214">
        <f>IF(CdTrp1!F82=4,1,0)</f>
        <v>0</v>
      </c>
      <c r="AM64" s="214">
        <f>IF(CdTrp1!G82=4,1,0)</f>
        <v>0</v>
      </c>
      <c r="AN64" s="214">
        <f>IF(CdTrp1!H82=4,1,0)</f>
        <v>0</v>
      </c>
      <c r="AO64" s="214">
        <f>IF(CdTrp1!I82=4,1,0)</f>
        <v>0</v>
      </c>
      <c r="AP64" s="214">
        <f>IF(CdTrp1!J82=4,1,0)</f>
        <v>0</v>
      </c>
      <c r="AQ64" s="214">
        <f>IF(CdTrp1!K82=4,1,0)</f>
        <v>0</v>
      </c>
      <c r="AR64" s="214">
        <f>IF(CdTrp1!L82=4,1,0)</f>
        <v>0</v>
      </c>
      <c r="AS64" s="214">
        <f>IF(CdTrp1!M82=4,1,0)</f>
        <v>0</v>
      </c>
      <c r="AT64" s="214">
        <f>IF(CdTrp1!N82=4,1,0)</f>
        <v>0</v>
      </c>
      <c r="AU64" s="214">
        <f>IF(CdTrp1!O82=4,1,0)</f>
        <v>0</v>
      </c>
      <c r="AV64" s="214">
        <f>IF(CdTrp1!P82=4,1,0)</f>
        <v>0</v>
      </c>
      <c r="AW64" s="214">
        <f>IF(CdTrp1!Q82=4,1,0)</f>
        <v>0</v>
      </c>
      <c r="AX64" s="214">
        <f>IF(CdTrp1!R82=4,1,0)</f>
        <v>0</v>
      </c>
      <c r="AY64" s="214">
        <f>IF(CdTrp1!S82=4,1,0)</f>
        <v>0</v>
      </c>
      <c r="AZ64" s="214">
        <f>IF(CdTrp1!T82=4,1,0)</f>
        <v>0</v>
      </c>
      <c r="BA64" s="214">
        <f>IF(CdTrp1!U82=4,1,0)</f>
        <v>0</v>
      </c>
      <c r="BB64" s="214">
        <f>IF(CdTrp1!V82=4,1,0)</f>
        <v>0</v>
      </c>
      <c r="BC64" s="214">
        <f>IF(CdTrp1!W82=4,1,0)</f>
        <v>0</v>
      </c>
      <c r="BD64" s="214">
        <f>IF(CdTrp1!X82=4,1,0)</f>
        <v>0</v>
      </c>
      <c r="BE64" s="214">
        <f>IF(CdTrp1!Y82=4,1,0)</f>
        <v>0</v>
      </c>
      <c r="BF64" s="210"/>
      <c r="BG64" s="211"/>
      <c r="BH64" s="210" t="str">
        <f t="shared" si="22"/>
        <v>lot7</v>
      </c>
      <c r="BI64" s="210">
        <f>IF(CdTrp2!B82=4,1,0)</f>
        <v>0</v>
      </c>
      <c r="BJ64" s="210">
        <f>IF(CdTrp2!C82=4,1,0)</f>
        <v>0</v>
      </c>
      <c r="BK64" s="210">
        <f>IF(CdTrp2!D82=4,1,0)</f>
        <v>0</v>
      </c>
      <c r="BL64" s="210">
        <f>IF(CdTrp2!E82=4,1,0)</f>
        <v>0</v>
      </c>
      <c r="BM64" s="210">
        <f>IF(CdTrp2!F82=4,1,0)</f>
        <v>0</v>
      </c>
      <c r="BN64" s="210">
        <f>IF(CdTrp2!G82=4,1,0)</f>
        <v>0</v>
      </c>
      <c r="BO64" s="210">
        <f>IF(CdTrp2!H82=4,1,0)</f>
        <v>0</v>
      </c>
      <c r="BP64" s="210">
        <f>IF(CdTrp2!I82=4,1,0)</f>
        <v>0</v>
      </c>
      <c r="BQ64" s="210">
        <f>IF(CdTrp2!J82=4,1,0)</f>
        <v>0</v>
      </c>
      <c r="BR64" s="210">
        <f>IF(CdTrp2!K82=4,1,0)</f>
        <v>0</v>
      </c>
      <c r="BS64" s="210">
        <f>IF(CdTrp2!L82=4,1,0)</f>
        <v>0</v>
      </c>
      <c r="BT64" s="210">
        <f>IF(CdTrp2!M82=4,1,0)</f>
        <v>0</v>
      </c>
      <c r="BU64" s="210">
        <f>IF(CdTrp2!N82=4,1,0)</f>
        <v>0</v>
      </c>
      <c r="BV64" s="210">
        <f>IF(CdTrp2!O82=4,1,0)</f>
        <v>0</v>
      </c>
      <c r="BW64" s="210">
        <f>IF(CdTrp2!P82=4,1,0)</f>
        <v>0</v>
      </c>
      <c r="BX64" s="210">
        <f>IF(CdTrp2!Q82=4,1,0)</f>
        <v>0</v>
      </c>
      <c r="BY64" s="210">
        <f>IF(CdTrp2!R82=4,1,0)</f>
        <v>0</v>
      </c>
      <c r="BZ64" s="210">
        <f>IF(CdTrp2!S82=4,1,0)</f>
        <v>0</v>
      </c>
      <c r="CA64" s="210">
        <f>IF(CdTrp2!T82=4,1,0)</f>
        <v>0</v>
      </c>
      <c r="CB64" s="210">
        <f>IF(CdTrp2!U82=4,1,0)</f>
        <v>0</v>
      </c>
      <c r="CC64" s="210">
        <f>IF(CdTrp2!V82=4,1,0)</f>
        <v>0</v>
      </c>
      <c r="CD64" s="210">
        <f>IF(CdTrp2!W82=4,1,0)</f>
        <v>0</v>
      </c>
      <c r="CE64" s="210">
        <f>IF(CdTrp2!X82=4,1,0)</f>
        <v>0</v>
      </c>
      <c r="CF64" s="210">
        <f>IF(CdTrp2!Y82=4,1,0)</f>
        <v>0</v>
      </c>
      <c r="CG64" s="210"/>
      <c r="CH64" s="210"/>
      <c r="CI64" s="211"/>
      <c r="CJ64" s="210" t="str">
        <f t="shared" si="23"/>
        <v>lot7</v>
      </c>
      <c r="CK64" s="214">
        <f>IF(CdTrp3!B82=4,1,0)</f>
        <v>0</v>
      </c>
      <c r="CL64" s="214">
        <f>IF(CdTrp3!C82=4,1,0)</f>
        <v>0</v>
      </c>
      <c r="CM64" s="214">
        <f>IF(CdTrp3!D82=4,1,0)</f>
        <v>0</v>
      </c>
      <c r="CN64" s="214">
        <f>IF(CdTrp3!E82=4,1,0)</f>
        <v>0</v>
      </c>
      <c r="CO64" s="214">
        <f>IF(CdTrp3!F82=4,1,0)</f>
        <v>0</v>
      </c>
      <c r="CP64" s="214">
        <f>IF(CdTrp3!G82=4,1,0)</f>
        <v>0</v>
      </c>
      <c r="CQ64" s="214">
        <f>IF(CdTrp3!H82=4,1,0)</f>
        <v>0</v>
      </c>
      <c r="CR64" s="214">
        <f>IF(CdTrp3!I82=4,1,0)</f>
        <v>0</v>
      </c>
      <c r="CS64" s="214">
        <f>IF(CdTrp3!J82=4,1,0)</f>
        <v>0</v>
      </c>
      <c r="CT64" s="214">
        <f>IF(CdTrp3!K82=4,1,0)</f>
        <v>0</v>
      </c>
      <c r="CU64" s="214">
        <f>IF(CdTrp3!L82=4,1,0)</f>
        <v>0</v>
      </c>
      <c r="CV64" s="214">
        <f>IF(CdTrp3!M82=4,1,0)</f>
        <v>0</v>
      </c>
      <c r="CW64" s="214">
        <f>IF(CdTrp3!N82=4,1,0)</f>
        <v>0</v>
      </c>
      <c r="CX64" s="214">
        <f>IF(CdTrp3!O82=4,1,0)</f>
        <v>0</v>
      </c>
      <c r="CY64" s="214">
        <f>IF(CdTrp3!P82=4,1,0)</f>
        <v>0</v>
      </c>
      <c r="CZ64" s="214">
        <f>IF(CdTrp3!Q82=4,1,0)</f>
        <v>0</v>
      </c>
      <c r="DA64" s="214">
        <f>IF(CdTrp3!R82=4,1,0)</f>
        <v>0</v>
      </c>
      <c r="DB64" s="214">
        <f>IF(CdTrp3!S82=4,1,0)</f>
        <v>0</v>
      </c>
      <c r="DC64" s="214">
        <f>IF(CdTrp3!T82=4,1,0)</f>
        <v>0</v>
      </c>
      <c r="DD64" s="214">
        <f>IF(CdTrp3!U82=4,1,0)</f>
        <v>0</v>
      </c>
      <c r="DE64" s="214">
        <f>IF(CdTrp3!V82=4,1,0)</f>
        <v>0</v>
      </c>
      <c r="DF64" s="214">
        <f>IF(CdTrp3!W82=4,1,0)</f>
        <v>0</v>
      </c>
      <c r="DG64" s="214">
        <f>IF(CdTrp3!X82=4,1,0)</f>
        <v>0</v>
      </c>
      <c r="DH64" s="214">
        <f>IF(CdTrp3!Y82=4,1,0)</f>
        <v>0</v>
      </c>
      <c r="DI64" s="210"/>
      <c r="DJ64" s="210"/>
      <c r="DK64" s="211"/>
      <c r="DL64" s="210" t="str">
        <f t="shared" si="24"/>
        <v>lot7</v>
      </c>
      <c r="DM64" s="214">
        <f>IF(CdTrp4!B82=4,1,0)</f>
        <v>0</v>
      </c>
      <c r="DN64" s="214">
        <f>IF(CdTrp4!C82=4,1,0)</f>
        <v>0</v>
      </c>
      <c r="DO64" s="214">
        <f>IF(CdTrp4!D82=4,1,0)</f>
        <v>0</v>
      </c>
      <c r="DP64" s="214">
        <f>IF(CdTrp4!E82=4,1,0)</f>
        <v>0</v>
      </c>
      <c r="DQ64" s="214">
        <f>IF(CdTrp4!F82=4,1,0)</f>
        <v>0</v>
      </c>
      <c r="DR64" s="214">
        <f>IF(CdTrp4!G82=4,1,0)</f>
        <v>0</v>
      </c>
      <c r="DS64" s="214">
        <f>IF(CdTrp4!H82=4,1,0)</f>
        <v>0</v>
      </c>
      <c r="DT64" s="214">
        <f>IF(CdTrp4!I82=4,1,0)</f>
        <v>0</v>
      </c>
      <c r="DU64" s="214">
        <f>IF(CdTrp4!J82=4,1,0)</f>
        <v>0</v>
      </c>
      <c r="DV64" s="214">
        <f>IF(CdTrp4!K82=4,1,0)</f>
        <v>0</v>
      </c>
      <c r="DW64" s="214">
        <f>IF(CdTrp4!L82=4,1,0)</f>
        <v>0</v>
      </c>
      <c r="DX64" s="214">
        <f>IF(CdTrp4!M82=4,1,0)</f>
        <v>0</v>
      </c>
      <c r="DY64" s="214">
        <f>IF(CdTrp4!N82=4,1,0)</f>
        <v>0</v>
      </c>
      <c r="DZ64" s="214">
        <f>IF(CdTrp4!O82=4,1,0)</f>
        <v>0</v>
      </c>
      <c r="EA64" s="214">
        <f>IF(CdTrp4!P82=4,1,0)</f>
        <v>0</v>
      </c>
      <c r="EB64" s="214">
        <f>IF(CdTrp4!Q82=4,1,0)</f>
        <v>0</v>
      </c>
      <c r="EC64" s="214">
        <f>IF(CdTrp4!R82=4,1,0)</f>
        <v>0</v>
      </c>
      <c r="ED64" s="214">
        <f>IF(CdTrp4!S82=4,1,0)</f>
        <v>0</v>
      </c>
      <c r="EE64" s="214">
        <f>IF(CdTrp4!T82=4,1,0)</f>
        <v>0</v>
      </c>
      <c r="EF64" s="214">
        <f>IF(CdTrp4!U82=4,1,0)</f>
        <v>0</v>
      </c>
      <c r="EG64" s="214">
        <f>IF(CdTrp4!V82=4,1,0)</f>
        <v>0</v>
      </c>
      <c r="EH64" s="214">
        <f>IF(CdTrp4!W82=4,1,0)</f>
        <v>0</v>
      </c>
      <c r="EI64" s="214">
        <f>IF(CdTrp4!X82=4,1,0)</f>
        <v>0</v>
      </c>
      <c r="EJ64" s="214">
        <f>IF(CdTrp4!Y82=4,1,0)</f>
        <v>0</v>
      </c>
    </row>
    <row r="65" spans="1:143" x14ac:dyDescent="0.25">
      <c r="A65" s="5"/>
      <c r="B65" s="5"/>
      <c r="C65" s="5"/>
      <c r="D65" s="5"/>
      <c r="X65" s="210"/>
      <c r="Y65" s="210"/>
      <c r="Z65" s="210"/>
      <c r="AA65" s="210"/>
      <c r="AB65" s="210"/>
      <c r="AC65" s="210"/>
      <c r="AD65" s="210"/>
      <c r="AE65" s="210"/>
      <c r="AF65" s="210"/>
      <c r="AG65" s="253" t="str">
        <f>CdTrp1!A83</f>
        <v>lot8</v>
      </c>
      <c r="AH65" s="214">
        <f>IF(CdTrp1!B83=4,1,0)</f>
        <v>0</v>
      </c>
      <c r="AI65" s="214">
        <f>IF(CdTrp1!C83=4,1,0)</f>
        <v>0</v>
      </c>
      <c r="AJ65" s="214">
        <f>IF(CdTrp1!D83=4,1,0)</f>
        <v>0</v>
      </c>
      <c r="AK65" s="214">
        <f>IF(CdTrp1!E83=4,1,0)</f>
        <v>0</v>
      </c>
      <c r="AL65" s="214">
        <f>IF(CdTrp1!F83=4,1,0)</f>
        <v>0</v>
      </c>
      <c r="AM65" s="214">
        <f>IF(CdTrp1!G83=4,1,0)</f>
        <v>0</v>
      </c>
      <c r="AN65" s="214">
        <f>IF(CdTrp1!H83=4,1,0)</f>
        <v>0</v>
      </c>
      <c r="AO65" s="214">
        <f>IF(CdTrp1!I83=4,1,0)</f>
        <v>0</v>
      </c>
      <c r="AP65" s="214">
        <f>IF(CdTrp1!J83=4,1,0)</f>
        <v>0</v>
      </c>
      <c r="AQ65" s="214">
        <f>IF(CdTrp1!K83=4,1,0)</f>
        <v>0</v>
      </c>
      <c r="AR65" s="214">
        <f>IF(CdTrp1!L83=4,1,0)</f>
        <v>0</v>
      </c>
      <c r="AS65" s="214">
        <f>IF(CdTrp1!M83=4,1,0)</f>
        <v>0</v>
      </c>
      <c r="AT65" s="214">
        <f>IF(CdTrp1!N83=4,1,0)</f>
        <v>0</v>
      </c>
      <c r="AU65" s="214">
        <f>IF(CdTrp1!O83=4,1,0)</f>
        <v>0</v>
      </c>
      <c r="AV65" s="214">
        <f>IF(CdTrp1!P83=4,1,0)</f>
        <v>0</v>
      </c>
      <c r="AW65" s="214">
        <f>IF(CdTrp1!Q83=4,1,0)</f>
        <v>0</v>
      </c>
      <c r="AX65" s="214">
        <f>IF(CdTrp1!R83=4,1,0)</f>
        <v>0</v>
      </c>
      <c r="AY65" s="214">
        <f>IF(CdTrp1!S83=4,1,0)</f>
        <v>0</v>
      </c>
      <c r="AZ65" s="214">
        <f>IF(CdTrp1!T83=4,1,0)</f>
        <v>0</v>
      </c>
      <c r="BA65" s="214">
        <f>IF(CdTrp1!U83=4,1,0)</f>
        <v>0</v>
      </c>
      <c r="BB65" s="214">
        <f>IF(CdTrp1!V83=4,1,0)</f>
        <v>0</v>
      </c>
      <c r="BC65" s="214">
        <f>IF(CdTrp1!W83=4,1,0)</f>
        <v>0</v>
      </c>
      <c r="BD65" s="214">
        <f>IF(CdTrp1!X83=4,1,0)</f>
        <v>0</v>
      </c>
      <c r="BE65" s="214">
        <f>IF(CdTrp1!Y83=4,1,0)</f>
        <v>0</v>
      </c>
      <c r="BF65" s="210"/>
      <c r="BG65" s="211"/>
      <c r="BH65" s="210" t="str">
        <f t="shared" si="22"/>
        <v>lot8</v>
      </c>
      <c r="BI65" s="210">
        <f>IF(CdTrp2!B83=4,1,0)</f>
        <v>0</v>
      </c>
      <c r="BJ65" s="210">
        <f>IF(CdTrp2!C83=4,1,0)</f>
        <v>0</v>
      </c>
      <c r="BK65" s="210">
        <f>IF(CdTrp2!D83=4,1,0)</f>
        <v>0</v>
      </c>
      <c r="BL65" s="210">
        <f>IF(CdTrp2!E83=4,1,0)</f>
        <v>0</v>
      </c>
      <c r="BM65" s="210">
        <f>IF(CdTrp2!F83=4,1,0)</f>
        <v>0</v>
      </c>
      <c r="BN65" s="210">
        <f>IF(CdTrp2!G83=4,1,0)</f>
        <v>0</v>
      </c>
      <c r="BO65" s="210">
        <f>IF(CdTrp2!H83=4,1,0)</f>
        <v>0</v>
      </c>
      <c r="BP65" s="210">
        <f>IF(CdTrp2!I83=4,1,0)</f>
        <v>0</v>
      </c>
      <c r="BQ65" s="210">
        <f>IF(CdTrp2!J83=4,1,0)</f>
        <v>0</v>
      </c>
      <c r="BR65" s="210">
        <f>IF(CdTrp2!K83=4,1,0)</f>
        <v>0</v>
      </c>
      <c r="BS65" s="210">
        <f>IF(CdTrp2!L83=4,1,0)</f>
        <v>0</v>
      </c>
      <c r="BT65" s="210">
        <f>IF(CdTrp2!M83=4,1,0)</f>
        <v>0</v>
      </c>
      <c r="BU65" s="210">
        <f>IF(CdTrp2!N83=4,1,0)</f>
        <v>0</v>
      </c>
      <c r="BV65" s="210">
        <f>IF(CdTrp2!O83=4,1,0)</f>
        <v>0</v>
      </c>
      <c r="BW65" s="210">
        <f>IF(CdTrp2!P83=4,1,0)</f>
        <v>0</v>
      </c>
      <c r="BX65" s="210">
        <f>IF(CdTrp2!Q83=4,1,0)</f>
        <v>0</v>
      </c>
      <c r="BY65" s="210">
        <f>IF(CdTrp2!R83=4,1,0)</f>
        <v>0</v>
      </c>
      <c r="BZ65" s="210">
        <f>IF(CdTrp2!S83=4,1,0)</f>
        <v>0</v>
      </c>
      <c r="CA65" s="210">
        <f>IF(CdTrp2!T83=4,1,0)</f>
        <v>0</v>
      </c>
      <c r="CB65" s="210">
        <f>IF(CdTrp2!U83=4,1,0)</f>
        <v>0</v>
      </c>
      <c r="CC65" s="210">
        <f>IF(CdTrp2!V83=4,1,0)</f>
        <v>0</v>
      </c>
      <c r="CD65" s="210">
        <f>IF(CdTrp2!W83=4,1,0)</f>
        <v>0</v>
      </c>
      <c r="CE65" s="210">
        <f>IF(CdTrp2!X83=4,1,0)</f>
        <v>0</v>
      </c>
      <c r="CF65" s="210">
        <f>IF(CdTrp2!Y83=4,1,0)</f>
        <v>0</v>
      </c>
      <c r="CG65" s="210"/>
      <c r="CH65" s="210"/>
      <c r="CI65" s="211"/>
      <c r="CJ65" s="210" t="str">
        <f t="shared" si="23"/>
        <v>lot8</v>
      </c>
      <c r="CK65" s="214">
        <f>IF(CdTrp3!B83=4,1,0)</f>
        <v>0</v>
      </c>
      <c r="CL65" s="214">
        <f>IF(CdTrp3!C83=4,1,0)</f>
        <v>0</v>
      </c>
      <c r="CM65" s="214">
        <f>IF(CdTrp3!D83=4,1,0)</f>
        <v>0</v>
      </c>
      <c r="CN65" s="214">
        <f>IF(CdTrp3!E83=4,1,0)</f>
        <v>0</v>
      </c>
      <c r="CO65" s="214">
        <f>IF(CdTrp3!F83=4,1,0)</f>
        <v>0</v>
      </c>
      <c r="CP65" s="214">
        <f>IF(CdTrp3!G83=4,1,0)</f>
        <v>0</v>
      </c>
      <c r="CQ65" s="214">
        <f>IF(CdTrp3!H83=4,1,0)</f>
        <v>0</v>
      </c>
      <c r="CR65" s="214">
        <f>IF(CdTrp3!I83=4,1,0)</f>
        <v>0</v>
      </c>
      <c r="CS65" s="214">
        <f>IF(CdTrp3!J83=4,1,0)</f>
        <v>0</v>
      </c>
      <c r="CT65" s="214">
        <f>IF(CdTrp3!K83=4,1,0)</f>
        <v>0</v>
      </c>
      <c r="CU65" s="214">
        <f>IF(CdTrp3!L83=4,1,0)</f>
        <v>0</v>
      </c>
      <c r="CV65" s="214">
        <f>IF(CdTrp3!M83=4,1,0)</f>
        <v>0</v>
      </c>
      <c r="CW65" s="214">
        <f>IF(CdTrp3!N83=4,1,0)</f>
        <v>0</v>
      </c>
      <c r="CX65" s="214">
        <f>IF(CdTrp3!O83=4,1,0)</f>
        <v>0</v>
      </c>
      <c r="CY65" s="214">
        <f>IF(CdTrp3!P83=4,1,0)</f>
        <v>0</v>
      </c>
      <c r="CZ65" s="214">
        <f>IF(CdTrp3!Q83=4,1,0)</f>
        <v>0</v>
      </c>
      <c r="DA65" s="214">
        <f>IF(CdTrp3!R83=4,1,0)</f>
        <v>0</v>
      </c>
      <c r="DB65" s="214">
        <f>IF(CdTrp3!S83=4,1,0)</f>
        <v>0</v>
      </c>
      <c r="DC65" s="214">
        <f>IF(CdTrp3!T83=4,1,0)</f>
        <v>0</v>
      </c>
      <c r="DD65" s="214">
        <f>IF(CdTrp3!U83=4,1,0)</f>
        <v>0</v>
      </c>
      <c r="DE65" s="214">
        <f>IF(CdTrp3!V83=4,1,0)</f>
        <v>0</v>
      </c>
      <c r="DF65" s="214">
        <f>IF(CdTrp3!W83=4,1,0)</f>
        <v>0</v>
      </c>
      <c r="DG65" s="214">
        <f>IF(CdTrp3!X83=4,1,0)</f>
        <v>0</v>
      </c>
      <c r="DH65" s="214">
        <f>IF(CdTrp3!Y83=4,1,0)</f>
        <v>0</v>
      </c>
      <c r="DI65" s="210"/>
      <c r="DJ65" s="210"/>
      <c r="DK65" s="211"/>
      <c r="DL65" s="210" t="str">
        <f t="shared" si="24"/>
        <v>lot8</v>
      </c>
      <c r="DM65" s="214">
        <f>IF(CdTrp4!B83=4,1,0)</f>
        <v>0</v>
      </c>
      <c r="DN65" s="214">
        <f>IF(CdTrp4!C83=4,1,0)</f>
        <v>0</v>
      </c>
      <c r="DO65" s="214">
        <f>IF(CdTrp4!D83=4,1,0)</f>
        <v>0</v>
      </c>
      <c r="DP65" s="214">
        <f>IF(CdTrp4!E83=4,1,0)</f>
        <v>0</v>
      </c>
      <c r="DQ65" s="214">
        <f>IF(CdTrp4!F83=4,1,0)</f>
        <v>0</v>
      </c>
      <c r="DR65" s="214">
        <f>IF(CdTrp4!G83=4,1,0)</f>
        <v>0</v>
      </c>
      <c r="DS65" s="214">
        <f>IF(CdTrp4!H83=4,1,0)</f>
        <v>0</v>
      </c>
      <c r="DT65" s="214">
        <f>IF(CdTrp4!I83=4,1,0)</f>
        <v>0</v>
      </c>
      <c r="DU65" s="214">
        <f>IF(CdTrp4!J83=4,1,0)</f>
        <v>0</v>
      </c>
      <c r="DV65" s="214">
        <f>IF(CdTrp4!K83=4,1,0)</f>
        <v>0</v>
      </c>
      <c r="DW65" s="214">
        <f>IF(CdTrp4!L83=4,1,0)</f>
        <v>0</v>
      </c>
      <c r="DX65" s="214">
        <f>IF(CdTrp4!M83=4,1,0)</f>
        <v>0</v>
      </c>
      <c r="DY65" s="214">
        <f>IF(CdTrp4!N83=4,1,0)</f>
        <v>0</v>
      </c>
      <c r="DZ65" s="214">
        <f>IF(CdTrp4!O83=4,1,0)</f>
        <v>0</v>
      </c>
      <c r="EA65" s="214">
        <f>IF(CdTrp4!P83=4,1,0)</f>
        <v>0</v>
      </c>
      <c r="EB65" s="214">
        <f>IF(CdTrp4!Q83=4,1,0)</f>
        <v>0</v>
      </c>
      <c r="EC65" s="214">
        <f>IF(CdTrp4!R83=4,1,0)</f>
        <v>0</v>
      </c>
      <c r="ED65" s="214">
        <f>IF(CdTrp4!S83=4,1,0)</f>
        <v>0</v>
      </c>
      <c r="EE65" s="214">
        <f>IF(CdTrp4!T83=4,1,0)</f>
        <v>0</v>
      </c>
      <c r="EF65" s="214">
        <f>IF(CdTrp4!U83=4,1,0)</f>
        <v>0</v>
      </c>
      <c r="EG65" s="214">
        <f>IF(CdTrp4!V83=4,1,0)</f>
        <v>0</v>
      </c>
      <c r="EH65" s="214">
        <f>IF(CdTrp4!W83=4,1,0)</f>
        <v>0</v>
      </c>
      <c r="EI65" s="214">
        <f>IF(CdTrp4!X83=4,1,0)</f>
        <v>0</v>
      </c>
      <c r="EJ65" s="214">
        <f>IF(CdTrp4!Y83=4,1,0)</f>
        <v>0</v>
      </c>
    </row>
    <row r="66" spans="1:143" x14ac:dyDescent="0.25">
      <c r="A66" s="5"/>
      <c r="B66" s="5"/>
      <c r="C66" s="5"/>
      <c r="D66" s="5"/>
      <c r="X66" s="210"/>
      <c r="Y66" s="210"/>
      <c r="Z66" s="210"/>
      <c r="AA66" s="210"/>
      <c r="AB66" s="210"/>
      <c r="AC66" s="210"/>
      <c r="AD66" s="210"/>
      <c r="AE66" s="210"/>
      <c r="AF66" s="210"/>
      <c r="AG66" s="210" t="str">
        <f>CdTrp1!A84</f>
        <v>lot9</v>
      </c>
      <c r="AH66" s="214">
        <f>IF(CdTrp1!B84=4,1,0)</f>
        <v>0</v>
      </c>
      <c r="AI66" s="214">
        <f>IF(CdTrp1!C84=4,1,0)</f>
        <v>0</v>
      </c>
      <c r="AJ66" s="214">
        <f>IF(CdTrp1!D84=4,1,0)</f>
        <v>0</v>
      </c>
      <c r="AK66" s="214">
        <f>IF(CdTrp1!E84=4,1,0)</f>
        <v>0</v>
      </c>
      <c r="AL66" s="214">
        <f>IF(CdTrp1!F84=4,1,0)</f>
        <v>0</v>
      </c>
      <c r="AM66" s="214">
        <f>IF(CdTrp1!G84=4,1,0)</f>
        <v>0</v>
      </c>
      <c r="AN66" s="214">
        <f>IF(CdTrp1!H84=4,1,0)</f>
        <v>0</v>
      </c>
      <c r="AO66" s="214">
        <f>IF(CdTrp1!I84=4,1,0)</f>
        <v>0</v>
      </c>
      <c r="AP66" s="214">
        <f>IF(CdTrp1!J84=4,1,0)</f>
        <v>0</v>
      </c>
      <c r="AQ66" s="214">
        <f>IF(CdTrp1!K84=4,1,0)</f>
        <v>0</v>
      </c>
      <c r="AR66" s="214">
        <f>IF(CdTrp1!L84=4,1,0)</f>
        <v>0</v>
      </c>
      <c r="AS66" s="214">
        <f>IF(CdTrp1!M84=4,1,0)</f>
        <v>0</v>
      </c>
      <c r="AT66" s="214">
        <f>IF(CdTrp1!N84=4,1,0)</f>
        <v>0</v>
      </c>
      <c r="AU66" s="214">
        <f>IF(CdTrp1!O84=4,1,0)</f>
        <v>0</v>
      </c>
      <c r="AV66" s="214">
        <f>IF(CdTrp1!P84=4,1,0)</f>
        <v>0</v>
      </c>
      <c r="AW66" s="214">
        <f>IF(CdTrp1!Q84=4,1,0)</f>
        <v>0</v>
      </c>
      <c r="AX66" s="214">
        <f>IF(CdTrp1!R84=4,1,0)</f>
        <v>0</v>
      </c>
      <c r="AY66" s="214">
        <f>IF(CdTrp1!S84=4,1,0)</f>
        <v>0</v>
      </c>
      <c r="AZ66" s="214">
        <f>IF(CdTrp1!T84=4,1,0)</f>
        <v>0</v>
      </c>
      <c r="BA66" s="214">
        <f>IF(CdTrp1!U84=4,1,0)</f>
        <v>0</v>
      </c>
      <c r="BB66" s="214">
        <f>IF(CdTrp1!V84=4,1,0)</f>
        <v>0</v>
      </c>
      <c r="BC66" s="214">
        <f>IF(CdTrp1!W84=4,1,0)</f>
        <v>0</v>
      </c>
      <c r="BD66" s="214">
        <f>IF(CdTrp1!X84=4,1,0)</f>
        <v>0</v>
      </c>
      <c r="BE66" s="214">
        <f>IF(CdTrp1!Y84=4,1,0)</f>
        <v>0</v>
      </c>
      <c r="BF66" s="210"/>
      <c r="BG66" s="211"/>
      <c r="BH66" s="210" t="str">
        <f t="shared" si="22"/>
        <v>lot9</v>
      </c>
      <c r="BI66" s="210">
        <f>IF(CdTrp2!B84=4,1,0)</f>
        <v>0</v>
      </c>
      <c r="BJ66" s="210">
        <f>IF(CdTrp2!C84=4,1,0)</f>
        <v>0</v>
      </c>
      <c r="BK66" s="210">
        <f>IF(CdTrp2!D84=4,1,0)</f>
        <v>0</v>
      </c>
      <c r="BL66" s="210">
        <f>IF(CdTrp2!E84=4,1,0)</f>
        <v>0</v>
      </c>
      <c r="BM66" s="210">
        <f>IF(CdTrp2!F84=4,1,0)</f>
        <v>0</v>
      </c>
      <c r="BN66" s="210">
        <f>IF(CdTrp2!G84=4,1,0)</f>
        <v>0</v>
      </c>
      <c r="BO66" s="210">
        <f>IF(CdTrp2!H84=4,1,0)</f>
        <v>0</v>
      </c>
      <c r="BP66" s="210">
        <f>IF(CdTrp2!I84=4,1,0)</f>
        <v>0</v>
      </c>
      <c r="BQ66" s="210">
        <f>IF(CdTrp2!J84=4,1,0)</f>
        <v>0</v>
      </c>
      <c r="BR66" s="210">
        <f>IF(CdTrp2!K84=4,1,0)</f>
        <v>0</v>
      </c>
      <c r="BS66" s="210">
        <f>IF(CdTrp2!L84=4,1,0)</f>
        <v>0</v>
      </c>
      <c r="BT66" s="210">
        <f>IF(CdTrp2!M84=4,1,0)</f>
        <v>0</v>
      </c>
      <c r="BU66" s="210">
        <f>IF(CdTrp2!N84=4,1,0)</f>
        <v>0</v>
      </c>
      <c r="BV66" s="210">
        <f>IF(CdTrp2!O84=4,1,0)</f>
        <v>0</v>
      </c>
      <c r="BW66" s="210">
        <f>IF(CdTrp2!P84=4,1,0)</f>
        <v>0</v>
      </c>
      <c r="BX66" s="210">
        <f>IF(CdTrp2!Q84=4,1,0)</f>
        <v>0</v>
      </c>
      <c r="BY66" s="210">
        <f>IF(CdTrp2!R84=4,1,0)</f>
        <v>0</v>
      </c>
      <c r="BZ66" s="210">
        <f>IF(CdTrp2!S84=4,1,0)</f>
        <v>0</v>
      </c>
      <c r="CA66" s="210">
        <f>IF(CdTrp2!T84=4,1,0)</f>
        <v>0</v>
      </c>
      <c r="CB66" s="210">
        <f>IF(CdTrp2!U84=4,1,0)</f>
        <v>0</v>
      </c>
      <c r="CC66" s="210">
        <f>IF(CdTrp2!V84=4,1,0)</f>
        <v>0</v>
      </c>
      <c r="CD66" s="210">
        <f>IF(CdTrp2!W84=4,1,0)</f>
        <v>0</v>
      </c>
      <c r="CE66" s="210">
        <f>IF(CdTrp2!X84=4,1,0)</f>
        <v>0</v>
      </c>
      <c r="CF66" s="210">
        <f>IF(CdTrp2!Y84=4,1,0)</f>
        <v>0</v>
      </c>
      <c r="CG66" s="210"/>
      <c r="CH66" s="210"/>
      <c r="CI66" s="211"/>
      <c r="CJ66" s="210" t="str">
        <f t="shared" si="23"/>
        <v>lot9</v>
      </c>
      <c r="CK66" s="214">
        <f>IF(CdTrp3!B84=4,1,0)</f>
        <v>0</v>
      </c>
      <c r="CL66" s="214">
        <f>IF(CdTrp3!C84=4,1,0)</f>
        <v>0</v>
      </c>
      <c r="CM66" s="214">
        <f>IF(CdTrp3!D84=4,1,0)</f>
        <v>0</v>
      </c>
      <c r="CN66" s="214">
        <f>IF(CdTrp3!E84=4,1,0)</f>
        <v>0</v>
      </c>
      <c r="CO66" s="214">
        <f>IF(CdTrp3!F84=4,1,0)</f>
        <v>0</v>
      </c>
      <c r="CP66" s="214">
        <f>IF(CdTrp3!G84=4,1,0)</f>
        <v>0</v>
      </c>
      <c r="CQ66" s="214">
        <f>IF(CdTrp3!H84=4,1,0)</f>
        <v>0</v>
      </c>
      <c r="CR66" s="214">
        <f>IF(CdTrp3!I84=4,1,0)</f>
        <v>0</v>
      </c>
      <c r="CS66" s="214">
        <f>IF(CdTrp3!J84=4,1,0)</f>
        <v>0</v>
      </c>
      <c r="CT66" s="214">
        <f>IF(CdTrp3!K84=4,1,0)</f>
        <v>0</v>
      </c>
      <c r="CU66" s="214">
        <f>IF(CdTrp3!L84=4,1,0)</f>
        <v>0</v>
      </c>
      <c r="CV66" s="214">
        <f>IF(CdTrp3!M84=4,1,0)</f>
        <v>0</v>
      </c>
      <c r="CW66" s="214">
        <f>IF(CdTrp3!N84=4,1,0)</f>
        <v>0</v>
      </c>
      <c r="CX66" s="214">
        <f>IF(CdTrp3!O84=4,1,0)</f>
        <v>0</v>
      </c>
      <c r="CY66" s="214">
        <f>IF(CdTrp3!P84=4,1,0)</f>
        <v>0</v>
      </c>
      <c r="CZ66" s="214">
        <f>IF(CdTrp3!Q84=4,1,0)</f>
        <v>0</v>
      </c>
      <c r="DA66" s="214">
        <f>IF(CdTrp3!R84=4,1,0)</f>
        <v>0</v>
      </c>
      <c r="DB66" s="214">
        <f>IF(CdTrp3!S84=4,1,0)</f>
        <v>0</v>
      </c>
      <c r="DC66" s="214">
        <f>IF(CdTrp3!T84=4,1,0)</f>
        <v>0</v>
      </c>
      <c r="DD66" s="214">
        <f>IF(CdTrp3!U84=4,1,0)</f>
        <v>0</v>
      </c>
      <c r="DE66" s="214">
        <f>IF(CdTrp3!V84=4,1,0)</f>
        <v>0</v>
      </c>
      <c r="DF66" s="214">
        <f>IF(CdTrp3!W84=4,1,0)</f>
        <v>0</v>
      </c>
      <c r="DG66" s="214">
        <f>IF(CdTrp3!X84=4,1,0)</f>
        <v>0</v>
      </c>
      <c r="DH66" s="214">
        <f>IF(CdTrp3!Y84=4,1,0)</f>
        <v>0</v>
      </c>
      <c r="DI66" s="210"/>
      <c r="DJ66" s="210"/>
      <c r="DK66" s="211"/>
      <c r="DL66" s="210" t="str">
        <f t="shared" si="24"/>
        <v>lot9</v>
      </c>
      <c r="DM66" s="214">
        <f>IF(CdTrp4!B84=4,1,0)</f>
        <v>0</v>
      </c>
      <c r="DN66" s="214">
        <f>IF(CdTrp4!C84=4,1,0)</f>
        <v>0</v>
      </c>
      <c r="DO66" s="214">
        <f>IF(CdTrp4!D84=4,1,0)</f>
        <v>0</v>
      </c>
      <c r="DP66" s="214">
        <f>IF(CdTrp4!E84=4,1,0)</f>
        <v>0</v>
      </c>
      <c r="DQ66" s="214">
        <f>IF(CdTrp4!F84=4,1,0)</f>
        <v>0</v>
      </c>
      <c r="DR66" s="214">
        <f>IF(CdTrp4!G84=4,1,0)</f>
        <v>0</v>
      </c>
      <c r="DS66" s="214">
        <f>IF(CdTrp4!H84=4,1,0)</f>
        <v>0</v>
      </c>
      <c r="DT66" s="214">
        <f>IF(CdTrp4!I84=4,1,0)</f>
        <v>0</v>
      </c>
      <c r="DU66" s="214">
        <f>IF(CdTrp4!J84=4,1,0)</f>
        <v>0</v>
      </c>
      <c r="DV66" s="214">
        <f>IF(CdTrp4!K84=4,1,0)</f>
        <v>0</v>
      </c>
      <c r="DW66" s="214">
        <f>IF(CdTrp4!L84=4,1,0)</f>
        <v>0</v>
      </c>
      <c r="DX66" s="214">
        <f>IF(CdTrp4!M84=4,1,0)</f>
        <v>0</v>
      </c>
      <c r="DY66" s="214">
        <f>IF(CdTrp4!N84=4,1,0)</f>
        <v>0</v>
      </c>
      <c r="DZ66" s="214">
        <f>IF(CdTrp4!O84=4,1,0)</f>
        <v>0</v>
      </c>
      <c r="EA66" s="214">
        <f>IF(CdTrp4!P84=4,1,0)</f>
        <v>0</v>
      </c>
      <c r="EB66" s="214">
        <f>IF(CdTrp4!Q84=4,1,0)</f>
        <v>0</v>
      </c>
      <c r="EC66" s="214">
        <f>IF(CdTrp4!R84=4,1,0)</f>
        <v>0</v>
      </c>
      <c r="ED66" s="214">
        <f>IF(CdTrp4!S84=4,1,0)</f>
        <v>0</v>
      </c>
      <c r="EE66" s="214">
        <f>IF(CdTrp4!T84=4,1,0)</f>
        <v>0</v>
      </c>
      <c r="EF66" s="214">
        <f>IF(CdTrp4!U84=4,1,0)</f>
        <v>0</v>
      </c>
      <c r="EG66" s="214">
        <f>IF(CdTrp4!V84=4,1,0)</f>
        <v>0</v>
      </c>
      <c r="EH66" s="214">
        <f>IF(CdTrp4!W84=4,1,0)</f>
        <v>0</v>
      </c>
      <c r="EI66" s="214">
        <f>IF(CdTrp4!X84=4,1,0)</f>
        <v>0</v>
      </c>
      <c r="EJ66" s="214">
        <f>IF(CdTrp4!Y84=4,1,0)</f>
        <v>0</v>
      </c>
    </row>
    <row r="67" spans="1:143" x14ac:dyDescent="0.25">
      <c r="A67" s="5"/>
      <c r="B67" s="5"/>
      <c r="C67" s="5"/>
      <c r="D67" s="5"/>
      <c r="X67" s="210"/>
      <c r="Y67" s="210"/>
      <c r="Z67" s="210"/>
      <c r="AA67" s="210"/>
      <c r="AB67" s="210"/>
      <c r="AC67" s="210"/>
      <c r="AD67" s="210"/>
      <c r="AE67" s="210"/>
      <c r="AF67" s="210"/>
      <c r="AG67" s="253" t="str">
        <f>CdTrp1!A85</f>
        <v>lot10</v>
      </c>
      <c r="AH67" s="214">
        <f>IF(CdTrp1!B85=4,1,0)</f>
        <v>0</v>
      </c>
      <c r="AI67" s="214">
        <f>IF(CdTrp1!C85=4,1,0)</f>
        <v>0</v>
      </c>
      <c r="AJ67" s="214">
        <f>IF(CdTrp1!D85=4,1,0)</f>
        <v>0</v>
      </c>
      <c r="AK67" s="214">
        <f>IF(CdTrp1!E85=4,1,0)</f>
        <v>0</v>
      </c>
      <c r="AL67" s="214">
        <f>IF(CdTrp1!F85=4,1,0)</f>
        <v>0</v>
      </c>
      <c r="AM67" s="214">
        <f>IF(CdTrp1!G85=4,1,0)</f>
        <v>0</v>
      </c>
      <c r="AN67" s="214">
        <f>IF(CdTrp1!H85=4,1,0)</f>
        <v>0</v>
      </c>
      <c r="AO67" s="214">
        <f>IF(CdTrp1!I85=4,1,0)</f>
        <v>0</v>
      </c>
      <c r="AP67" s="214">
        <f>IF(CdTrp1!J85=4,1,0)</f>
        <v>0</v>
      </c>
      <c r="AQ67" s="214">
        <f>IF(CdTrp1!K85=4,1,0)</f>
        <v>0</v>
      </c>
      <c r="AR67" s="214">
        <f>IF(CdTrp1!L85=4,1,0)</f>
        <v>0</v>
      </c>
      <c r="AS67" s="214">
        <f>IF(CdTrp1!M85=4,1,0)</f>
        <v>0</v>
      </c>
      <c r="AT67" s="214">
        <f>IF(CdTrp1!N85=4,1,0)</f>
        <v>0</v>
      </c>
      <c r="AU67" s="214">
        <f>IF(CdTrp1!O85=4,1,0)</f>
        <v>0</v>
      </c>
      <c r="AV67" s="214">
        <f>IF(CdTrp1!P85=4,1,0)</f>
        <v>0</v>
      </c>
      <c r="AW67" s="214">
        <f>IF(CdTrp1!Q85=4,1,0)</f>
        <v>0</v>
      </c>
      <c r="AX67" s="214">
        <f>IF(CdTrp1!R85=4,1,0)</f>
        <v>0</v>
      </c>
      <c r="AY67" s="214">
        <f>IF(CdTrp1!S85=4,1,0)</f>
        <v>0</v>
      </c>
      <c r="AZ67" s="214">
        <f>IF(CdTrp1!T85=4,1,0)</f>
        <v>0</v>
      </c>
      <c r="BA67" s="214">
        <f>IF(CdTrp1!U85=4,1,0)</f>
        <v>0</v>
      </c>
      <c r="BB67" s="214">
        <f>IF(CdTrp1!V85=4,1,0)</f>
        <v>0</v>
      </c>
      <c r="BC67" s="214">
        <f>IF(CdTrp1!W85=4,1,0)</f>
        <v>0</v>
      </c>
      <c r="BD67" s="214">
        <f>IF(CdTrp1!X85=4,1,0)</f>
        <v>0</v>
      </c>
      <c r="BE67" s="214">
        <f>IF(CdTrp1!Y85=4,1,0)</f>
        <v>0</v>
      </c>
      <c r="BF67" s="210"/>
      <c r="BG67" s="211"/>
      <c r="BH67" s="210" t="str">
        <f t="shared" si="22"/>
        <v>lot10</v>
      </c>
      <c r="BI67" s="210">
        <f>IF(CdTrp2!B85=4,1,0)</f>
        <v>0</v>
      </c>
      <c r="BJ67" s="210">
        <f>IF(CdTrp2!C85=4,1,0)</f>
        <v>0</v>
      </c>
      <c r="BK67" s="210">
        <f>IF(CdTrp2!D85=4,1,0)</f>
        <v>0</v>
      </c>
      <c r="BL67" s="210">
        <f>IF(CdTrp2!E85=4,1,0)</f>
        <v>0</v>
      </c>
      <c r="BM67" s="210">
        <f>IF(CdTrp2!F85=4,1,0)</f>
        <v>0</v>
      </c>
      <c r="BN67" s="210">
        <f>IF(CdTrp2!G85=4,1,0)</f>
        <v>0</v>
      </c>
      <c r="BO67" s="210">
        <f>IF(CdTrp2!H85=4,1,0)</f>
        <v>0</v>
      </c>
      <c r="BP67" s="210">
        <f>IF(CdTrp2!I85=4,1,0)</f>
        <v>0</v>
      </c>
      <c r="BQ67" s="210">
        <f>IF(CdTrp2!J85=4,1,0)</f>
        <v>0</v>
      </c>
      <c r="BR67" s="210">
        <f>IF(CdTrp2!K85=4,1,0)</f>
        <v>0</v>
      </c>
      <c r="BS67" s="210">
        <f>IF(CdTrp2!L85=4,1,0)</f>
        <v>0</v>
      </c>
      <c r="BT67" s="210">
        <f>IF(CdTrp2!M85=4,1,0)</f>
        <v>0</v>
      </c>
      <c r="BU67" s="210">
        <f>IF(CdTrp2!N85=4,1,0)</f>
        <v>0</v>
      </c>
      <c r="BV67" s="210">
        <f>IF(CdTrp2!O85=4,1,0)</f>
        <v>0</v>
      </c>
      <c r="BW67" s="210">
        <f>IF(CdTrp2!P85=4,1,0)</f>
        <v>0</v>
      </c>
      <c r="BX67" s="210">
        <f>IF(CdTrp2!Q85=4,1,0)</f>
        <v>0</v>
      </c>
      <c r="BY67" s="210">
        <f>IF(CdTrp2!R85=4,1,0)</f>
        <v>0</v>
      </c>
      <c r="BZ67" s="210">
        <f>IF(CdTrp2!S85=4,1,0)</f>
        <v>0</v>
      </c>
      <c r="CA67" s="210">
        <f>IF(CdTrp2!T85=4,1,0)</f>
        <v>0</v>
      </c>
      <c r="CB67" s="210">
        <f>IF(CdTrp2!U85=4,1,0)</f>
        <v>0</v>
      </c>
      <c r="CC67" s="210">
        <f>IF(CdTrp2!V85=4,1,0)</f>
        <v>0</v>
      </c>
      <c r="CD67" s="210">
        <f>IF(CdTrp2!W85=4,1,0)</f>
        <v>0</v>
      </c>
      <c r="CE67" s="210">
        <f>IF(CdTrp2!X85=4,1,0)</f>
        <v>0</v>
      </c>
      <c r="CF67" s="210">
        <f>IF(CdTrp2!Y85=4,1,0)</f>
        <v>0</v>
      </c>
      <c r="CG67" s="210"/>
      <c r="CH67" s="210"/>
      <c r="CI67" s="211"/>
      <c r="CJ67" s="210" t="str">
        <f t="shared" si="23"/>
        <v>lot10</v>
      </c>
      <c r="CK67" s="214">
        <f>IF(CdTrp3!B85=4,1,0)</f>
        <v>0</v>
      </c>
      <c r="CL67" s="214">
        <f>IF(CdTrp3!C85=4,1,0)</f>
        <v>0</v>
      </c>
      <c r="CM67" s="214">
        <f>IF(CdTrp3!D85=4,1,0)</f>
        <v>0</v>
      </c>
      <c r="CN67" s="214">
        <f>IF(CdTrp3!E85=4,1,0)</f>
        <v>0</v>
      </c>
      <c r="CO67" s="214">
        <f>IF(CdTrp3!F85=4,1,0)</f>
        <v>0</v>
      </c>
      <c r="CP67" s="214">
        <f>IF(CdTrp3!G85=4,1,0)</f>
        <v>0</v>
      </c>
      <c r="CQ67" s="214">
        <f>IF(CdTrp3!H85=4,1,0)</f>
        <v>0</v>
      </c>
      <c r="CR67" s="214">
        <f>IF(CdTrp3!I85=4,1,0)</f>
        <v>0</v>
      </c>
      <c r="CS67" s="214">
        <f>IF(CdTrp3!J85=4,1,0)</f>
        <v>0</v>
      </c>
      <c r="CT67" s="214">
        <f>IF(CdTrp3!K85=4,1,0)</f>
        <v>0</v>
      </c>
      <c r="CU67" s="214">
        <f>IF(CdTrp3!L85=4,1,0)</f>
        <v>0</v>
      </c>
      <c r="CV67" s="214">
        <f>IF(CdTrp3!M85=4,1,0)</f>
        <v>0</v>
      </c>
      <c r="CW67" s="214">
        <f>IF(CdTrp3!N85=4,1,0)</f>
        <v>0</v>
      </c>
      <c r="CX67" s="214">
        <f>IF(CdTrp3!O85=4,1,0)</f>
        <v>0</v>
      </c>
      <c r="CY67" s="214">
        <f>IF(CdTrp3!P85=4,1,0)</f>
        <v>0</v>
      </c>
      <c r="CZ67" s="214">
        <f>IF(CdTrp3!Q85=4,1,0)</f>
        <v>0</v>
      </c>
      <c r="DA67" s="214">
        <f>IF(CdTrp3!R85=4,1,0)</f>
        <v>0</v>
      </c>
      <c r="DB67" s="214">
        <f>IF(CdTrp3!S85=4,1,0)</f>
        <v>0</v>
      </c>
      <c r="DC67" s="214">
        <f>IF(CdTrp3!T85=4,1,0)</f>
        <v>0</v>
      </c>
      <c r="DD67" s="214">
        <f>IF(CdTrp3!U85=4,1,0)</f>
        <v>0</v>
      </c>
      <c r="DE67" s="214">
        <f>IF(CdTrp3!V85=4,1,0)</f>
        <v>0</v>
      </c>
      <c r="DF67" s="214">
        <f>IF(CdTrp3!W85=4,1,0)</f>
        <v>0</v>
      </c>
      <c r="DG67" s="214">
        <f>IF(CdTrp3!X85=4,1,0)</f>
        <v>0</v>
      </c>
      <c r="DH67" s="214">
        <f>IF(CdTrp3!Y85=4,1,0)</f>
        <v>0</v>
      </c>
      <c r="DI67" s="210"/>
      <c r="DJ67" s="210"/>
      <c r="DK67" s="211"/>
      <c r="DL67" s="210" t="str">
        <f t="shared" si="24"/>
        <v>lot10</v>
      </c>
      <c r="DM67" s="214">
        <f>IF(CdTrp4!B85=4,1,0)</f>
        <v>0</v>
      </c>
      <c r="DN67" s="214">
        <f>IF(CdTrp4!C85=4,1,0)</f>
        <v>0</v>
      </c>
      <c r="DO67" s="214">
        <f>IF(CdTrp4!D85=4,1,0)</f>
        <v>0</v>
      </c>
      <c r="DP67" s="214">
        <f>IF(CdTrp4!E85=4,1,0)</f>
        <v>0</v>
      </c>
      <c r="DQ67" s="214">
        <f>IF(CdTrp4!F85=4,1,0)</f>
        <v>0</v>
      </c>
      <c r="DR67" s="214">
        <f>IF(CdTrp4!G85=4,1,0)</f>
        <v>0</v>
      </c>
      <c r="DS67" s="214">
        <f>IF(CdTrp4!H85=4,1,0)</f>
        <v>0</v>
      </c>
      <c r="DT67" s="214">
        <f>IF(CdTrp4!I85=4,1,0)</f>
        <v>0</v>
      </c>
      <c r="DU67" s="214">
        <f>IF(CdTrp4!J85=4,1,0)</f>
        <v>0</v>
      </c>
      <c r="DV67" s="214">
        <f>IF(CdTrp4!K85=4,1,0)</f>
        <v>0</v>
      </c>
      <c r="DW67" s="214">
        <f>IF(CdTrp4!L85=4,1,0)</f>
        <v>0</v>
      </c>
      <c r="DX67" s="214">
        <f>IF(CdTrp4!M85=4,1,0)</f>
        <v>0</v>
      </c>
      <c r="DY67" s="214">
        <f>IF(CdTrp4!N85=4,1,0)</f>
        <v>0</v>
      </c>
      <c r="DZ67" s="214">
        <f>IF(CdTrp4!O85=4,1,0)</f>
        <v>0</v>
      </c>
      <c r="EA67" s="214">
        <f>IF(CdTrp4!P85=4,1,0)</f>
        <v>0</v>
      </c>
      <c r="EB67" s="214">
        <f>IF(CdTrp4!Q85=4,1,0)</f>
        <v>0</v>
      </c>
      <c r="EC67" s="214">
        <f>IF(CdTrp4!R85=4,1,0)</f>
        <v>0</v>
      </c>
      <c r="ED67" s="214">
        <f>IF(CdTrp4!S85=4,1,0)</f>
        <v>0</v>
      </c>
      <c r="EE67" s="214">
        <f>IF(CdTrp4!T85=4,1,0)</f>
        <v>0</v>
      </c>
      <c r="EF67" s="214">
        <f>IF(CdTrp4!U85=4,1,0)</f>
        <v>0</v>
      </c>
      <c r="EG67" s="214">
        <f>IF(CdTrp4!V85=4,1,0)</f>
        <v>0</v>
      </c>
      <c r="EH67" s="214">
        <f>IF(CdTrp4!W85=4,1,0)</f>
        <v>0</v>
      </c>
      <c r="EI67" s="214">
        <f>IF(CdTrp4!X85=4,1,0)</f>
        <v>0</v>
      </c>
      <c r="EJ67" s="214">
        <f>IF(CdTrp4!Y85=4,1,0)</f>
        <v>0</v>
      </c>
    </row>
    <row r="68" spans="1:143" x14ac:dyDescent="0.25">
      <c r="A68" s="5"/>
      <c r="B68" s="5"/>
      <c r="C68" s="5"/>
      <c r="D68" s="5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1"/>
      <c r="BH68" s="210"/>
      <c r="BI68" s="210"/>
      <c r="BJ68" s="210"/>
      <c r="BK68" s="210"/>
      <c r="BL68" s="210"/>
      <c r="BM68" s="210"/>
      <c r="BN68" s="210"/>
      <c r="BO68" s="210"/>
      <c r="BP68" s="210"/>
      <c r="BQ68" s="210"/>
      <c r="BR68" s="210"/>
      <c r="BS68" s="210"/>
      <c r="BT68" s="210"/>
      <c r="BU68" s="210"/>
      <c r="BV68" s="210"/>
      <c r="BW68" s="210"/>
      <c r="BX68" s="210"/>
      <c r="BY68" s="210"/>
      <c r="BZ68" s="210"/>
      <c r="CA68" s="210"/>
      <c r="CB68" s="210"/>
      <c r="CC68" s="210"/>
      <c r="CD68" s="210"/>
      <c r="CE68" s="210"/>
      <c r="CF68" s="210"/>
      <c r="CG68" s="210"/>
      <c r="CH68" s="210"/>
      <c r="CI68" s="211"/>
      <c r="CJ68" s="210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4"/>
      <c r="CY68" s="214"/>
      <c r="CZ68" s="214"/>
      <c r="DA68" s="214"/>
      <c r="DB68" s="214"/>
      <c r="DC68" s="214"/>
      <c r="DD68" s="214"/>
      <c r="DE68" s="214"/>
      <c r="DF68" s="214"/>
      <c r="DG68" s="214"/>
      <c r="DH68" s="214"/>
      <c r="DI68" s="210"/>
      <c r="DJ68" s="210"/>
      <c r="DK68" s="211"/>
      <c r="DL68" s="210"/>
      <c r="DM68" s="214"/>
      <c r="DN68" s="214"/>
      <c r="DO68" s="214"/>
      <c r="DP68" s="214"/>
      <c r="DQ68" s="214"/>
      <c r="DR68" s="214"/>
      <c r="DS68" s="214"/>
      <c r="DT68" s="214"/>
      <c r="DU68" s="214"/>
      <c r="DV68" s="214"/>
      <c r="DW68" s="214"/>
      <c r="DX68" s="214"/>
      <c r="DY68" s="214"/>
      <c r="DZ68" s="214"/>
      <c r="EA68" s="214"/>
      <c r="EB68" s="214"/>
      <c r="EC68" s="214"/>
      <c r="ED68" s="214"/>
      <c r="EE68" s="214"/>
      <c r="EF68" s="214"/>
      <c r="EG68" s="214"/>
      <c r="EH68" s="214"/>
      <c r="EI68" s="214"/>
      <c r="EJ68" s="214"/>
    </row>
    <row r="69" spans="1:143" x14ac:dyDescent="0.25">
      <c r="A69" s="5"/>
      <c r="B69" s="5"/>
      <c r="C69" s="5"/>
      <c r="D69" s="5"/>
      <c r="X69" s="210"/>
      <c r="Y69" s="210"/>
      <c r="Z69" s="210"/>
      <c r="AA69" s="210"/>
      <c r="AB69" s="210"/>
      <c r="AC69" s="210"/>
      <c r="AD69" s="210"/>
      <c r="AE69" s="210"/>
      <c r="AF69" s="217" t="s">
        <v>986</v>
      </c>
      <c r="AG69" s="210" t="str">
        <f t="shared" ref="AG69:AG78" si="25">AG58</f>
        <v xml:space="preserve">Vaches </v>
      </c>
      <c r="AH69" s="214">
        <f t="shared" ref="AH69:BE78" si="26">AH47*AH58</f>
        <v>0</v>
      </c>
      <c r="AI69" s="214">
        <f t="shared" si="26"/>
        <v>0</v>
      </c>
      <c r="AJ69" s="214">
        <f t="shared" si="26"/>
        <v>0</v>
      </c>
      <c r="AK69" s="214">
        <f t="shared" si="26"/>
        <v>0</v>
      </c>
      <c r="AL69" s="214">
        <f t="shared" si="26"/>
        <v>0</v>
      </c>
      <c r="AM69" s="214">
        <f t="shared" si="26"/>
        <v>0</v>
      </c>
      <c r="AN69" s="214">
        <f t="shared" si="26"/>
        <v>0</v>
      </c>
      <c r="AO69" s="214">
        <f t="shared" si="26"/>
        <v>0</v>
      </c>
      <c r="AP69" s="214">
        <f t="shared" si="26"/>
        <v>0</v>
      </c>
      <c r="AQ69" s="214">
        <f t="shared" si="26"/>
        <v>0</v>
      </c>
      <c r="AR69" s="214">
        <f t="shared" si="26"/>
        <v>0</v>
      </c>
      <c r="AS69" s="214">
        <f t="shared" si="26"/>
        <v>0</v>
      </c>
      <c r="AT69" s="214">
        <f t="shared" si="26"/>
        <v>0</v>
      </c>
      <c r="AU69" s="214">
        <f t="shared" si="26"/>
        <v>0</v>
      </c>
      <c r="AV69" s="214">
        <f t="shared" si="26"/>
        <v>0</v>
      </c>
      <c r="AW69" s="214">
        <f t="shared" si="26"/>
        <v>0</v>
      </c>
      <c r="AX69" s="214">
        <f t="shared" si="26"/>
        <v>0</v>
      </c>
      <c r="AY69" s="214">
        <f t="shared" si="26"/>
        <v>0</v>
      </c>
      <c r="AZ69" s="214">
        <f t="shared" si="26"/>
        <v>0</v>
      </c>
      <c r="BA69" s="214">
        <f t="shared" si="26"/>
        <v>0</v>
      </c>
      <c r="BB69" s="214">
        <f t="shared" si="26"/>
        <v>0</v>
      </c>
      <c r="BC69" s="214">
        <f t="shared" si="26"/>
        <v>0</v>
      </c>
      <c r="BD69" s="214">
        <f t="shared" si="26"/>
        <v>0</v>
      </c>
      <c r="BE69" s="214">
        <f t="shared" si="26"/>
        <v>0</v>
      </c>
      <c r="BF69" s="210"/>
      <c r="BG69" s="211" t="s">
        <v>986</v>
      </c>
      <c r="BH69" s="210" t="str">
        <f t="shared" ref="BH69:BH78" si="27">BH58</f>
        <v>lot1</v>
      </c>
      <c r="BI69" s="210">
        <f t="shared" ref="BI69:CF78" si="28">BI47*BI58</f>
        <v>0</v>
      </c>
      <c r="BJ69" s="210">
        <f t="shared" si="28"/>
        <v>0</v>
      </c>
      <c r="BK69" s="210">
        <f t="shared" si="28"/>
        <v>0</v>
      </c>
      <c r="BL69" s="210">
        <f t="shared" si="28"/>
        <v>0</v>
      </c>
      <c r="BM69" s="210">
        <f t="shared" si="28"/>
        <v>0</v>
      </c>
      <c r="BN69" s="210">
        <f t="shared" si="28"/>
        <v>0</v>
      </c>
      <c r="BO69" s="210">
        <f t="shared" si="28"/>
        <v>0</v>
      </c>
      <c r="BP69" s="210">
        <f t="shared" si="28"/>
        <v>0</v>
      </c>
      <c r="BQ69" s="210">
        <f t="shared" si="28"/>
        <v>0</v>
      </c>
      <c r="BR69" s="210">
        <f t="shared" si="28"/>
        <v>0</v>
      </c>
      <c r="BS69" s="210">
        <f t="shared" si="28"/>
        <v>0</v>
      </c>
      <c r="BT69" s="210">
        <f t="shared" si="28"/>
        <v>0</v>
      </c>
      <c r="BU69" s="210">
        <f t="shared" si="28"/>
        <v>0</v>
      </c>
      <c r="BV69" s="210">
        <f t="shared" si="28"/>
        <v>0</v>
      </c>
      <c r="BW69" s="210">
        <f t="shared" si="28"/>
        <v>0</v>
      </c>
      <c r="BX69" s="210">
        <f t="shared" si="28"/>
        <v>0</v>
      </c>
      <c r="BY69" s="210">
        <f t="shared" si="28"/>
        <v>0</v>
      </c>
      <c r="BZ69" s="210">
        <f t="shared" si="28"/>
        <v>0</v>
      </c>
      <c r="CA69" s="210">
        <f t="shared" si="28"/>
        <v>0</v>
      </c>
      <c r="CB69" s="210">
        <f t="shared" si="28"/>
        <v>0</v>
      </c>
      <c r="CC69" s="210">
        <f t="shared" si="28"/>
        <v>0</v>
      </c>
      <c r="CD69" s="210">
        <f t="shared" si="28"/>
        <v>0</v>
      </c>
      <c r="CE69" s="210">
        <f t="shared" si="28"/>
        <v>0</v>
      </c>
      <c r="CF69" s="210">
        <f t="shared" si="28"/>
        <v>0</v>
      </c>
      <c r="CG69" s="210"/>
      <c r="CH69" s="210"/>
      <c r="CI69" s="211" t="s">
        <v>986</v>
      </c>
      <c r="CJ69" s="210" t="str">
        <f t="shared" ref="CJ69:CJ78" si="29">CJ58</f>
        <v>lot1</v>
      </c>
      <c r="CK69" s="214">
        <f t="shared" ref="CK69:DH78" si="30">CK47*CK58</f>
        <v>0</v>
      </c>
      <c r="CL69" s="214">
        <f t="shared" si="30"/>
        <v>0</v>
      </c>
      <c r="CM69" s="214">
        <f t="shared" si="30"/>
        <v>0</v>
      </c>
      <c r="CN69" s="214">
        <f t="shared" si="30"/>
        <v>0</v>
      </c>
      <c r="CO69" s="214">
        <f t="shared" si="30"/>
        <v>0</v>
      </c>
      <c r="CP69" s="214">
        <f t="shared" si="30"/>
        <v>0</v>
      </c>
      <c r="CQ69" s="214">
        <f t="shared" si="30"/>
        <v>0</v>
      </c>
      <c r="CR69" s="214">
        <f t="shared" si="30"/>
        <v>0</v>
      </c>
      <c r="CS69" s="214">
        <f t="shared" si="30"/>
        <v>0</v>
      </c>
      <c r="CT69" s="214">
        <f t="shared" si="30"/>
        <v>0</v>
      </c>
      <c r="CU69" s="214">
        <f t="shared" si="30"/>
        <v>0</v>
      </c>
      <c r="CV69" s="214">
        <f t="shared" si="30"/>
        <v>0</v>
      </c>
      <c r="CW69" s="214">
        <f t="shared" si="30"/>
        <v>0</v>
      </c>
      <c r="CX69" s="214">
        <f t="shared" si="30"/>
        <v>0</v>
      </c>
      <c r="CY69" s="214">
        <f t="shared" si="30"/>
        <v>0</v>
      </c>
      <c r="CZ69" s="214">
        <f t="shared" si="30"/>
        <v>0</v>
      </c>
      <c r="DA69" s="214">
        <f t="shared" si="30"/>
        <v>0</v>
      </c>
      <c r="DB69" s="214">
        <f t="shared" si="30"/>
        <v>0</v>
      </c>
      <c r="DC69" s="214">
        <f t="shared" si="30"/>
        <v>0</v>
      </c>
      <c r="DD69" s="214">
        <f t="shared" si="30"/>
        <v>0</v>
      </c>
      <c r="DE69" s="214">
        <f t="shared" si="30"/>
        <v>0</v>
      </c>
      <c r="DF69" s="214">
        <f t="shared" si="30"/>
        <v>0</v>
      </c>
      <c r="DG69" s="214">
        <f t="shared" si="30"/>
        <v>0</v>
      </c>
      <c r="DH69" s="214">
        <f t="shared" si="30"/>
        <v>0</v>
      </c>
      <c r="DI69" s="210"/>
      <c r="DJ69" s="210"/>
      <c r="DK69" s="211" t="s">
        <v>986</v>
      </c>
      <c r="DL69" s="210" t="str">
        <f t="shared" ref="DL69:DL78" si="31">DL58</f>
        <v>lot1</v>
      </c>
      <c r="DM69" s="214">
        <f t="shared" ref="DM69:EJ78" si="32">DM47*DM58</f>
        <v>0</v>
      </c>
      <c r="DN69" s="214">
        <f t="shared" si="32"/>
        <v>0</v>
      </c>
      <c r="DO69" s="214">
        <f t="shared" si="32"/>
        <v>0</v>
      </c>
      <c r="DP69" s="214">
        <f t="shared" si="32"/>
        <v>0</v>
      </c>
      <c r="DQ69" s="214">
        <f t="shared" si="32"/>
        <v>0</v>
      </c>
      <c r="DR69" s="214">
        <f t="shared" si="32"/>
        <v>0</v>
      </c>
      <c r="DS69" s="214">
        <f t="shared" si="32"/>
        <v>0</v>
      </c>
      <c r="DT69" s="214">
        <f t="shared" si="32"/>
        <v>0</v>
      </c>
      <c r="DU69" s="214">
        <f t="shared" si="32"/>
        <v>0</v>
      </c>
      <c r="DV69" s="214">
        <f t="shared" si="32"/>
        <v>0</v>
      </c>
      <c r="DW69" s="214">
        <f t="shared" si="32"/>
        <v>0</v>
      </c>
      <c r="DX69" s="214">
        <f t="shared" si="32"/>
        <v>0</v>
      </c>
      <c r="DY69" s="214">
        <f t="shared" si="32"/>
        <v>0</v>
      </c>
      <c r="DZ69" s="214">
        <f t="shared" si="32"/>
        <v>0</v>
      </c>
      <c r="EA69" s="214">
        <f t="shared" si="32"/>
        <v>0</v>
      </c>
      <c r="EB69" s="214">
        <f t="shared" si="32"/>
        <v>0</v>
      </c>
      <c r="EC69" s="214">
        <f t="shared" si="32"/>
        <v>0</v>
      </c>
      <c r="ED69" s="214">
        <f t="shared" si="32"/>
        <v>0</v>
      </c>
      <c r="EE69" s="214">
        <f t="shared" si="32"/>
        <v>0</v>
      </c>
      <c r="EF69" s="214">
        <f t="shared" si="32"/>
        <v>0</v>
      </c>
      <c r="EG69" s="214">
        <f t="shared" si="32"/>
        <v>0</v>
      </c>
      <c r="EH69" s="214">
        <f t="shared" si="32"/>
        <v>0</v>
      </c>
      <c r="EI69" s="214">
        <f t="shared" si="32"/>
        <v>0</v>
      </c>
      <c r="EJ69" s="214">
        <f t="shared" si="32"/>
        <v>0</v>
      </c>
    </row>
    <row r="70" spans="1:143" x14ac:dyDescent="0.25">
      <c r="A70" s="5"/>
      <c r="B70" s="5"/>
      <c r="C70" s="5"/>
      <c r="D70" s="5"/>
      <c r="X70" s="210"/>
      <c r="Y70" s="210"/>
      <c r="Z70" s="210"/>
      <c r="AA70" s="210"/>
      <c r="AB70" s="210"/>
      <c r="AC70" s="210"/>
      <c r="AD70" s="210"/>
      <c r="AE70" s="210"/>
      <c r="AF70" s="210"/>
      <c r="AG70" s="210" t="str">
        <f t="shared" si="25"/>
        <v>Génisses 24 mois</v>
      </c>
      <c r="AH70" s="214">
        <f t="shared" si="26"/>
        <v>0</v>
      </c>
      <c r="AI70" s="214">
        <f t="shared" si="26"/>
        <v>0</v>
      </c>
      <c r="AJ70" s="214">
        <f t="shared" si="26"/>
        <v>0</v>
      </c>
      <c r="AK70" s="214">
        <f t="shared" si="26"/>
        <v>0</v>
      </c>
      <c r="AL70" s="214">
        <f t="shared" si="26"/>
        <v>0</v>
      </c>
      <c r="AM70" s="214">
        <f t="shared" si="26"/>
        <v>0</v>
      </c>
      <c r="AN70" s="214">
        <f t="shared" si="26"/>
        <v>0</v>
      </c>
      <c r="AO70" s="214">
        <f t="shared" si="26"/>
        <v>0</v>
      </c>
      <c r="AP70" s="214">
        <f t="shared" si="26"/>
        <v>0</v>
      </c>
      <c r="AQ70" s="214">
        <f t="shared" si="26"/>
        <v>0</v>
      </c>
      <c r="AR70" s="214">
        <f t="shared" si="26"/>
        <v>0</v>
      </c>
      <c r="AS70" s="214">
        <f t="shared" si="26"/>
        <v>0</v>
      </c>
      <c r="AT70" s="214">
        <f t="shared" si="26"/>
        <v>0</v>
      </c>
      <c r="AU70" s="214">
        <f t="shared" si="26"/>
        <v>0</v>
      </c>
      <c r="AV70" s="214">
        <f t="shared" si="26"/>
        <v>0</v>
      </c>
      <c r="AW70" s="214">
        <f t="shared" si="26"/>
        <v>0</v>
      </c>
      <c r="AX70" s="214">
        <f t="shared" si="26"/>
        <v>0</v>
      </c>
      <c r="AY70" s="214">
        <f t="shared" si="26"/>
        <v>0</v>
      </c>
      <c r="AZ70" s="214">
        <f t="shared" si="26"/>
        <v>0</v>
      </c>
      <c r="BA70" s="214">
        <f t="shared" si="26"/>
        <v>0</v>
      </c>
      <c r="BB70" s="214">
        <f t="shared" si="26"/>
        <v>0</v>
      </c>
      <c r="BC70" s="214">
        <f t="shared" si="26"/>
        <v>0</v>
      </c>
      <c r="BD70" s="214">
        <f t="shared" si="26"/>
        <v>0</v>
      </c>
      <c r="BE70" s="214">
        <f t="shared" si="26"/>
        <v>0</v>
      </c>
      <c r="BF70" s="210"/>
      <c r="BG70" s="211"/>
      <c r="BH70" s="210" t="str">
        <f t="shared" si="27"/>
        <v>lot2</v>
      </c>
      <c r="BI70" s="210">
        <f t="shared" si="28"/>
        <v>0</v>
      </c>
      <c r="BJ70" s="210">
        <f t="shared" si="28"/>
        <v>0</v>
      </c>
      <c r="BK70" s="210">
        <f t="shared" si="28"/>
        <v>0</v>
      </c>
      <c r="BL70" s="210">
        <f t="shared" si="28"/>
        <v>0</v>
      </c>
      <c r="BM70" s="210">
        <f t="shared" si="28"/>
        <v>0</v>
      </c>
      <c r="BN70" s="210">
        <f t="shared" si="28"/>
        <v>0</v>
      </c>
      <c r="BO70" s="210">
        <f t="shared" si="28"/>
        <v>0</v>
      </c>
      <c r="BP70" s="210">
        <f t="shared" si="28"/>
        <v>0</v>
      </c>
      <c r="BQ70" s="210">
        <f t="shared" si="28"/>
        <v>0</v>
      </c>
      <c r="BR70" s="210">
        <f t="shared" si="28"/>
        <v>0</v>
      </c>
      <c r="BS70" s="210">
        <f t="shared" si="28"/>
        <v>0</v>
      </c>
      <c r="BT70" s="210">
        <f t="shared" si="28"/>
        <v>0</v>
      </c>
      <c r="BU70" s="210">
        <f t="shared" si="28"/>
        <v>0</v>
      </c>
      <c r="BV70" s="210">
        <f t="shared" si="28"/>
        <v>0</v>
      </c>
      <c r="BW70" s="210">
        <f t="shared" si="28"/>
        <v>0</v>
      </c>
      <c r="BX70" s="210">
        <f t="shared" si="28"/>
        <v>0</v>
      </c>
      <c r="BY70" s="210">
        <f t="shared" si="28"/>
        <v>0</v>
      </c>
      <c r="BZ70" s="210">
        <f t="shared" si="28"/>
        <v>0</v>
      </c>
      <c r="CA70" s="210">
        <f t="shared" si="28"/>
        <v>0</v>
      </c>
      <c r="CB70" s="210">
        <f t="shared" si="28"/>
        <v>0</v>
      </c>
      <c r="CC70" s="210">
        <f t="shared" si="28"/>
        <v>0</v>
      </c>
      <c r="CD70" s="210">
        <f t="shared" si="28"/>
        <v>0</v>
      </c>
      <c r="CE70" s="210">
        <f t="shared" si="28"/>
        <v>0</v>
      </c>
      <c r="CF70" s="210">
        <f t="shared" si="28"/>
        <v>0</v>
      </c>
      <c r="CG70" s="210"/>
      <c r="CH70" s="210"/>
      <c r="CI70" s="211"/>
      <c r="CJ70" s="210" t="str">
        <f t="shared" si="29"/>
        <v>lot2</v>
      </c>
      <c r="CK70" s="214">
        <f t="shared" si="30"/>
        <v>0</v>
      </c>
      <c r="CL70" s="214">
        <f t="shared" si="30"/>
        <v>0</v>
      </c>
      <c r="CM70" s="214">
        <f t="shared" si="30"/>
        <v>0</v>
      </c>
      <c r="CN70" s="214">
        <f t="shared" si="30"/>
        <v>0</v>
      </c>
      <c r="CO70" s="214">
        <f t="shared" si="30"/>
        <v>0</v>
      </c>
      <c r="CP70" s="214">
        <f t="shared" si="30"/>
        <v>0</v>
      </c>
      <c r="CQ70" s="214">
        <f t="shared" si="30"/>
        <v>0</v>
      </c>
      <c r="CR70" s="214">
        <f t="shared" si="30"/>
        <v>0</v>
      </c>
      <c r="CS70" s="214">
        <f t="shared" si="30"/>
        <v>0</v>
      </c>
      <c r="CT70" s="214">
        <f t="shared" si="30"/>
        <v>0</v>
      </c>
      <c r="CU70" s="214">
        <f t="shared" si="30"/>
        <v>0</v>
      </c>
      <c r="CV70" s="214">
        <f t="shared" si="30"/>
        <v>0</v>
      </c>
      <c r="CW70" s="214">
        <f t="shared" si="30"/>
        <v>0</v>
      </c>
      <c r="CX70" s="214">
        <f t="shared" si="30"/>
        <v>0</v>
      </c>
      <c r="CY70" s="214">
        <f t="shared" si="30"/>
        <v>0</v>
      </c>
      <c r="CZ70" s="214">
        <f t="shared" si="30"/>
        <v>0</v>
      </c>
      <c r="DA70" s="214">
        <f t="shared" si="30"/>
        <v>0</v>
      </c>
      <c r="DB70" s="214">
        <f t="shared" si="30"/>
        <v>0</v>
      </c>
      <c r="DC70" s="214">
        <f t="shared" si="30"/>
        <v>0</v>
      </c>
      <c r="DD70" s="214">
        <f t="shared" si="30"/>
        <v>0</v>
      </c>
      <c r="DE70" s="214">
        <f t="shared" si="30"/>
        <v>0</v>
      </c>
      <c r="DF70" s="214">
        <f t="shared" si="30"/>
        <v>0</v>
      </c>
      <c r="DG70" s="214">
        <f t="shared" si="30"/>
        <v>0</v>
      </c>
      <c r="DH70" s="214">
        <f t="shared" si="30"/>
        <v>0</v>
      </c>
      <c r="DI70" s="210"/>
      <c r="DJ70" s="210"/>
      <c r="DK70" s="211"/>
      <c r="DL70" s="210" t="str">
        <f t="shared" si="31"/>
        <v>lot2</v>
      </c>
      <c r="DM70" s="214">
        <f t="shared" si="32"/>
        <v>0</v>
      </c>
      <c r="DN70" s="214">
        <f t="shared" si="32"/>
        <v>0</v>
      </c>
      <c r="DO70" s="214">
        <f t="shared" si="32"/>
        <v>0</v>
      </c>
      <c r="DP70" s="214">
        <f t="shared" si="32"/>
        <v>0</v>
      </c>
      <c r="DQ70" s="214">
        <f t="shared" si="32"/>
        <v>0</v>
      </c>
      <c r="DR70" s="214">
        <f t="shared" si="32"/>
        <v>0</v>
      </c>
      <c r="DS70" s="214">
        <f t="shared" si="32"/>
        <v>0</v>
      </c>
      <c r="DT70" s="214">
        <f t="shared" si="32"/>
        <v>0</v>
      </c>
      <c r="DU70" s="214">
        <f t="shared" si="32"/>
        <v>0</v>
      </c>
      <c r="DV70" s="214">
        <f t="shared" si="32"/>
        <v>0</v>
      </c>
      <c r="DW70" s="214">
        <f t="shared" si="32"/>
        <v>0</v>
      </c>
      <c r="DX70" s="214">
        <f t="shared" si="32"/>
        <v>0</v>
      </c>
      <c r="DY70" s="214">
        <f t="shared" si="32"/>
        <v>0</v>
      </c>
      <c r="DZ70" s="214">
        <f t="shared" si="32"/>
        <v>0</v>
      </c>
      <c r="EA70" s="214">
        <f t="shared" si="32"/>
        <v>0</v>
      </c>
      <c r="EB70" s="214">
        <f t="shared" si="32"/>
        <v>0</v>
      </c>
      <c r="EC70" s="214">
        <f t="shared" si="32"/>
        <v>0</v>
      </c>
      <c r="ED70" s="214">
        <f t="shared" si="32"/>
        <v>0</v>
      </c>
      <c r="EE70" s="214">
        <f t="shared" si="32"/>
        <v>0</v>
      </c>
      <c r="EF70" s="214">
        <f t="shared" si="32"/>
        <v>0</v>
      </c>
      <c r="EG70" s="214">
        <f t="shared" si="32"/>
        <v>0</v>
      </c>
      <c r="EH70" s="214">
        <f t="shared" si="32"/>
        <v>0</v>
      </c>
      <c r="EI70" s="214">
        <f t="shared" si="32"/>
        <v>0</v>
      </c>
      <c r="EJ70" s="214">
        <f t="shared" si="32"/>
        <v>0</v>
      </c>
    </row>
    <row r="71" spans="1:143" x14ac:dyDescent="0.25">
      <c r="A71" s="5"/>
      <c r="B71" s="5"/>
      <c r="C71" s="5"/>
      <c r="D71" s="5"/>
      <c r="X71" s="210"/>
      <c r="Y71" s="210"/>
      <c r="Z71" s="210"/>
      <c r="AA71" s="210"/>
      <c r="AB71" s="210"/>
      <c r="AC71" s="210"/>
      <c r="AD71" s="210"/>
      <c r="AE71" s="210"/>
      <c r="AF71" s="210"/>
      <c r="AG71" s="210" t="str">
        <f t="shared" si="25"/>
        <v>Génisses jeunes</v>
      </c>
      <c r="AH71" s="214">
        <f t="shared" si="26"/>
        <v>0</v>
      </c>
      <c r="AI71" s="214">
        <f t="shared" si="26"/>
        <v>0</v>
      </c>
      <c r="AJ71" s="214">
        <f t="shared" si="26"/>
        <v>0</v>
      </c>
      <c r="AK71" s="214">
        <f t="shared" si="26"/>
        <v>0</v>
      </c>
      <c r="AL71" s="214">
        <f t="shared" si="26"/>
        <v>0</v>
      </c>
      <c r="AM71" s="214">
        <f t="shared" si="26"/>
        <v>0</v>
      </c>
      <c r="AN71" s="214">
        <f t="shared" si="26"/>
        <v>0</v>
      </c>
      <c r="AO71" s="214">
        <f t="shared" si="26"/>
        <v>0</v>
      </c>
      <c r="AP71" s="214">
        <f t="shared" si="26"/>
        <v>0</v>
      </c>
      <c r="AQ71" s="214">
        <f t="shared" si="26"/>
        <v>0</v>
      </c>
      <c r="AR71" s="214">
        <f t="shared" si="26"/>
        <v>0</v>
      </c>
      <c r="AS71" s="214">
        <f t="shared" si="26"/>
        <v>0</v>
      </c>
      <c r="AT71" s="214">
        <f t="shared" si="26"/>
        <v>0</v>
      </c>
      <c r="AU71" s="214">
        <f t="shared" si="26"/>
        <v>0</v>
      </c>
      <c r="AV71" s="214">
        <f t="shared" si="26"/>
        <v>0</v>
      </c>
      <c r="AW71" s="214">
        <f t="shared" si="26"/>
        <v>0</v>
      </c>
      <c r="AX71" s="214">
        <f t="shared" si="26"/>
        <v>0</v>
      </c>
      <c r="AY71" s="214">
        <f t="shared" si="26"/>
        <v>0</v>
      </c>
      <c r="AZ71" s="214">
        <f t="shared" si="26"/>
        <v>0</v>
      </c>
      <c r="BA71" s="214">
        <f t="shared" si="26"/>
        <v>0</v>
      </c>
      <c r="BB71" s="214">
        <f t="shared" si="26"/>
        <v>0</v>
      </c>
      <c r="BC71" s="214">
        <f t="shared" si="26"/>
        <v>0</v>
      </c>
      <c r="BD71" s="214">
        <f t="shared" si="26"/>
        <v>0</v>
      </c>
      <c r="BE71" s="214">
        <f t="shared" si="26"/>
        <v>0</v>
      </c>
      <c r="BF71" s="210"/>
      <c r="BG71" s="211"/>
      <c r="BH71" s="210" t="str">
        <f t="shared" si="27"/>
        <v>lot3</v>
      </c>
      <c r="BI71" s="210">
        <f t="shared" si="28"/>
        <v>0</v>
      </c>
      <c r="BJ71" s="210">
        <f t="shared" si="28"/>
        <v>0</v>
      </c>
      <c r="BK71" s="210">
        <f t="shared" si="28"/>
        <v>0</v>
      </c>
      <c r="BL71" s="210">
        <f t="shared" si="28"/>
        <v>0</v>
      </c>
      <c r="BM71" s="210">
        <f t="shared" si="28"/>
        <v>0</v>
      </c>
      <c r="BN71" s="210">
        <f t="shared" si="28"/>
        <v>0</v>
      </c>
      <c r="BO71" s="210">
        <f t="shared" si="28"/>
        <v>0</v>
      </c>
      <c r="BP71" s="210">
        <f t="shared" si="28"/>
        <v>0</v>
      </c>
      <c r="BQ71" s="210">
        <f t="shared" si="28"/>
        <v>0</v>
      </c>
      <c r="BR71" s="210">
        <f t="shared" si="28"/>
        <v>0</v>
      </c>
      <c r="BS71" s="210">
        <f t="shared" si="28"/>
        <v>0</v>
      </c>
      <c r="BT71" s="210">
        <f t="shared" si="28"/>
        <v>0</v>
      </c>
      <c r="BU71" s="210">
        <f t="shared" si="28"/>
        <v>0</v>
      </c>
      <c r="BV71" s="210">
        <f t="shared" si="28"/>
        <v>0</v>
      </c>
      <c r="BW71" s="210">
        <f t="shared" si="28"/>
        <v>0</v>
      </c>
      <c r="BX71" s="210">
        <f t="shared" si="28"/>
        <v>0</v>
      </c>
      <c r="BY71" s="210">
        <f t="shared" si="28"/>
        <v>0</v>
      </c>
      <c r="BZ71" s="210">
        <f t="shared" si="28"/>
        <v>0</v>
      </c>
      <c r="CA71" s="210">
        <f t="shared" si="28"/>
        <v>0</v>
      </c>
      <c r="CB71" s="210">
        <f t="shared" si="28"/>
        <v>0</v>
      </c>
      <c r="CC71" s="210">
        <f t="shared" si="28"/>
        <v>0</v>
      </c>
      <c r="CD71" s="210">
        <f t="shared" si="28"/>
        <v>0</v>
      </c>
      <c r="CE71" s="210">
        <f t="shared" si="28"/>
        <v>0</v>
      </c>
      <c r="CF71" s="210">
        <f t="shared" si="28"/>
        <v>0</v>
      </c>
      <c r="CG71" s="210"/>
      <c r="CH71" s="210"/>
      <c r="CI71" s="211"/>
      <c r="CJ71" s="210" t="str">
        <f t="shared" si="29"/>
        <v>lot3</v>
      </c>
      <c r="CK71" s="214">
        <f t="shared" si="30"/>
        <v>0</v>
      </c>
      <c r="CL71" s="214">
        <f t="shared" si="30"/>
        <v>0</v>
      </c>
      <c r="CM71" s="214">
        <f t="shared" si="30"/>
        <v>0</v>
      </c>
      <c r="CN71" s="214">
        <f t="shared" si="30"/>
        <v>0</v>
      </c>
      <c r="CO71" s="214">
        <f t="shared" si="30"/>
        <v>0</v>
      </c>
      <c r="CP71" s="214">
        <f t="shared" si="30"/>
        <v>0</v>
      </c>
      <c r="CQ71" s="214">
        <f t="shared" si="30"/>
        <v>0</v>
      </c>
      <c r="CR71" s="214">
        <f t="shared" si="30"/>
        <v>0</v>
      </c>
      <c r="CS71" s="214">
        <f t="shared" si="30"/>
        <v>0</v>
      </c>
      <c r="CT71" s="214">
        <f t="shared" si="30"/>
        <v>0</v>
      </c>
      <c r="CU71" s="214">
        <f t="shared" si="30"/>
        <v>0</v>
      </c>
      <c r="CV71" s="214">
        <f t="shared" si="30"/>
        <v>0</v>
      </c>
      <c r="CW71" s="214">
        <f t="shared" si="30"/>
        <v>0</v>
      </c>
      <c r="CX71" s="214">
        <f t="shared" si="30"/>
        <v>0</v>
      </c>
      <c r="CY71" s="214">
        <f t="shared" si="30"/>
        <v>0</v>
      </c>
      <c r="CZ71" s="214">
        <f t="shared" si="30"/>
        <v>0</v>
      </c>
      <c r="DA71" s="214">
        <f t="shared" si="30"/>
        <v>0</v>
      </c>
      <c r="DB71" s="214">
        <f t="shared" si="30"/>
        <v>0</v>
      </c>
      <c r="DC71" s="214">
        <f t="shared" si="30"/>
        <v>0</v>
      </c>
      <c r="DD71" s="214">
        <f t="shared" si="30"/>
        <v>0</v>
      </c>
      <c r="DE71" s="214">
        <f t="shared" si="30"/>
        <v>0</v>
      </c>
      <c r="DF71" s="214">
        <f t="shared" si="30"/>
        <v>0</v>
      </c>
      <c r="DG71" s="214">
        <f t="shared" si="30"/>
        <v>0</v>
      </c>
      <c r="DH71" s="214">
        <f t="shared" si="30"/>
        <v>0</v>
      </c>
      <c r="DI71" s="210"/>
      <c r="DJ71" s="210"/>
      <c r="DK71" s="211"/>
      <c r="DL71" s="210" t="str">
        <f t="shared" si="31"/>
        <v>lot3</v>
      </c>
      <c r="DM71" s="214">
        <f t="shared" si="32"/>
        <v>0</v>
      </c>
      <c r="DN71" s="214">
        <f t="shared" si="32"/>
        <v>0</v>
      </c>
      <c r="DO71" s="214">
        <f t="shared" si="32"/>
        <v>0</v>
      </c>
      <c r="DP71" s="214">
        <f t="shared" si="32"/>
        <v>0</v>
      </c>
      <c r="DQ71" s="214">
        <f t="shared" si="32"/>
        <v>0</v>
      </c>
      <c r="DR71" s="214">
        <f t="shared" si="32"/>
        <v>0</v>
      </c>
      <c r="DS71" s="214">
        <f t="shared" si="32"/>
        <v>0</v>
      </c>
      <c r="DT71" s="214">
        <f t="shared" si="32"/>
        <v>0</v>
      </c>
      <c r="DU71" s="214">
        <f t="shared" si="32"/>
        <v>0</v>
      </c>
      <c r="DV71" s="214">
        <f t="shared" si="32"/>
        <v>0</v>
      </c>
      <c r="DW71" s="214">
        <f t="shared" si="32"/>
        <v>0</v>
      </c>
      <c r="DX71" s="214">
        <f t="shared" si="32"/>
        <v>0</v>
      </c>
      <c r="DY71" s="214">
        <f t="shared" si="32"/>
        <v>0</v>
      </c>
      <c r="DZ71" s="214">
        <f t="shared" si="32"/>
        <v>0</v>
      </c>
      <c r="EA71" s="214">
        <f t="shared" si="32"/>
        <v>0</v>
      </c>
      <c r="EB71" s="214">
        <f t="shared" si="32"/>
        <v>0</v>
      </c>
      <c r="EC71" s="214">
        <f t="shared" si="32"/>
        <v>0</v>
      </c>
      <c r="ED71" s="214">
        <f t="shared" si="32"/>
        <v>0</v>
      </c>
      <c r="EE71" s="214">
        <f t="shared" si="32"/>
        <v>0</v>
      </c>
      <c r="EF71" s="214">
        <f t="shared" si="32"/>
        <v>0</v>
      </c>
      <c r="EG71" s="214">
        <f t="shared" si="32"/>
        <v>0</v>
      </c>
      <c r="EH71" s="214">
        <f t="shared" si="32"/>
        <v>0</v>
      </c>
      <c r="EI71" s="214">
        <f t="shared" si="32"/>
        <v>0</v>
      </c>
      <c r="EJ71" s="214">
        <f t="shared" si="32"/>
        <v>0</v>
      </c>
    </row>
    <row r="72" spans="1:143" x14ac:dyDescent="0.25">
      <c r="A72" s="5"/>
      <c r="B72" s="5"/>
      <c r="C72" s="5"/>
      <c r="D72" s="5"/>
      <c r="X72" s="210"/>
      <c r="Y72" s="210"/>
      <c r="Z72" s="210"/>
      <c r="AA72" s="210"/>
      <c r="AB72" s="210"/>
      <c r="AC72" s="210"/>
      <c r="AD72" s="210"/>
      <c r="AE72" s="210"/>
      <c r="AF72" s="210"/>
      <c r="AG72" s="210" t="str">
        <f t="shared" si="25"/>
        <v>broutards</v>
      </c>
      <c r="AH72" s="214">
        <f t="shared" si="26"/>
        <v>0</v>
      </c>
      <c r="AI72" s="214">
        <f t="shared" si="26"/>
        <v>0</v>
      </c>
      <c r="AJ72" s="214">
        <f t="shared" si="26"/>
        <v>0</v>
      </c>
      <c r="AK72" s="214">
        <f t="shared" si="26"/>
        <v>0</v>
      </c>
      <c r="AL72" s="214">
        <f t="shared" si="26"/>
        <v>0</v>
      </c>
      <c r="AM72" s="214">
        <f t="shared" si="26"/>
        <v>0</v>
      </c>
      <c r="AN72" s="214">
        <f t="shared" si="26"/>
        <v>0</v>
      </c>
      <c r="AO72" s="214">
        <f t="shared" si="26"/>
        <v>0</v>
      </c>
      <c r="AP72" s="214">
        <f t="shared" si="26"/>
        <v>0</v>
      </c>
      <c r="AQ72" s="214">
        <f t="shared" si="26"/>
        <v>0</v>
      </c>
      <c r="AR72" s="214">
        <f t="shared" si="26"/>
        <v>0</v>
      </c>
      <c r="AS72" s="214">
        <f t="shared" si="26"/>
        <v>0</v>
      </c>
      <c r="AT72" s="214">
        <f t="shared" si="26"/>
        <v>0</v>
      </c>
      <c r="AU72" s="214">
        <f t="shared" si="26"/>
        <v>0</v>
      </c>
      <c r="AV72" s="214">
        <f t="shared" si="26"/>
        <v>0</v>
      </c>
      <c r="AW72" s="214">
        <f t="shared" si="26"/>
        <v>0</v>
      </c>
      <c r="AX72" s="214">
        <f t="shared" si="26"/>
        <v>0</v>
      </c>
      <c r="AY72" s="214">
        <f t="shared" si="26"/>
        <v>0</v>
      </c>
      <c r="AZ72" s="214">
        <f t="shared" si="26"/>
        <v>0</v>
      </c>
      <c r="BA72" s="214">
        <f t="shared" si="26"/>
        <v>0</v>
      </c>
      <c r="BB72" s="214">
        <f t="shared" si="26"/>
        <v>0</v>
      </c>
      <c r="BC72" s="214">
        <f t="shared" si="26"/>
        <v>0</v>
      </c>
      <c r="BD72" s="214">
        <f t="shared" si="26"/>
        <v>0</v>
      </c>
      <c r="BE72" s="214">
        <f t="shared" si="26"/>
        <v>0</v>
      </c>
      <c r="BF72" s="210"/>
      <c r="BG72" s="211"/>
      <c r="BH72" s="210" t="str">
        <f t="shared" si="27"/>
        <v>lot4</v>
      </c>
      <c r="BI72" s="210">
        <f t="shared" si="28"/>
        <v>0</v>
      </c>
      <c r="BJ72" s="210">
        <f t="shared" si="28"/>
        <v>0</v>
      </c>
      <c r="BK72" s="210">
        <f t="shared" si="28"/>
        <v>0</v>
      </c>
      <c r="BL72" s="210">
        <f t="shared" si="28"/>
        <v>0</v>
      </c>
      <c r="BM72" s="210">
        <f t="shared" si="28"/>
        <v>0</v>
      </c>
      <c r="BN72" s="210">
        <f t="shared" si="28"/>
        <v>0</v>
      </c>
      <c r="BO72" s="210">
        <f t="shared" si="28"/>
        <v>0</v>
      </c>
      <c r="BP72" s="210">
        <f t="shared" si="28"/>
        <v>0</v>
      </c>
      <c r="BQ72" s="210">
        <f t="shared" si="28"/>
        <v>0</v>
      </c>
      <c r="BR72" s="210">
        <f t="shared" si="28"/>
        <v>0</v>
      </c>
      <c r="BS72" s="210">
        <f t="shared" si="28"/>
        <v>0</v>
      </c>
      <c r="BT72" s="210">
        <f t="shared" si="28"/>
        <v>0</v>
      </c>
      <c r="BU72" s="210">
        <f t="shared" si="28"/>
        <v>0</v>
      </c>
      <c r="BV72" s="210">
        <f t="shared" si="28"/>
        <v>0</v>
      </c>
      <c r="BW72" s="210">
        <f t="shared" si="28"/>
        <v>0</v>
      </c>
      <c r="BX72" s="210">
        <f t="shared" si="28"/>
        <v>0</v>
      </c>
      <c r="BY72" s="210">
        <f t="shared" si="28"/>
        <v>0</v>
      </c>
      <c r="BZ72" s="210">
        <f t="shared" si="28"/>
        <v>0</v>
      </c>
      <c r="CA72" s="210">
        <f t="shared" si="28"/>
        <v>0</v>
      </c>
      <c r="CB72" s="210">
        <f t="shared" si="28"/>
        <v>0</v>
      </c>
      <c r="CC72" s="210">
        <f t="shared" si="28"/>
        <v>0</v>
      </c>
      <c r="CD72" s="210">
        <f t="shared" si="28"/>
        <v>0</v>
      </c>
      <c r="CE72" s="210">
        <f t="shared" si="28"/>
        <v>0</v>
      </c>
      <c r="CF72" s="210">
        <f t="shared" si="28"/>
        <v>0</v>
      </c>
      <c r="CG72" s="210"/>
      <c r="CH72" s="210"/>
      <c r="CI72" s="211"/>
      <c r="CJ72" s="210" t="str">
        <f t="shared" si="29"/>
        <v>lot4</v>
      </c>
      <c r="CK72" s="214">
        <f t="shared" si="30"/>
        <v>0</v>
      </c>
      <c r="CL72" s="214">
        <f t="shared" si="30"/>
        <v>0</v>
      </c>
      <c r="CM72" s="214">
        <f t="shared" si="30"/>
        <v>0</v>
      </c>
      <c r="CN72" s="214">
        <f t="shared" si="30"/>
        <v>0</v>
      </c>
      <c r="CO72" s="214">
        <f t="shared" si="30"/>
        <v>0</v>
      </c>
      <c r="CP72" s="214">
        <f t="shared" si="30"/>
        <v>0</v>
      </c>
      <c r="CQ72" s="214">
        <f t="shared" si="30"/>
        <v>0</v>
      </c>
      <c r="CR72" s="214">
        <f t="shared" si="30"/>
        <v>0</v>
      </c>
      <c r="CS72" s="214">
        <f t="shared" si="30"/>
        <v>0</v>
      </c>
      <c r="CT72" s="214">
        <f t="shared" si="30"/>
        <v>0</v>
      </c>
      <c r="CU72" s="214">
        <f t="shared" si="30"/>
        <v>0</v>
      </c>
      <c r="CV72" s="214">
        <f t="shared" si="30"/>
        <v>0</v>
      </c>
      <c r="CW72" s="214">
        <f t="shared" si="30"/>
        <v>0</v>
      </c>
      <c r="CX72" s="214">
        <f t="shared" si="30"/>
        <v>0</v>
      </c>
      <c r="CY72" s="214">
        <f t="shared" si="30"/>
        <v>0</v>
      </c>
      <c r="CZ72" s="214">
        <f t="shared" si="30"/>
        <v>0</v>
      </c>
      <c r="DA72" s="214">
        <f t="shared" si="30"/>
        <v>0</v>
      </c>
      <c r="DB72" s="214">
        <f t="shared" si="30"/>
        <v>0</v>
      </c>
      <c r="DC72" s="214">
        <f t="shared" si="30"/>
        <v>0</v>
      </c>
      <c r="DD72" s="214">
        <f t="shared" si="30"/>
        <v>0</v>
      </c>
      <c r="DE72" s="214">
        <f t="shared" si="30"/>
        <v>0</v>
      </c>
      <c r="DF72" s="214">
        <f t="shared" si="30"/>
        <v>0</v>
      </c>
      <c r="DG72" s="214">
        <f t="shared" si="30"/>
        <v>0</v>
      </c>
      <c r="DH72" s="214">
        <f t="shared" si="30"/>
        <v>0</v>
      </c>
      <c r="DI72" s="210"/>
      <c r="DJ72" s="210"/>
      <c r="DK72" s="211"/>
      <c r="DL72" s="210" t="str">
        <f t="shared" si="31"/>
        <v>lot4</v>
      </c>
      <c r="DM72" s="214">
        <f t="shared" si="32"/>
        <v>0</v>
      </c>
      <c r="DN72" s="214">
        <f t="shared" si="32"/>
        <v>0</v>
      </c>
      <c r="DO72" s="214">
        <f t="shared" si="32"/>
        <v>0</v>
      </c>
      <c r="DP72" s="214">
        <f t="shared" si="32"/>
        <v>0</v>
      </c>
      <c r="DQ72" s="214">
        <f t="shared" si="32"/>
        <v>0</v>
      </c>
      <c r="DR72" s="214">
        <f t="shared" si="32"/>
        <v>0</v>
      </c>
      <c r="DS72" s="214">
        <f t="shared" si="32"/>
        <v>0</v>
      </c>
      <c r="DT72" s="214">
        <f t="shared" si="32"/>
        <v>0</v>
      </c>
      <c r="DU72" s="214">
        <f t="shared" si="32"/>
        <v>0</v>
      </c>
      <c r="DV72" s="214">
        <f t="shared" si="32"/>
        <v>0</v>
      </c>
      <c r="DW72" s="214">
        <f t="shared" si="32"/>
        <v>0</v>
      </c>
      <c r="DX72" s="214">
        <f t="shared" si="32"/>
        <v>0</v>
      </c>
      <c r="DY72" s="214">
        <f t="shared" si="32"/>
        <v>0</v>
      </c>
      <c r="DZ72" s="214">
        <f t="shared" si="32"/>
        <v>0</v>
      </c>
      <c r="EA72" s="214">
        <f t="shared" si="32"/>
        <v>0</v>
      </c>
      <c r="EB72" s="214">
        <f t="shared" si="32"/>
        <v>0</v>
      </c>
      <c r="EC72" s="214">
        <f t="shared" si="32"/>
        <v>0</v>
      </c>
      <c r="ED72" s="214">
        <f t="shared" si="32"/>
        <v>0</v>
      </c>
      <c r="EE72" s="214">
        <f t="shared" si="32"/>
        <v>0</v>
      </c>
      <c r="EF72" s="214">
        <f t="shared" si="32"/>
        <v>0</v>
      </c>
      <c r="EG72" s="214">
        <f t="shared" si="32"/>
        <v>0</v>
      </c>
      <c r="EH72" s="214">
        <f t="shared" si="32"/>
        <v>0</v>
      </c>
      <c r="EI72" s="214">
        <f t="shared" si="32"/>
        <v>0</v>
      </c>
      <c r="EJ72" s="214">
        <f t="shared" si="32"/>
        <v>0</v>
      </c>
    </row>
    <row r="73" spans="1:143" x14ac:dyDescent="0.25">
      <c r="A73" s="5"/>
      <c r="B73" s="5"/>
      <c r="C73" s="5"/>
      <c r="D73" s="5"/>
      <c r="X73" s="210"/>
      <c r="Y73" s="210"/>
      <c r="Z73" s="210"/>
      <c r="AA73" s="210"/>
      <c r="AB73" s="210"/>
      <c r="AC73" s="210"/>
      <c r="AD73" s="210"/>
      <c r="AE73" s="210"/>
      <c r="AF73" s="210"/>
      <c r="AG73" s="210" t="str">
        <f t="shared" si="25"/>
        <v>génisses &lt; 1 an</v>
      </c>
      <c r="AH73" s="214">
        <f t="shared" si="26"/>
        <v>0</v>
      </c>
      <c r="AI73" s="214">
        <f t="shared" si="26"/>
        <v>0</v>
      </c>
      <c r="AJ73" s="214">
        <f t="shared" si="26"/>
        <v>0</v>
      </c>
      <c r="AK73" s="214">
        <f t="shared" si="26"/>
        <v>0</v>
      </c>
      <c r="AL73" s="214">
        <f t="shared" si="26"/>
        <v>0</v>
      </c>
      <c r="AM73" s="214">
        <f t="shared" si="26"/>
        <v>0</v>
      </c>
      <c r="AN73" s="214">
        <f t="shared" si="26"/>
        <v>0</v>
      </c>
      <c r="AO73" s="214">
        <f t="shared" si="26"/>
        <v>0</v>
      </c>
      <c r="AP73" s="214">
        <f t="shared" si="26"/>
        <v>0</v>
      </c>
      <c r="AQ73" s="214">
        <f t="shared" si="26"/>
        <v>0</v>
      </c>
      <c r="AR73" s="214">
        <f t="shared" si="26"/>
        <v>0</v>
      </c>
      <c r="AS73" s="214">
        <f t="shared" si="26"/>
        <v>0</v>
      </c>
      <c r="AT73" s="214">
        <f t="shared" si="26"/>
        <v>0</v>
      </c>
      <c r="AU73" s="214">
        <f t="shared" si="26"/>
        <v>0</v>
      </c>
      <c r="AV73" s="214" t="e">
        <f t="shared" ca="1" si="26"/>
        <v>#REF!</v>
      </c>
      <c r="AW73" s="214">
        <f t="shared" si="26"/>
        <v>0</v>
      </c>
      <c r="AX73" s="214">
        <f t="shared" si="26"/>
        <v>0</v>
      </c>
      <c r="AY73" s="214">
        <f t="shared" si="26"/>
        <v>0</v>
      </c>
      <c r="AZ73" s="214">
        <f t="shared" si="26"/>
        <v>0</v>
      </c>
      <c r="BA73" s="214">
        <f t="shared" si="26"/>
        <v>0</v>
      </c>
      <c r="BB73" s="214">
        <f t="shared" si="26"/>
        <v>0</v>
      </c>
      <c r="BC73" s="214">
        <f t="shared" si="26"/>
        <v>0</v>
      </c>
      <c r="BD73" s="214">
        <f t="shared" si="26"/>
        <v>0</v>
      </c>
      <c r="BE73" s="214">
        <f t="shared" si="26"/>
        <v>0</v>
      </c>
      <c r="BF73" s="210"/>
      <c r="BG73" s="211"/>
      <c r="BH73" s="210" t="str">
        <f t="shared" si="27"/>
        <v>lot5</v>
      </c>
      <c r="BI73" s="210">
        <f t="shared" si="28"/>
        <v>0</v>
      </c>
      <c r="BJ73" s="210">
        <f t="shared" si="28"/>
        <v>0</v>
      </c>
      <c r="BK73" s="210">
        <f t="shared" si="28"/>
        <v>0</v>
      </c>
      <c r="BL73" s="210">
        <f t="shared" si="28"/>
        <v>0</v>
      </c>
      <c r="BM73" s="210">
        <f t="shared" si="28"/>
        <v>0</v>
      </c>
      <c r="BN73" s="210">
        <f t="shared" si="28"/>
        <v>0</v>
      </c>
      <c r="BO73" s="210">
        <f t="shared" si="28"/>
        <v>0</v>
      </c>
      <c r="BP73" s="210">
        <f t="shared" si="28"/>
        <v>0</v>
      </c>
      <c r="BQ73" s="210">
        <f t="shared" si="28"/>
        <v>0</v>
      </c>
      <c r="BR73" s="210">
        <f t="shared" si="28"/>
        <v>0</v>
      </c>
      <c r="BS73" s="210">
        <f t="shared" si="28"/>
        <v>0</v>
      </c>
      <c r="BT73" s="210">
        <f t="shared" si="28"/>
        <v>0</v>
      </c>
      <c r="BU73" s="210">
        <f t="shared" si="28"/>
        <v>0</v>
      </c>
      <c r="BV73" s="210">
        <f t="shared" si="28"/>
        <v>0</v>
      </c>
      <c r="BW73" s="210">
        <f t="shared" si="28"/>
        <v>0</v>
      </c>
      <c r="BX73" s="210">
        <f t="shared" si="28"/>
        <v>0</v>
      </c>
      <c r="BY73" s="210">
        <f t="shared" si="28"/>
        <v>0</v>
      </c>
      <c r="BZ73" s="210">
        <f t="shared" si="28"/>
        <v>0</v>
      </c>
      <c r="CA73" s="210">
        <f t="shared" si="28"/>
        <v>0</v>
      </c>
      <c r="CB73" s="210">
        <f t="shared" si="28"/>
        <v>0</v>
      </c>
      <c r="CC73" s="210">
        <f t="shared" si="28"/>
        <v>0</v>
      </c>
      <c r="CD73" s="210">
        <f t="shared" si="28"/>
        <v>0</v>
      </c>
      <c r="CE73" s="210">
        <f t="shared" si="28"/>
        <v>0</v>
      </c>
      <c r="CF73" s="210">
        <f t="shared" si="28"/>
        <v>0</v>
      </c>
      <c r="CG73" s="210"/>
      <c r="CH73" s="210"/>
      <c r="CI73" s="211"/>
      <c r="CJ73" s="210" t="str">
        <f t="shared" si="29"/>
        <v>lot5</v>
      </c>
      <c r="CK73" s="214">
        <f t="shared" si="30"/>
        <v>0</v>
      </c>
      <c r="CL73" s="214">
        <f t="shared" si="30"/>
        <v>0</v>
      </c>
      <c r="CM73" s="214">
        <f t="shared" si="30"/>
        <v>0</v>
      </c>
      <c r="CN73" s="214">
        <f t="shared" si="30"/>
        <v>0</v>
      </c>
      <c r="CO73" s="214">
        <f t="shared" si="30"/>
        <v>0</v>
      </c>
      <c r="CP73" s="214">
        <f t="shared" si="30"/>
        <v>0</v>
      </c>
      <c r="CQ73" s="214">
        <f t="shared" si="30"/>
        <v>0</v>
      </c>
      <c r="CR73" s="214">
        <f t="shared" si="30"/>
        <v>0</v>
      </c>
      <c r="CS73" s="214">
        <f t="shared" si="30"/>
        <v>0</v>
      </c>
      <c r="CT73" s="214">
        <f t="shared" si="30"/>
        <v>0</v>
      </c>
      <c r="CU73" s="214">
        <f t="shared" si="30"/>
        <v>0</v>
      </c>
      <c r="CV73" s="214">
        <f t="shared" si="30"/>
        <v>0</v>
      </c>
      <c r="CW73" s="214">
        <f t="shared" si="30"/>
        <v>0</v>
      </c>
      <c r="CX73" s="214">
        <f t="shared" si="30"/>
        <v>0</v>
      </c>
      <c r="CY73" s="214">
        <f t="shared" si="30"/>
        <v>0</v>
      </c>
      <c r="CZ73" s="214">
        <f t="shared" si="30"/>
        <v>0</v>
      </c>
      <c r="DA73" s="214">
        <f t="shared" si="30"/>
        <v>0</v>
      </c>
      <c r="DB73" s="214">
        <f t="shared" si="30"/>
        <v>0</v>
      </c>
      <c r="DC73" s="214">
        <f t="shared" si="30"/>
        <v>0</v>
      </c>
      <c r="DD73" s="214">
        <f t="shared" si="30"/>
        <v>0</v>
      </c>
      <c r="DE73" s="214">
        <f t="shared" si="30"/>
        <v>0</v>
      </c>
      <c r="DF73" s="214">
        <f t="shared" si="30"/>
        <v>0</v>
      </c>
      <c r="DG73" s="214">
        <f t="shared" si="30"/>
        <v>0</v>
      </c>
      <c r="DH73" s="214">
        <f t="shared" si="30"/>
        <v>0</v>
      </c>
      <c r="DI73" s="210"/>
      <c r="DJ73" s="210"/>
      <c r="DK73" s="211"/>
      <c r="DL73" s="210" t="str">
        <f t="shared" si="31"/>
        <v>lot5</v>
      </c>
      <c r="DM73" s="214">
        <f t="shared" si="32"/>
        <v>0</v>
      </c>
      <c r="DN73" s="214">
        <f t="shared" si="32"/>
        <v>0</v>
      </c>
      <c r="DO73" s="214">
        <f t="shared" si="32"/>
        <v>0</v>
      </c>
      <c r="DP73" s="214">
        <f t="shared" si="32"/>
        <v>0</v>
      </c>
      <c r="DQ73" s="214">
        <f t="shared" si="32"/>
        <v>0</v>
      </c>
      <c r="DR73" s="214">
        <f t="shared" si="32"/>
        <v>0</v>
      </c>
      <c r="DS73" s="214">
        <f t="shared" si="32"/>
        <v>0</v>
      </c>
      <c r="DT73" s="214">
        <f t="shared" si="32"/>
        <v>0</v>
      </c>
      <c r="DU73" s="214">
        <f t="shared" si="32"/>
        <v>0</v>
      </c>
      <c r="DV73" s="214">
        <f t="shared" si="32"/>
        <v>0</v>
      </c>
      <c r="DW73" s="214">
        <f t="shared" si="32"/>
        <v>0</v>
      </c>
      <c r="DX73" s="214">
        <f t="shared" si="32"/>
        <v>0</v>
      </c>
      <c r="DY73" s="214">
        <f t="shared" si="32"/>
        <v>0</v>
      </c>
      <c r="DZ73" s="214">
        <f t="shared" si="32"/>
        <v>0</v>
      </c>
      <c r="EA73" s="214">
        <f t="shared" si="32"/>
        <v>0</v>
      </c>
      <c r="EB73" s="214">
        <f t="shared" si="32"/>
        <v>0</v>
      </c>
      <c r="EC73" s="214">
        <f t="shared" si="32"/>
        <v>0</v>
      </c>
      <c r="ED73" s="214">
        <f t="shared" si="32"/>
        <v>0</v>
      </c>
      <c r="EE73" s="214">
        <f t="shared" si="32"/>
        <v>0</v>
      </c>
      <c r="EF73" s="214">
        <f t="shared" si="32"/>
        <v>0</v>
      </c>
      <c r="EG73" s="214">
        <f t="shared" si="32"/>
        <v>0</v>
      </c>
      <c r="EH73" s="214">
        <f t="shared" si="32"/>
        <v>0</v>
      </c>
      <c r="EI73" s="214">
        <f t="shared" si="32"/>
        <v>0</v>
      </c>
      <c r="EJ73" s="214">
        <f t="shared" si="32"/>
        <v>0</v>
      </c>
    </row>
    <row r="74" spans="1:143" x14ac:dyDescent="0.25">
      <c r="A74" s="5"/>
      <c r="B74" s="5"/>
      <c r="C74" s="5"/>
      <c r="D74" s="5"/>
      <c r="X74" s="210"/>
      <c r="Y74" s="210"/>
      <c r="Z74" s="210"/>
      <c r="AA74" s="210"/>
      <c r="AB74" s="210"/>
      <c r="AC74" s="210"/>
      <c r="AD74" s="210"/>
      <c r="AE74" s="210"/>
      <c r="AF74" s="210"/>
      <c r="AG74" s="210" t="str">
        <f t="shared" si="25"/>
        <v>lot6</v>
      </c>
      <c r="AH74" s="214">
        <f t="shared" si="26"/>
        <v>0</v>
      </c>
      <c r="AI74" s="214">
        <f t="shared" si="26"/>
        <v>0</v>
      </c>
      <c r="AJ74" s="214">
        <f t="shared" si="26"/>
        <v>0</v>
      </c>
      <c r="AK74" s="214">
        <f t="shared" si="26"/>
        <v>0</v>
      </c>
      <c r="AL74" s="214">
        <f t="shared" si="26"/>
        <v>0</v>
      </c>
      <c r="AM74" s="214">
        <f t="shared" si="26"/>
        <v>0</v>
      </c>
      <c r="AN74" s="214">
        <f t="shared" si="26"/>
        <v>0</v>
      </c>
      <c r="AO74" s="214">
        <f t="shared" si="26"/>
        <v>0</v>
      </c>
      <c r="AP74" s="214">
        <f t="shared" si="26"/>
        <v>0</v>
      </c>
      <c r="AQ74" s="214">
        <f t="shared" si="26"/>
        <v>0</v>
      </c>
      <c r="AR74" s="214">
        <f t="shared" si="26"/>
        <v>0</v>
      </c>
      <c r="AS74" s="214">
        <f t="shared" si="26"/>
        <v>0</v>
      </c>
      <c r="AT74" s="214">
        <f t="shared" si="26"/>
        <v>0</v>
      </c>
      <c r="AU74" s="214">
        <f t="shared" si="26"/>
        <v>0</v>
      </c>
      <c r="AV74" s="214">
        <f t="shared" si="26"/>
        <v>0</v>
      </c>
      <c r="AW74" s="214">
        <f t="shared" si="26"/>
        <v>0</v>
      </c>
      <c r="AX74" s="214">
        <f t="shared" si="26"/>
        <v>0</v>
      </c>
      <c r="AY74" s="214">
        <f t="shared" si="26"/>
        <v>0</v>
      </c>
      <c r="AZ74" s="214">
        <f t="shared" si="26"/>
        <v>0</v>
      </c>
      <c r="BA74" s="214">
        <f t="shared" si="26"/>
        <v>0</v>
      </c>
      <c r="BB74" s="214">
        <f t="shared" si="26"/>
        <v>0</v>
      </c>
      <c r="BC74" s="214">
        <f t="shared" si="26"/>
        <v>0</v>
      </c>
      <c r="BD74" s="214">
        <f t="shared" si="26"/>
        <v>0</v>
      </c>
      <c r="BE74" s="214">
        <f t="shared" si="26"/>
        <v>0</v>
      </c>
      <c r="BF74" s="210"/>
      <c r="BG74" s="211"/>
      <c r="BH74" s="210" t="str">
        <f t="shared" si="27"/>
        <v>lot6</v>
      </c>
      <c r="BI74" s="210">
        <f t="shared" si="28"/>
        <v>0</v>
      </c>
      <c r="BJ74" s="210">
        <f t="shared" si="28"/>
        <v>0</v>
      </c>
      <c r="BK74" s="210">
        <f t="shared" si="28"/>
        <v>0</v>
      </c>
      <c r="BL74" s="210">
        <f t="shared" si="28"/>
        <v>0</v>
      </c>
      <c r="BM74" s="210">
        <f t="shared" si="28"/>
        <v>0</v>
      </c>
      <c r="BN74" s="210">
        <f t="shared" si="28"/>
        <v>0</v>
      </c>
      <c r="BO74" s="210">
        <f t="shared" si="28"/>
        <v>0</v>
      </c>
      <c r="BP74" s="210">
        <f t="shared" si="28"/>
        <v>0</v>
      </c>
      <c r="BQ74" s="210">
        <f t="shared" si="28"/>
        <v>0</v>
      </c>
      <c r="BR74" s="210">
        <f t="shared" si="28"/>
        <v>0</v>
      </c>
      <c r="BS74" s="210">
        <f t="shared" si="28"/>
        <v>0</v>
      </c>
      <c r="BT74" s="210">
        <f t="shared" si="28"/>
        <v>0</v>
      </c>
      <c r="BU74" s="210">
        <f t="shared" si="28"/>
        <v>0</v>
      </c>
      <c r="BV74" s="210">
        <f t="shared" si="28"/>
        <v>0</v>
      </c>
      <c r="BW74" s="210">
        <f t="shared" si="28"/>
        <v>0</v>
      </c>
      <c r="BX74" s="210">
        <f t="shared" si="28"/>
        <v>0</v>
      </c>
      <c r="BY74" s="210">
        <f t="shared" si="28"/>
        <v>0</v>
      </c>
      <c r="BZ74" s="210">
        <f t="shared" si="28"/>
        <v>0</v>
      </c>
      <c r="CA74" s="210">
        <f t="shared" si="28"/>
        <v>0</v>
      </c>
      <c r="CB74" s="210">
        <f t="shared" si="28"/>
        <v>0</v>
      </c>
      <c r="CC74" s="210">
        <f t="shared" si="28"/>
        <v>0</v>
      </c>
      <c r="CD74" s="210">
        <f t="shared" si="28"/>
        <v>0</v>
      </c>
      <c r="CE74" s="210">
        <f t="shared" si="28"/>
        <v>0</v>
      </c>
      <c r="CF74" s="210">
        <f t="shared" si="28"/>
        <v>0</v>
      </c>
      <c r="CG74" s="210"/>
      <c r="CH74" s="210"/>
      <c r="CI74" s="211"/>
      <c r="CJ74" s="210" t="str">
        <f t="shared" si="29"/>
        <v>lot6</v>
      </c>
      <c r="CK74" s="214">
        <f t="shared" si="30"/>
        <v>0</v>
      </c>
      <c r="CL74" s="214">
        <f t="shared" si="30"/>
        <v>0</v>
      </c>
      <c r="CM74" s="214">
        <f t="shared" si="30"/>
        <v>0</v>
      </c>
      <c r="CN74" s="214">
        <f t="shared" si="30"/>
        <v>0</v>
      </c>
      <c r="CO74" s="214">
        <f t="shared" si="30"/>
        <v>0</v>
      </c>
      <c r="CP74" s="214">
        <f t="shared" si="30"/>
        <v>0</v>
      </c>
      <c r="CQ74" s="214">
        <f t="shared" si="30"/>
        <v>0</v>
      </c>
      <c r="CR74" s="214">
        <f t="shared" si="30"/>
        <v>0</v>
      </c>
      <c r="CS74" s="214">
        <f t="shared" si="30"/>
        <v>0</v>
      </c>
      <c r="CT74" s="214">
        <f t="shared" si="30"/>
        <v>0</v>
      </c>
      <c r="CU74" s="214">
        <f t="shared" si="30"/>
        <v>0</v>
      </c>
      <c r="CV74" s="214">
        <f t="shared" si="30"/>
        <v>0</v>
      </c>
      <c r="CW74" s="214">
        <f t="shared" si="30"/>
        <v>0</v>
      </c>
      <c r="CX74" s="214">
        <f t="shared" si="30"/>
        <v>0</v>
      </c>
      <c r="CY74" s="214">
        <f t="shared" si="30"/>
        <v>0</v>
      </c>
      <c r="CZ74" s="214">
        <f t="shared" si="30"/>
        <v>0</v>
      </c>
      <c r="DA74" s="214">
        <f t="shared" si="30"/>
        <v>0</v>
      </c>
      <c r="DB74" s="214">
        <f t="shared" si="30"/>
        <v>0</v>
      </c>
      <c r="DC74" s="214">
        <f t="shared" si="30"/>
        <v>0</v>
      </c>
      <c r="DD74" s="214">
        <f t="shared" si="30"/>
        <v>0</v>
      </c>
      <c r="DE74" s="214">
        <f t="shared" si="30"/>
        <v>0</v>
      </c>
      <c r="DF74" s="214">
        <f t="shared" si="30"/>
        <v>0</v>
      </c>
      <c r="DG74" s="214">
        <f t="shared" si="30"/>
        <v>0</v>
      </c>
      <c r="DH74" s="214">
        <f t="shared" si="30"/>
        <v>0</v>
      </c>
      <c r="DI74" s="210"/>
      <c r="DJ74" s="210"/>
      <c r="DK74" s="211"/>
      <c r="DL74" s="210" t="str">
        <f t="shared" si="31"/>
        <v>lot6</v>
      </c>
      <c r="DM74" s="214">
        <f t="shared" si="32"/>
        <v>0</v>
      </c>
      <c r="DN74" s="214">
        <f t="shared" si="32"/>
        <v>0</v>
      </c>
      <c r="DO74" s="214">
        <f t="shared" si="32"/>
        <v>0</v>
      </c>
      <c r="DP74" s="214">
        <f t="shared" si="32"/>
        <v>0</v>
      </c>
      <c r="DQ74" s="214">
        <f t="shared" si="32"/>
        <v>0</v>
      </c>
      <c r="DR74" s="214">
        <f t="shared" si="32"/>
        <v>0</v>
      </c>
      <c r="DS74" s="214">
        <f t="shared" si="32"/>
        <v>0</v>
      </c>
      <c r="DT74" s="214">
        <f t="shared" si="32"/>
        <v>0</v>
      </c>
      <c r="DU74" s="214">
        <f t="shared" si="32"/>
        <v>0</v>
      </c>
      <c r="DV74" s="214">
        <f t="shared" si="32"/>
        <v>0</v>
      </c>
      <c r="DW74" s="214">
        <f t="shared" si="32"/>
        <v>0</v>
      </c>
      <c r="DX74" s="214">
        <f t="shared" si="32"/>
        <v>0</v>
      </c>
      <c r="DY74" s="214">
        <f t="shared" si="32"/>
        <v>0</v>
      </c>
      <c r="DZ74" s="214">
        <f t="shared" si="32"/>
        <v>0</v>
      </c>
      <c r="EA74" s="214">
        <f t="shared" si="32"/>
        <v>0</v>
      </c>
      <c r="EB74" s="214">
        <f t="shared" si="32"/>
        <v>0</v>
      </c>
      <c r="EC74" s="214">
        <f t="shared" si="32"/>
        <v>0</v>
      </c>
      <c r="ED74" s="214">
        <f t="shared" si="32"/>
        <v>0</v>
      </c>
      <c r="EE74" s="214">
        <f t="shared" si="32"/>
        <v>0</v>
      </c>
      <c r="EF74" s="214">
        <f t="shared" si="32"/>
        <v>0</v>
      </c>
      <c r="EG74" s="214">
        <f t="shared" si="32"/>
        <v>0</v>
      </c>
      <c r="EH74" s="214">
        <f t="shared" si="32"/>
        <v>0</v>
      </c>
      <c r="EI74" s="214">
        <f t="shared" si="32"/>
        <v>0</v>
      </c>
      <c r="EJ74" s="214">
        <f t="shared" si="32"/>
        <v>0</v>
      </c>
    </row>
    <row r="75" spans="1:143" x14ac:dyDescent="0.25">
      <c r="A75" s="5"/>
      <c r="B75" s="5"/>
      <c r="C75" s="5"/>
      <c r="D75" s="5"/>
      <c r="X75" s="210"/>
      <c r="Y75" s="210"/>
      <c r="Z75" s="210"/>
      <c r="AA75" s="210"/>
      <c r="AB75" s="210"/>
      <c r="AC75" s="210"/>
      <c r="AD75" s="210"/>
      <c r="AE75" s="210"/>
      <c r="AF75" s="210"/>
      <c r="AG75" s="210" t="str">
        <f t="shared" si="25"/>
        <v>lot7</v>
      </c>
      <c r="AH75" s="214">
        <f t="shared" si="26"/>
        <v>0</v>
      </c>
      <c r="AI75" s="214">
        <f t="shared" si="26"/>
        <v>0</v>
      </c>
      <c r="AJ75" s="214">
        <f t="shared" si="26"/>
        <v>0</v>
      </c>
      <c r="AK75" s="214">
        <f t="shared" si="26"/>
        <v>0</v>
      </c>
      <c r="AL75" s="214">
        <f t="shared" si="26"/>
        <v>0</v>
      </c>
      <c r="AM75" s="214">
        <f t="shared" si="26"/>
        <v>0</v>
      </c>
      <c r="AN75" s="214">
        <f t="shared" si="26"/>
        <v>0</v>
      </c>
      <c r="AO75" s="214">
        <f t="shared" si="26"/>
        <v>0</v>
      </c>
      <c r="AP75" s="214">
        <f t="shared" si="26"/>
        <v>0</v>
      </c>
      <c r="AQ75" s="214">
        <f t="shared" si="26"/>
        <v>0</v>
      </c>
      <c r="AR75" s="214">
        <f t="shared" si="26"/>
        <v>0</v>
      </c>
      <c r="AS75" s="214">
        <f t="shared" si="26"/>
        <v>0</v>
      </c>
      <c r="AT75" s="214">
        <f t="shared" si="26"/>
        <v>0</v>
      </c>
      <c r="AU75" s="214">
        <f t="shared" si="26"/>
        <v>0</v>
      </c>
      <c r="AV75" s="214">
        <f t="shared" si="26"/>
        <v>0</v>
      </c>
      <c r="AW75" s="214">
        <f t="shared" si="26"/>
        <v>0</v>
      </c>
      <c r="AX75" s="214">
        <f t="shared" si="26"/>
        <v>0</v>
      </c>
      <c r="AY75" s="214">
        <f t="shared" si="26"/>
        <v>0</v>
      </c>
      <c r="AZ75" s="214">
        <f t="shared" si="26"/>
        <v>0</v>
      </c>
      <c r="BA75" s="214">
        <f t="shared" si="26"/>
        <v>0</v>
      </c>
      <c r="BB75" s="214">
        <f t="shared" si="26"/>
        <v>0</v>
      </c>
      <c r="BC75" s="214">
        <f t="shared" si="26"/>
        <v>0</v>
      </c>
      <c r="BD75" s="214">
        <f t="shared" si="26"/>
        <v>0</v>
      </c>
      <c r="BE75" s="214">
        <f t="shared" si="26"/>
        <v>0</v>
      </c>
      <c r="BF75" s="210"/>
      <c r="BG75" s="211"/>
      <c r="BH75" s="210" t="str">
        <f t="shared" si="27"/>
        <v>lot7</v>
      </c>
      <c r="BI75" s="210">
        <f t="shared" si="28"/>
        <v>0</v>
      </c>
      <c r="BJ75" s="210">
        <f t="shared" si="28"/>
        <v>0</v>
      </c>
      <c r="BK75" s="210">
        <f t="shared" si="28"/>
        <v>0</v>
      </c>
      <c r="BL75" s="210">
        <f t="shared" si="28"/>
        <v>0</v>
      </c>
      <c r="BM75" s="210">
        <f t="shared" si="28"/>
        <v>0</v>
      </c>
      <c r="BN75" s="210">
        <f t="shared" si="28"/>
        <v>0</v>
      </c>
      <c r="BO75" s="210">
        <f t="shared" si="28"/>
        <v>0</v>
      </c>
      <c r="BP75" s="210">
        <f t="shared" si="28"/>
        <v>0</v>
      </c>
      <c r="BQ75" s="210">
        <f t="shared" si="28"/>
        <v>0</v>
      </c>
      <c r="BR75" s="210">
        <f t="shared" si="28"/>
        <v>0</v>
      </c>
      <c r="BS75" s="210">
        <f t="shared" si="28"/>
        <v>0</v>
      </c>
      <c r="BT75" s="210">
        <f t="shared" si="28"/>
        <v>0</v>
      </c>
      <c r="BU75" s="210">
        <f t="shared" si="28"/>
        <v>0</v>
      </c>
      <c r="BV75" s="210">
        <f t="shared" si="28"/>
        <v>0</v>
      </c>
      <c r="BW75" s="210">
        <f t="shared" si="28"/>
        <v>0</v>
      </c>
      <c r="BX75" s="210">
        <f t="shared" si="28"/>
        <v>0</v>
      </c>
      <c r="BY75" s="210">
        <f t="shared" si="28"/>
        <v>0</v>
      </c>
      <c r="BZ75" s="210">
        <f t="shared" si="28"/>
        <v>0</v>
      </c>
      <c r="CA75" s="210">
        <f t="shared" si="28"/>
        <v>0</v>
      </c>
      <c r="CB75" s="210">
        <f t="shared" si="28"/>
        <v>0</v>
      </c>
      <c r="CC75" s="210">
        <f t="shared" si="28"/>
        <v>0</v>
      </c>
      <c r="CD75" s="210">
        <f t="shared" si="28"/>
        <v>0</v>
      </c>
      <c r="CE75" s="210">
        <f t="shared" si="28"/>
        <v>0</v>
      </c>
      <c r="CF75" s="210">
        <f t="shared" si="28"/>
        <v>0</v>
      </c>
      <c r="CG75" s="210"/>
      <c r="CH75" s="210"/>
      <c r="CI75" s="211"/>
      <c r="CJ75" s="210" t="str">
        <f t="shared" si="29"/>
        <v>lot7</v>
      </c>
      <c r="CK75" s="214">
        <f t="shared" si="30"/>
        <v>0</v>
      </c>
      <c r="CL75" s="214">
        <f t="shared" si="30"/>
        <v>0</v>
      </c>
      <c r="CM75" s="214">
        <f t="shared" si="30"/>
        <v>0</v>
      </c>
      <c r="CN75" s="214">
        <f t="shared" si="30"/>
        <v>0</v>
      </c>
      <c r="CO75" s="214">
        <f t="shared" si="30"/>
        <v>0</v>
      </c>
      <c r="CP75" s="214">
        <f t="shared" si="30"/>
        <v>0</v>
      </c>
      <c r="CQ75" s="214">
        <f t="shared" si="30"/>
        <v>0</v>
      </c>
      <c r="CR75" s="214">
        <f t="shared" si="30"/>
        <v>0</v>
      </c>
      <c r="CS75" s="214">
        <f t="shared" si="30"/>
        <v>0</v>
      </c>
      <c r="CT75" s="214">
        <f t="shared" si="30"/>
        <v>0</v>
      </c>
      <c r="CU75" s="214">
        <f t="shared" si="30"/>
        <v>0</v>
      </c>
      <c r="CV75" s="214">
        <f t="shared" si="30"/>
        <v>0</v>
      </c>
      <c r="CW75" s="214">
        <f t="shared" si="30"/>
        <v>0</v>
      </c>
      <c r="CX75" s="214">
        <f t="shared" si="30"/>
        <v>0</v>
      </c>
      <c r="CY75" s="214">
        <f t="shared" si="30"/>
        <v>0</v>
      </c>
      <c r="CZ75" s="214">
        <f t="shared" si="30"/>
        <v>0</v>
      </c>
      <c r="DA75" s="214">
        <f t="shared" si="30"/>
        <v>0</v>
      </c>
      <c r="DB75" s="214">
        <f t="shared" si="30"/>
        <v>0</v>
      </c>
      <c r="DC75" s="214">
        <f t="shared" si="30"/>
        <v>0</v>
      </c>
      <c r="DD75" s="214">
        <f t="shared" si="30"/>
        <v>0</v>
      </c>
      <c r="DE75" s="214">
        <f t="shared" si="30"/>
        <v>0</v>
      </c>
      <c r="DF75" s="214">
        <f t="shared" si="30"/>
        <v>0</v>
      </c>
      <c r="DG75" s="214">
        <f t="shared" si="30"/>
        <v>0</v>
      </c>
      <c r="DH75" s="214">
        <f t="shared" si="30"/>
        <v>0</v>
      </c>
      <c r="DI75" s="210"/>
      <c r="DJ75" s="210"/>
      <c r="DK75" s="211"/>
      <c r="DL75" s="210" t="str">
        <f t="shared" si="31"/>
        <v>lot7</v>
      </c>
      <c r="DM75" s="214">
        <f t="shared" si="32"/>
        <v>0</v>
      </c>
      <c r="DN75" s="214">
        <f t="shared" si="32"/>
        <v>0</v>
      </c>
      <c r="DO75" s="214">
        <f t="shared" si="32"/>
        <v>0</v>
      </c>
      <c r="DP75" s="214">
        <f t="shared" si="32"/>
        <v>0</v>
      </c>
      <c r="DQ75" s="214">
        <f t="shared" si="32"/>
        <v>0</v>
      </c>
      <c r="DR75" s="214">
        <f t="shared" si="32"/>
        <v>0</v>
      </c>
      <c r="DS75" s="214">
        <f t="shared" si="32"/>
        <v>0</v>
      </c>
      <c r="DT75" s="214">
        <f t="shared" si="32"/>
        <v>0</v>
      </c>
      <c r="DU75" s="214">
        <f t="shared" si="32"/>
        <v>0</v>
      </c>
      <c r="DV75" s="214">
        <f t="shared" si="32"/>
        <v>0</v>
      </c>
      <c r="DW75" s="214">
        <f t="shared" si="32"/>
        <v>0</v>
      </c>
      <c r="DX75" s="214">
        <f t="shared" si="32"/>
        <v>0</v>
      </c>
      <c r="DY75" s="214">
        <f t="shared" si="32"/>
        <v>0</v>
      </c>
      <c r="DZ75" s="214">
        <f t="shared" si="32"/>
        <v>0</v>
      </c>
      <c r="EA75" s="214">
        <f t="shared" si="32"/>
        <v>0</v>
      </c>
      <c r="EB75" s="214">
        <f t="shared" si="32"/>
        <v>0</v>
      </c>
      <c r="EC75" s="214">
        <f t="shared" si="32"/>
        <v>0</v>
      </c>
      <c r="ED75" s="214">
        <f t="shared" si="32"/>
        <v>0</v>
      </c>
      <c r="EE75" s="214">
        <f t="shared" si="32"/>
        <v>0</v>
      </c>
      <c r="EF75" s="214">
        <f t="shared" si="32"/>
        <v>0</v>
      </c>
      <c r="EG75" s="214">
        <f t="shared" si="32"/>
        <v>0</v>
      </c>
      <c r="EH75" s="214">
        <f t="shared" si="32"/>
        <v>0</v>
      </c>
      <c r="EI75" s="214">
        <f t="shared" si="32"/>
        <v>0</v>
      </c>
      <c r="EJ75" s="214">
        <f t="shared" si="32"/>
        <v>0</v>
      </c>
    </row>
    <row r="76" spans="1:143" s="216" customFormat="1" x14ac:dyDescent="0.25">
      <c r="A76" s="5"/>
      <c r="B76" s="5"/>
      <c r="C76" s="5"/>
      <c r="D76" s="5"/>
      <c r="E76"/>
      <c r="F76"/>
      <c r="G76"/>
      <c r="H76"/>
      <c r="I76"/>
      <c r="J76"/>
      <c r="K76"/>
      <c r="L76"/>
      <c r="M76"/>
      <c r="N76"/>
      <c r="O76" s="201"/>
      <c r="P76"/>
      <c r="Q76"/>
      <c r="R76"/>
      <c r="S76"/>
      <c r="T76"/>
      <c r="U76"/>
      <c r="V76"/>
      <c r="W76"/>
      <c r="X76" s="210"/>
      <c r="Y76" s="210"/>
      <c r="Z76" s="210"/>
      <c r="AA76" s="210"/>
      <c r="AB76" s="210"/>
      <c r="AC76" s="210"/>
      <c r="AD76" s="210"/>
      <c r="AE76" s="210"/>
      <c r="AF76" s="210"/>
      <c r="AG76" s="210" t="str">
        <f t="shared" si="25"/>
        <v>lot8</v>
      </c>
      <c r="AH76" s="214">
        <f t="shared" si="26"/>
        <v>0</v>
      </c>
      <c r="AI76" s="214">
        <f t="shared" si="26"/>
        <v>0</v>
      </c>
      <c r="AJ76" s="214">
        <f t="shared" si="26"/>
        <v>0</v>
      </c>
      <c r="AK76" s="214">
        <f t="shared" si="26"/>
        <v>0</v>
      </c>
      <c r="AL76" s="214">
        <f t="shared" si="26"/>
        <v>0</v>
      </c>
      <c r="AM76" s="214">
        <f t="shared" si="26"/>
        <v>0</v>
      </c>
      <c r="AN76" s="214">
        <f t="shared" si="26"/>
        <v>0</v>
      </c>
      <c r="AO76" s="214">
        <f t="shared" si="26"/>
        <v>0</v>
      </c>
      <c r="AP76" s="214">
        <f t="shared" si="26"/>
        <v>0</v>
      </c>
      <c r="AQ76" s="214">
        <f t="shared" si="26"/>
        <v>0</v>
      </c>
      <c r="AR76" s="214">
        <f t="shared" si="26"/>
        <v>0</v>
      </c>
      <c r="AS76" s="214">
        <f t="shared" si="26"/>
        <v>0</v>
      </c>
      <c r="AT76" s="214">
        <f t="shared" si="26"/>
        <v>0</v>
      </c>
      <c r="AU76" s="214">
        <f t="shared" si="26"/>
        <v>0</v>
      </c>
      <c r="AV76" s="214">
        <f t="shared" si="26"/>
        <v>0</v>
      </c>
      <c r="AW76" s="214">
        <f t="shared" si="26"/>
        <v>0</v>
      </c>
      <c r="AX76" s="214">
        <f t="shared" si="26"/>
        <v>0</v>
      </c>
      <c r="AY76" s="214">
        <f t="shared" si="26"/>
        <v>0</v>
      </c>
      <c r="AZ76" s="214">
        <f t="shared" si="26"/>
        <v>0</v>
      </c>
      <c r="BA76" s="214">
        <f t="shared" si="26"/>
        <v>0</v>
      </c>
      <c r="BB76" s="214">
        <f t="shared" si="26"/>
        <v>0</v>
      </c>
      <c r="BC76" s="214">
        <f t="shared" si="26"/>
        <v>0</v>
      </c>
      <c r="BD76" s="214">
        <f t="shared" si="26"/>
        <v>0</v>
      </c>
      <c r="BE76" s="214">
        <f t="shared" si="26"/>
        <v>0</v>
      </c>
      <c r="BF76" s="210"/>
      <c r="BG76" s="211"/>
      <c r="BH76" s="210" t="str">
        <f t="shared" si="27"/>
        <v>lot8</v>
      </c>
      <c r="BI76" s="210">
        <f t="shared" si="28"/>
        <v>0</v>
      </c>
      <c r="BJ76" s="210">
        <f t="shared" si="28"/>
        <v>0</v>
      </c>
      <c r="BK76" s="210">
        <f t="shared" si="28"/>
        <v>0</v>
      </c>
      <c r="BL76" s="210">
        <f t="shared" si="28"/>
        <v>0</v>
      </c>
      <c r="BM76" s="210">
        <f t="shared" si="28"/>
        <v>0</v>
      </c>
      <c r="BN76" s="210">
        <f t="shared" si="28"/>
        <v>0</v>
      </c>
      <c r="BO76" s="210">
        <f t="shared" si="28"/>
        <v>0</v>
      </c>
      <c r="BP76" s="210">
        <f t="shared" si="28"/>
        <v>0</v>
      </c>
      <c r="BQ76" s="210">
        <f t="shared" si="28"/>
        <v>0</v>
      </c>
      <c r="BR76" s="210">
        <f t="shared" si="28"/>
        <v>0</v>
      </c>
      <c r="BS76" s="210">
        <f t="shared" si="28"/>
        <v>0</v>
      </c>
      <c r="BT76" s="210">
        <f t="shared" si="28"/>
        <v>0</v>
      </c>
      <c r="BU76" s="210">
        <f t="shared" si="28"/>
        <v>0</v>
      </c>
      <c r="BV76" s="210">
        <f t="shared" si="28"/>
        <v>0</v>
      </c>
      <c r="BW76" s="210">
        <f t="shared" si="28"/>
        <v>0</v>
      </c>
      <c r="BX76" s="210">
        <f t="shared" si="28"/>
        <v>0</v>
      </c>
      <c r="BY76" s="210">
        <f t="shared" si="28"/>
        <v>0</v>
      </c>
      <c r="BZ76" s="210">
        <f t="shared" si="28"/>
        <v>0</v>
      </c>
      <c r="CA76" s="210">
        <f t="shared" si="28"/>
        <v>0</v>
      </c>
      <c r="CB76" s="210">
        <f t="shared" si="28"/>
        <v>0</v>
      </c>
      <c r="CC76" s="210">
        <f t="shared" si="28"/>
        <v>0</v>
      </c>
      <c r="CD76" s="210">
        <f t="shared" si="28"/>
        <v>0</v>
      </c>
      <c r="CE76" s="210">
        <f t="shared" si="28"/>
        <v>0</v>
      </c>
      <c r="CF76" s="210">
        <f t="shared" si="28"/>
        <v>0</v>
      </c>
      <c r="CG76" s="210"/>
      <c r="CH76" s="210"/>
      <c r="CI76" s="211"/>
      <c r="CJ76" s="210" t="str">
        <f t="shared" si="29"/>
        <v>lot8</v>
      </c>
      <c r="CK76" s="214">
        <f t="shared" si="30"/>
        <v>0</v>
      </c>
      <c r="CL76" s="214">
        <f t="shared" si="30"/>
        <v>0</v>
      </c>
      <c r="CM76" s="214">
        <f t="shared" si="30"/>
        <v>0</v>
      </c>
      <c r="CN76" s="214">
        <f t="shared" si="30"/>
        <v>0</v>
      </c>
      <c r="CO76" s="214">
        <f t="shared" si="30"/>
        <v>0</v>
      </c>
      <c r="CP76" s="214">
        <f t="shared" si="30"/>
        <v>0</v>
      </c>
      <c r="CQ76" s="214">
        <f t="shared" si="30"/>
        <v>0</v>
      </c>
      <c r="CR76" s="214">
        <f t="shared" si="30"/>
        <v>0</v>
      </c>
      <c r="CS76" s="214">
        <f t="shared" si="30"/>
        <v>0</v>
      </c>
      <c r="CT76" s="214">
        <f t="shared" si="30"/>
        <v>0</v>
      </c>
      <c r="CU76" s="214">
        <f t="shared" si="30"/>
        <v>0</v>
      </c>
      <c r="CV76" s="214">
        <f t="shared" si="30"/>
        <v>0</v>
      </c>
      <c r="CW76" s="214">
        <f t="shared" si="30"/>
        <v>0</v>
      </c>
      <c r="CX76" s="214">
        <f t="shared" si="30"/>
        <v>0</v>
      </c>
      <c r="CY76" s="214">
        <f t="shared" si="30"/>
        <v>0</v>
      </c>
      <c r="CZ76" s="214">
        <f t="shared" si="30"/>
        <v>0</v>
      </c>
      <c r="DA76" s="214">
        <f t="shared" si="30"/>
        <v>0</v>
      </c>
      <c r="DB76" s="214">
        <f t="shared" si="30"/>
        <v>0</v>
      </c>
      <c r="DC76" s="214">
        <f t="shared" si="30"/>
        <v>0</v>
      </c>
      <c r="DD76" s="214">
        <f t="shared" si="30"/>
        <v>0</v>
      </c>
      <c r="DE76" s="214">
        <f t="shared" si="30"/>
        <v>0</v>
      </c>
      <c r="DF76" s="214">
        <f t="shared" si="30"/>
        <v>0</v>
      </c>
      <c r="DG76" s="214">
        <f t="shared" si="30"/>
        <v>0</v>
      </c>
      <c r="DH76" s="214">
        <f t="shared" si="30"/>
        <v>0</v>
      </c>
      <c r="DI76" s="210"/>
      <c r="DJ76" s="210"/>
      <c r="DK76" s="211"/>
      <c r="DL76" s="210" t="str">
        <f t="shared" si="31"/>
        <v>lot8</v>
      </c>
      <c r="DM76" s="214">
        <f t="shared" si="32"/>
        <v>0</v>
      </c>
      <c r="DN76" s="214">
        <f t="shared" si="32"/>
        <v>0</v>
      </c>
      <c r="DO76" s="214">
        <f t="shared" si="32"/>
        <v>0</v>
      </c>
      <c r="DP76" s="214">
        <f t="shared" si="32"/>
        <v>0</v>
      </c>
      <c r="DQ76" s="214">
        <f t="shared" si="32"/>
        <v>0</v>
      </c>
      <c r="DR76" s="214">
        <f t="shared" si="32"/>
        <v>0</v>
      </c>
      <c r="DS76" s="214">
        <f t="shared" si="32"/>
        <v>0</v>
      </c>
      <c r="DT76" s="214">
        <f t="shared" si="32"/>
        <v>0</v>
      </c>
      <c r="DU76" s="214">
        <f t="shared" si="32"/>
        <v>0</v>
      </c>
      <c r="DV76" s="214">
        <f t="shared" si="32"/>
        <v>0</v>
      </c>
      <c r="DW76" s="214">
        <f t="shared" si="32"/>
        <v>0</v>
      </c>
      <c r="DX76" s="214">
        <f t="shared" si="32"/>
        <v>0</v>
      </c>
      <c r="DY76" s="214">
        <f t="shared" si="32"/>
        <v>0</v>
      </c>
      <c r="DZ76" s="214">
        <f t="shared" si="32"/>
        <v>0</v>
      </c>
      <c r="EA76" s="214">
        <f t="shared" si="32"/>
        <v>0</v>
      </c>
      <c r="EB76" s="214">
        <f t="shared" si="32"/>
        <v>0</v>
      </c>
      <c r="EC76" s="214">
        <f t="shared" si="32"/>
        <v>0</v>
      </c>
      <c r="ED76" s="214">
        <f t="shared" si="32"/>
        <v>0</v>
      </c>
      <c r="EE76" s="214">
        <f t="shared" si="32"/>
        <v>0</v>
      </c>
      <c r="EF76" s="214">
        <f t="shared" si="32"/>
        <v>0</v>
      </c>
      <c r="EG76" s="214">
        <f t="shared" si="32"/>
        <v>0</v>
      </c>
      <c r="EH76" s="214">
        <f t="shared" si="32"/>
        <v>0</v>
      </c>
      <c r="EI76" s="214">
        <f t="shared" si="32"/>
        <v>0</v>
      </c>
      <c r="EJ76" s="214">
        <f t="shared" si="32"/>
        <v>0</v>
      </c>
      <c r="EK76"/>
      <c r="EL76"/>
      <c r="EM76"/>
    </row>
    <row r="77" spans="1:143" x14ac:dyDescent="0.25">
      <c r="A77" s="5"/>
      <c r="B77" s="5"/>
      <c r="C77" s="5"/>
      <c r="D77" s="5"/>
      <c r="X77" s="210"/>
      <c r="Y77" s="210"/>
      <c r="Z77" s="210"/>
      <c r="AA77" s="210"/>
      <c r="AB77" s="210"/>
      <c r="AC77" s="210"/>
      <c r="AD77" s="210"/>
      <c r="AE77" s="210"/>
      <c r="AF77" s="210"/>
      <c r="AG77" s="210" t="str">
        <f t="shared" si="25"/>
        <v>lot9</v>
      </c>
      <c r="AH77" s="214">
        <f t="shared" si="26"/>
        <v>0</v>
      </c>
      <c r="AI77" s="214">
        <f t="shared" si="26"/>
        <v>0</v>
      </c>
      <c r="AJ77" s="214">
        <f t="shared" si="26"/>
        <v>0</v>
      </c>
      <c r="AK77" s="214">
        <f t="shared" si="26"/>
        <v>0</v>
      </c>
      <c r="AL77" s="214">
        <f t="shared" si="26"/>
        <v>0</v>
      </c>
      <c r="AM77" s="214">
        <f t="shared" si="26"/>
        <v>0</v>
      </c>
      <c r="AN77" s="214">
        <f t="shared" si="26"/>
        <v>0</v>
      </c>
      <c r="AO77" s="214">
        <f t="shared" si="26"/>
        <v>0</v>
      </c>
      <c r="AP77" s="214">
        <f t="shared" si="26"/>
        <v>0</v>
      </c>
      <c r="AQ77" s="214">
        <f t="shared" si="26"/>
        <v>0</v>
      </c>
      <c r="AR77" s="214">
        <f t="shared" si="26"/>
        <v>0</v>
      </c>
      <c r="AS77" s="214">
        <f t="shared" si="26"/>
        <v>0</v>
      </c>
      <c r="AT77" s="214">
        <f t="shared" si="26"/>
        <v>0</v>
      </c>
      <c r="AU77" s="214">
        <f t="shared" si="26"/>
        <v>0</v>
      </c>
      <c r="AV77" s="214">
        <f t="shared" si="26"/>
        <v>0</v>
      </c>
      <c r="AW77" s="214">
        <f t="shared" si="26"/>
        <v>0</v>
      </c>
      <c r="AX77" s="214">
        <f t="shared" si="26"/>
        <v>0</v>
      </c>
      <c r="AY77" s="214">
        <f t="shared" si="26"/>
        <v>0</v>
      </c>
      <c r="AZ77" s="214">
        <f t="shared" si="26"/>
        <v>0</v>
      </c>
      <c r="BA77" s="214">
        <f t="shared" si="26"/>
        <v>0</v>
      </c>
      <c r="BB77" s="214">
        <f t="shared" si="26"/>
        <v>0</v>
      </c>
      <c r="BC77" s="214">
        <f t="shared" si="26"/>
        <v>0</v>
      </c>
      <c r="BD77" s="214">
        <f t="shared" si="26"/>
        <v>0</v>
      </c>
      <c r="BE77" s="214">
        <f t="shared" si="26"/>
        <v>0</v>
      </c>
      <c r="BF77" s="210"/>
      <c r="BG77" s="211"/>
      <c r="BH77" s="210" t="str">
        <f t="shared" si="27"/>
        <v>lot9</v>
      </c>
      <c r="BI77" s="210">
        <f t="shared" si="28"/>
        <v>0</v>
      </c>
      <c r="BJ77" s="210">
        <f t="shared" si="28"/>
        <v>0</v>
      </c>
      <c r="BK77" s="210">
        <f t="shared" si="28"/>
        <v>0</v>
      </c>
      <c r="BL77" s="210">
        <f t="shared" si="28"/>
        <v>0</v>
      </c>
      <c r="BM77" s="210">
        <f t="shared" si="28"/>
        <v>0</v>
      </c>
      <c r="BN77" s="210">
        <f t="shared" si="28"/>
        <v>0</v>
      </c>
      <c r="BO77" s="210">
        <f t="shared" si="28"/>
        <v>0</v>
      </c>
      <c r="BP77" s="210">
        <f t="shared" si="28"/>
        <v>0</v>
      </c>
      <c r="BQ77" s="210">
        <f t="shared" si="28"/>
        <v>0</v>
      </c>
      <c r="BR77" s="210">
        <f t="shared" si="28"/>
        <v>0</v>
      </c>
      <c r="BS77" s="210">
        <f t="shared" si="28"/>
        <v>0</v>
      </c>
      <c r="BT77" s="210">
        <f t="shared" si="28"/>
        <v>0</v>
      </c>
      <c r="BU77" s="210">
        <f t="shared" si="28"/>
        <v>0</v>
      </c>
      <c r="BV77" s="210">
        <f t="shared" si="28"/>
        <v>0</v>
      </c>
      <c r="BW77" s="210">
        <f t="shared" si="28"/>
        <v>0</v>
      </c>
      <c r="BX77" s="210">
        <f t="shared" si="28"/>
        <v>0</v>
      </c>
      <c r="BY77" s="210">
        <f t="shared" si="28"/>
        <v>0</v>
      </c>
      <c r="BZ77" s="210">
        <f t="shared" si="28"/>
        <v>0</v>
      </c>
      <c r="CA77" s="210">
        <f t="shared" si="28"/>
        <v>0</v>
      </c>
      <c r="CB77" s="210">
        <f t="shared" si="28"/>
        <v>0</v>
      </c>
      <c r="CC77" s="210">
        <f t="shared" si="28"/>
        <v>0</v>
      </c>
      <c r="CD77" s="210">
        <f t="shared" si="28"/>
        <v>0</v>
      </c>
      <c r="CE77" s="210">
        <f t="shared" si="28"/>
        <v>0</v>
      </c>
      <c r="CF77" s="210">
        <f t="shared" si="28"/>
        <v>0</v>
      </c>
      <c r="CG77" s="210"/>
      <c r="CH77" s="210"/>
      <c r="CI77" s="211"/>
      <c r="CJ77" s="210" t="str">
        <f t="shared" si="29"/>
        <v>lot9</v>
      </c>
      <c r="CK77" s="214">
        <f t="shared" si="30"/>
        <v>0</v>
      </c>
      <c r="CL77" s="214">
        <f t="shared" si="30"/>
        <v>0</v>
      </c>
      <c r="CM77" s="214">
        <f t="shared" si="30"/>
        <v>0</v>
      </c>
      <c r="CN77" s="214">
        <f t="shared" si="30"/>
        <v>0</v>
      </c>
      <c r="CO77" s="214">
        <f t="shared" si="30"/>
        <v>0</v>
      </c>
      <c r="CP77" s="214">
        <f t="shared" si="30"/>
        <v>0</v>
      </c>
      <c r="CQ77" s="214">
        <f t="shared" si="30"/>
        <v>0</v>
      </c>
      <c r="CR77" s="214">
        <f t="shared" si="30"/>
        <v>0</v>
      </c>
      <c r="CS77" s="214">
        <f t="shared" si="30"/>
        <v>0</v>
      </c>
      <c r="CT77" s="214">
        <f t="shared" si="30"/>
        <v>0</v>
      </c>
      <c r="CU77" s="214">
        <f t="shared" si="30"/>
        <v>0</v>
      </c>
      <c r="CV77" s="214">
        <f t="shared" si="30"/>
        <v>0</v>
      </c>
      <c r="CW77" s="214">
        <f t="shared" si="30"/>
        <v>0</v>
      </c>
      <c r="CX77" s="214">
        <f t="shared" si="30"/>
        <v>0</v>
      </c>
      <c r="CY77" s="214">
        <f t="shared" si="30"/>
        <v>0</v>
      </c>
      <c r="CZ77" s="214">
        <f t="shared" si="30"/>
        <v>0</v>
      </c>
      <c r="DA77" s="214">
        <f t="shared" si="30"/>
        <v>0</v>
      </c>
      <c r="DB77" s="214">
        <f t="shared" si="30"/>
        <v>0</v>
      </c>
      <c r="DC77" s="214">
        <f t="shared" si="30"/>
        <v>0</v>
      </c>
      <c r="DD77" s="214">
        <f t="shared" si="30"/>
        <v>0</v>
      </c>
      <c r="DE77" s="214">
        <f t="shared" si="30"/>
        <v>0</v>
      </c>
      <c r="DF77" s="214">
        <f t="shared" si="30"/>
        <v>0</v>
      </c>
      <c r="DG77" s="214">
        <f t="shared" si="30"/>
        <v>0</v>
      </c>
      <c r="DH77" s="214">
        <f t="shared" si="30"/>
        <v>0</v>
      </c>
      <c r="DI77" s="210"/>
      <c r="DJ77" s="210"/>
      <c r="DK77" s="211"/>
      <c r="DL77" s="210" t="str">
        <f t="shared" si="31"/>
        <v>lot9</v>
      </c>
      <c r="DM77" s="214">
        <f t="shared" si="32"/>
        <v>0</v>
      </c>
      <c r="DN77" s="214">
        <f t="shared" si="32"/>
        <v>0</v>
      </c>
      <c r="DO77" s="214">
        <f t="shared" si="32"/>
        <v>0</v>
      </c>
      <c r="DP77" s="214">
        <f t="shared" si="32"/>
        <v>0</v>
      </c>
      <c r="DQ77" s="214">
        <f t="shared" si="32"/>
        <v>0</v>
      </c>
      <c r="DR77" s="214">
        <f t="shared" si="32"/>
        <v>0</v>
      </c>
      <c r="DS77" s="214">
        <f t="shared" si="32"/>
        <v>0</v>
      </c>
      <c r="DT77" s="214">
        <f t="shared" si="32"/>
        <v>0</v>
      </c>
      <c r="DU77" s="214">
        <f t="shared" si="32"/>
        <v>0</v>
      </c>
      <c r="DV77" s="214">
        <f t="shared" si="32"/>
        <v>0</v>
      </c>
      <c r="DW77" s="214">
        <f t="shared" si="32"/>
        <v>0</v>
      </c>
      <c r="DX77" s="214">
        <f t="shared" si="32"/>
        <v>0</v>
      </c>
      <c r="DY77" s="214">
        <f t="shared" si="32"/>
        <v>0</v>
      </c>
      <c r="DZ77" s="214">
        <f t="shared" si="32"/>
        <v>0</v>
      </c>
      <c r="EA77" s="214">
        <f t="shared" si="32"/>
        <v>0</v>
      </c>
      <c r="EB77" s="214">
        <f t="shared" si="32"/>
        <v>0</v>
      </c>
      <c r="EC77" s="214">
        <f t="shared" si="32"/>
        <v>0</v>
      </c>
      <c r="ED77" s="214">
        <f t="shared" si="32"/>
        <v>0</v>
      </c>
      <c r="EE77" s="214">
        <f t="shared" si="32"/>
        <v>0</v>
      </c>
      <c r="EF77" s="214">
        <f t="shared" si="32"/>
        <v>0</v>
      </c>
      <c r="EG77" s="214">
        <f t="shared" si="32"/>
        <v>0</v>
      </c>
      <c r="EH77" s="214">
        <f t="shared" si="32"/>
        <v>0</v>
      </c>
      <c r="EI77" s="214">
        <f t="shared" si="32"/>
        <v>0</v>
      </c>
      <c r="EJ77" s="214">
        <f t="shared" si="32"/>
        <v>0</v>
      </c>
    </row>
    <row r="78" spans="1:143" x14ac:dyDescent="0.25">
      <c r="A78" s="218" t="s">
        <v>987</v>
      </c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3"/>
      <c r="X78" s="210"/>
      <c r="Y78" s="210"/>
      <c r="Z78" s="210"/>
      <c r="AA78" s="210"/>
      <c r="AB78" s="210"/>
      <c r="AC78" s="210"/>
      <c r="AD78" s="210"/>
      <c r="AE78" s="210"/>
      <c r="AF78" s="210"/>
      <c r="AG78" s="210" t="str">
        <f t="shared" si="25"/>
        <v>lot10</v>
      </c>
      <c r="AH78" s="214">
        <f t="shared" si="26"/>
        <v>0</v>
      </c>
      <c r="AI78" s="214">
        <f t="shared" si="26"/>
        <v>0</v>
      </c>
      <c r="AJ78" s="214">
        <f t="shared" si="26"/>
        <v>0</v>
      </c>
      <c r="AK78" s="214">
        <f t="shared" si="26"/>
        <v>0</v>
      </c>
      <c r="AL78" s="214">
        <f t="shared" si="26"/>
        <v>0</v>
      </c>
      <c r="AM78" s="214">
        <f t="shared" si="26"/>
        <v>0</v>
      </c>
      <c r="AN78" s="214">
        <f t="shared" si="26"/>
        <v>0</v>
      </c>
      <c r="AO78" s="214">
        <f t="shared" si="26"/>
        <v>0</v>
      </c>
      <c r="AP78" s="214">
        <f t="shared" si="26"/>
        <v>0</v>
      </c>
      <c r="AQ78" s="214">
        <f t="shared" si="26"/>
        <v>0</v>
      </c>
      <c r="AR78" s="214">
        <f t="shared" si="26"/>
        <v>0</v>
      </c>
      <c r="AS78" s="214">
        <f t="shared" si="26"/>
        <v>0</v>
      </c>
      <c r="AT78" s="214">
        <f t="shared" si="26"/>
        <v>0</v>
      </c>
      <c r="AU78" s="214">
        <f t="shared" si="26"/>
        <v>0</v>
      </c>
      <c r="AV78" s="214">
        <f t="shared" si="26"/>
        <v>0</v>
      </c>
      <c r="AW78" s="214">
        <f t="shared" si="26"/>
        <v>0</v>
      </c>
      <c r="AX78" s="214">
        <f t="shared" si="26"/>
        <v>0</v>
      </c>
      <c r="AY78" s="214">
        <f t="shared" si="26"/>
        <v>0</v>
      </c>
      <c r="AZ78" s="214">
        <f t="shared" si="26"/>
        <v>0</v>
      </c>
      <c r="BA78" s="214">
        <f t="shared" si="26"/>
        <v>0</v>
      </c>
      <c r="BB78" s="214">
        <f t="shared" si="26"/>
        <v>0</v>
      </c>
      <c r="BC78" s="214">
        <f t="shared" si="26"/>
        <v>0</v>
      </c>
      <c r="BD78" s="214">
        <f t="shared" si="26"/>
        <v>0</v>
      </c>
      <c r="BE78" s="214">
        <f t="shared" si="26"/>
        <v>0</v>
      </c>
      <c r="BF78" s="210"/>
      <c r="BG78" s="211"/>
      <c r="BH78" s="210" t="str">
        <f t="shared" si="27"/>
        <v>lot10</v>
      </c>
      <c r="BI78" s="210">
        <f t="shared" si="28"/>
        <v>0</v>
      </c>
      <c r="BJ78" s="210">
        <f t="shared" si="28"/>
        <v>0</v>
      </c>
      <c r="BK78" s="210">
        <f t="shared" si="28"/>
        <v>0</v>
      </c>
      <c r="BL78" s="210">
        <f t="shared" si="28"/>
        <v>0</v>
      </c>
      <c r="BM78" s="210">
        <f t="shared" si="28"/>
        <v>0</v>
      </c>
      <c r="BN78" s="210">
        <f t="shared" si="28"/>
        <v>0</v>
      </c>
      <c r="BO78" s="210">
        <f t="shared" si="28"/>
        <v>0</v>
      </c>
      <c r="BP78" s="210">
        <f t="shared" si="28"/>
        <v>0</v>
      </c>
      <c r="BQ78" s="210">
        <f t="shared" si="28"/>
        <v>0</v>
      </c>
      <c r="BR78" s="210">
        <f t="shared" si="28"/>
        <v>0</v>
      </c>
      <c r="BS78" s="210">
        <f t="shared" si="28"/>
        <v>0</v>
      </c>
      <c r="BT78" s="210">
        <f t="shared" si="28"/>
        <v>0</v>
      </c>
      <c r="BU78" s="210">
        <f t="shared" si="28"/>
        <v>0</v>
      </c>
      <c r="BV78" s="210">
        <f t="shared" si="28"/>
        <v>0</v>
      </c>
      <c r="BW78" s="210">
        <f t="shared" si="28"/>
        <v>0</v>
      </c>
      <c r="BX78" s="210">
        <f t="shared" si="28"/>
        <v>0</v>
      </c>
      <c r="BY78" s="210">
        <f t="shared" si="28"/>
        <v>0</v>
      </c>
      <c r="BZ78" s="210">
        <f t="shared" si="28"/>
        <v>0</v>
      </c>
      <c r="CA78" s="210">
        <f t="shared" si="28"/>
        <v>0</v>
      </c>
      <c r="CB78" s="210">
        <f t="shared" si="28"/>
        <v>0</v>
      </c>
      <c r="CC78" s="210">
        <f t="shared" si="28"/>
        <v>0</v>
      </c>
      <c r="CD78" s="210">
        <f t="shared" si="28"/>
        <v>0</v>
      </c>
      <c r="CE78" s="210">
        <f t="shared" si="28"/>
        <v>0</v>
      </c>
      <c r="CF78" s="210">
        <f t="shared" si="28"/>
        <v>0</v>
      </c>
      <c r="CG78" s="210"/>
      <c r="CH78" s="210"/>
      <c r="CI78" s="211"/>
      <c r="CJ78" s="210" t="str">
        <f t="shared" si="29"/>
        <v>lot10</v>
      </c>
      <c r="CK78" s="214">
        <f t="shared" si="30"/>
        <v>0</v>
      </c>
      <c r="CL78" s="214">
        <f t="shared" si="30"/>
        <v>0</v>
      </c>
      <c r="CM78" s="214">
        <f t="shared" si="30"/>
        <v>0</v>
      </c>
      <c r="CN78" s="214">
        <f t="shared" si="30"/>
        <v>0</v>
      </c>
      <c r="CO78" s="214">
        <f t="shared" si="30"/>
        <v>0</v>
      </c>
      <c r="CP78" s="214">
        <f t="shared" si="30"/>
        <v>0</v>
      </c>
      <c r="CQ78" s="214">
        <f t="shared" si="30"/>
        <v>0</v>
      </c>
      <c r="CR78" s="214">
        <f t="shared" si="30"/>
        <v>0</v>
      </c>
      <c r="CS78" s="214">
        <f t="shared" si="30"/>
        <v>0</v>
      </c>
      <c r="CT78" s="214">
        <f t="shared" si="30"/>
        <v>0</v>
      </c>
      <c r="CU78" s="214">
        <f t="shared" si="30"/>
        <v>0</v>
      </c>
      <c r="CV78" s="214">
        <f t="shared" si="30"/>
        <v>0</v>
      </c>
      <c r="CW78" s="214">
        <f t="shared" si="30"/>
        <v>0</v>
      </c>
      <c r="CX78" s="214">
        <f t="shared" si="30"/>
        <v>0</v>
      </c>
      <c r="CY78" s="214">
        <f t="shared" si="30"/>
        <v>0</v>
      </c>
      <c r="CZ78" s="214">
        <f t="shared" si="30"/>
        <v>0</v>
      </c>
      <c r="DA78" s="214">
        <f t="shared" si="30"/>
        <v>0</v>
      </c>
      <c r="DB78" s="214">
        <f t="shared" si="30"/>
        <v>0</v>
      </c>
      <c r="DC78" s="214">
        <f t="shared" si="30"/>
        <v>0</v>
      </c>
      <c r="DD78" s="214">
        <f t="shared" si="30"/>
        <v>0</v>
      </c>
      <c r="DE78" s="214">
        <f t="shared" si="30"/>
        <v>0</v>
      </c>
      <c r="DF78" s="214">
        <f t="shared" si="30"/>
        <v>0</v>
      </c>
      <c r="DG78" s="214">
        <f t="shared" si="30"/>
        <v>0</v>
      </c>
      <c r="DH78" s="214">
        <f t="shared" si="30"/>
        <v>0</v>
      </c>
      <c r="DI78" s="210"/>
      <c r="DJ78" s="210"/>
      <c r="DK78" s="211"/>
      <c r="DL78" s="210" t="str">
        <f t="shared" si="31"/>
        <v>lot10</v>
      </c>
      <c r="DM78" s="214">
        <f t="shared" si="32"/>
        <v>0</v>
      </c>
      <c r="DN78" s="214">
        <f t="shared" si="32"/>
        <v>0</v>
      </c>
      <c r="DO78" s="214">
        <f t="shared" si="32"/>
        <v>0</v>
      </c>
      <c r="DP78" s="214">
        <f t="shared" si="32"/>
        <v>0</v>
      </c>
      <c r="DQ78" s="214">
        <f t="shared" si="32"/>
        <v>0</v>
      </c>
      <c r="DR78" s="214">
        <f t="shared" si="32"/>
        <v>0</v>
      </c>
      <c r="DS78" s="214">
        <f t="shared" si="32"/>
        <v>0</v>
      </c>
      <c r="DT78" s="214">
        <f t="shared" si="32"/>
        <v>0</v>
      </c>
      <c r="DU78" s="214">
        <f t="shared" si="32"/>
        <v>0</v>
      </c>
      <c r="DV78" s="214">
        <f t="shared" si="32"/>
        <v>0</v>
      </c>
      <c r="DW78" s="214">
        <f t="shared" si="32"/>
        <v>0</v>
      </c>
      <c r="DX78" s="214">
        <f t="shared" si="32"/>
        <v>0</v>
      </c>
      <c r="DY78" s="214">
        <f t="shared" si="32"/>
        <v>0</v>
      </c>
      <c r="DZ78" s="214">
        <f t="shared" si="32"/>
        <v>0</v>
      </c>
      <c r="EA78" s="214">
        <f t="shared" si="32"/>
        <v>0</v>
      </c>
      <c r="EB78" s="214">
        <f t="shared" si="32"/>
        <v>0</v>
      </c>
      <c r="EC78" s="214">
        <f t="shared" si="32"/>
        <v>0</v>
      </c>
      <c r="ED78" s="214">
        <f t="shared" si="32"/>
        <v>0</v>
      </c>
      <c r="EE78" s="214">
        <f t="shared" si="32"/>
        <v>0</v>
      </c>
      <c r="EF78" s="214">
        <f t="shared" si="32"/>
        <v>0</v>
      </c>
      <c r="EG78" s="214">
        <f t="shared" si="32"/>
        <v>0</v>
      </c>
      <c r="EH78" s="214">
        <f t="shared" si="32"/>
        <v>0</v>
      </c>
      <c r="EI78" s="214">
        <f t="shared" si="32"/>
        <v>0</v>
      </c>
      <c r="EJ78" s="214">
        <f t="shared" si="32"/>
        <v>0</v>
      </c>
    </row>
    <row r="79" spans="1:143" x14ac:dyDescent="0.25">
      <c r="X79" s="210"/>
      <c r="Y79" s="210"/>
      <c r="Z79" s="210"/>
      <c r="AA79" s="210"/>
      <c r="AB79" s="210"/>
      <c r="AC79" s="210"/>
      <c r="AD79" s="210"/>
      <c r="AE79" s="210"/>
      <c r="AF79" s="210" t="s">
        <v>655</v>
      </c>
      <c r="AG79" s="212" t="e">
        <f ca="1">SUM(AH69:BE78)</f>
        <v>#REF!</v>
      </c>
      <c r="AH79" s="210" t="s">
        <v>988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1" t="s">
        <v>655</v>
      </c>
      <c r="BH79" s="210">
        <f>SUM(BI69:CF78)</f>
        <v>0</v>
      </c>
      <c r="BI79" s="210" t="s">
        <v>988</v>
      </c>
      <c r="BJ79" s="210"/>
      <c r="BK79" s="210"/>
      <c r="BL79" s="210"/>
      <c r="BM79" s="210"/>
      <c r="BN79" s="210"/>
      <c r="BO79" s="210"/>
      <c r="BP79" s="210"/>
      <c r="BQ79" s="210"/>
      <c r="BR79" s="210"/>
      <c r="BS79" s="210"/>
      <c r="BT79" s="210"/>
      <c r="BU79" s="210"/>
      <c r="BV79" s="210"/>
      <c r="BW79" s="210"/>
      <c r="BX79" s="210"/>
      <c r="BY79" s="210"/>
      <c r="BZ79" s="210"/>
      <c r="CA79" s="210"/>
      <c r="CB79" s="210"/>
      <c r="CC79" s="210"/>
      <c r="CD79" s="210"/>
      <c r="CE79" s="210"/>
      <c r="CF79" s="210"/>
      <c r="CG79" s="210"/>
      <c r="CH79" s="210"/>
      <c r="CI79" s="211" t="s">
        <v>655</v>
      </c>
      <c r="CJ79" s="210">
        <f>SUM(CK69:DH78)</f>
        <v>0</v>
      </c>
      <c r="CK79" s="210" t="s">
        <v>988</v>
      </c>
      <c r="CL79" s="210"/>
      <c r="CM79" s="210"/>
      <c r="CN79" s="210"/>
      <c r="CO79" s="210"/>
      <c r="CP79" s="210"/>
      <c r="CQ79" s="210"/>
      <c r="CR79" s="210"/>
      <c r="CS79" s="210"/>
      <c r="CT79" s="210"/>
      <c r="CU79" s="210"/>
      <c r="CV79" s="210"/>
      <c r="CW79" s="210"/>
      <c r="CX79" s="210"/>
      <c r="CY79" s="210"/>
      <c r="CZ79" s="210"/>
      <c r="DA79" s="210"/>
      <c r="DB79" s="210"/>
      <c r="DC79" s="210"/>
      <c r="DD79" s="210"/>
      <c r="DE79" s="210"/>
      <c r="DF79" s="210"/>
      <c r="DG79" s="210"/>
      <c r="DH79" s="210"/>
      <c r="DI79" s="210"/>
      <c r="DJ79" s="210"/>
      <c r="DK79" s="211" t="s">
        <v>655</v>
      </c>
      <c r="DL79" s="210">
        <f>SUM(DM69:EJ78)</f>
        <v>0</v>
      </c>
      <c r="DM79" s="210" t="s">
        <v>988</v>
      </c>
      <c r="DN79" s="210"/>
      <c r="DO79" s="210"/>
      <c r="DP79" s="210"/>
      <c r="DQ79" s="210"/>
      <c r="DR79" s="210"/>
      <c r="DS79" s="210"/>
      <c r="DT79" s="210"/>
      <c r="DU79" s="210"/>
      <c r="DV79" s="210"/>
      <c r="DW79" s="210"/>
      <c r="DX79" s="210"/>
      <c r="DY79" s="210"/>
      <c r="DZ79" s="210"/>
      <c r="EA79" s="210"/>
      <c r="EB79" s="210"/>
      <c r="EC79" s="210"/>
      <c r="ED79" s="210"/>
      <c r="EE79" s="210"/>
      <c r="EF79" s="210"/>
      <c r="EG79" s="210"/>
      <c r="EH79" s="210"/>
      <c r="EI79" s="210"/>
      <c r="EJ79" s="210"/>
    </row>
    <row r="80" spans="1:143" x14ac:dyDescent="0.25">
      <c r="A80" s="2" t="s">
        <v>989</v>
      </c>
      <c r="D80" s="33" t="s">
        <v>990</v>
      </c>
      <c r="X80" s="210"/>
      <c r="Y80" s="210"/>
      <c r="Z80" s="210"/>
      <c r="AA80" s="210"/>
      <c r="AB80" s="210"/>
      <c r="AC80" s="210"/>
      <c r="AD80" s="210"/>
      <c r="AE80" s="210"/>
      <c r="AF80" s="211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1"/>
      <c r="BH80" s="210"/>
      <c r="BI80" s="210"/>
      <c r="BJ80" s="210"/>
      <c r="BK80" s="210"/>
      <c r="BL80" s="210"/>
      <c r="BM80" s="210"/>
      <c r="BN80" s="210"/>
      <c r="BO80" s="210"/>
      <c r="BP80" s="210"/>
      <c r="BQ80" s="210"/>
      <c r="BR80" s="210"/>
      <c r="BS80" s="210"/>
      <c r="BT80" s="210"/>
      <c r="BU80" s="210"/>
      <c r="BV80" s="210"/>
      <c r="BW80" s="210"/>
      <c r="BX80" s="210"/>
      <c r="BY80" s="210"/>
      <c r="BZ80" s="210"/>
      <c r="CA80" s="210"/>
      <c r="CB80" s="210"/>
      <c r="CC80" s="210"/>
      <c r="CD80" s="210"/>
      <c r="CE80" s="210"/>
      <c r="CF80" s="210"/>
      <c r="CG80" s="210"/>
      <c r="CH80" s="210"/>
      <c r="CI80" s="210"/>
      <c r="CJ80" s="210"/>
      <c r="CK80" s="210"/>
      <c r="CL80" s="210"/>
      <c r="CM80" s="210"/>
      <c r="CN80" s="210"/>
      <c r="CO80" s="210"/>
      <c r="CP80" s="210"/>
      <c r="CQ80" s="210"/>
      <c r="CR80" s="210"/>
      <c r="CS80" s="210"/>
      <c r="CT80" s="210"/>
      <c r="CU80" s="210"/>
      <c r="CV80" s="210"/>
      <c r="CW80" s="210"/>
      <c r="CX80" s="210"/>
      <c r="CY80" s="210"/>
      <c r="CZ80" s="210"/>
      <c r="DA80" s="210"/>
      <c r="DB80" s="210"/>
      <c r="DC80" s="210"/>
      <c r="DD80" s="210"/>
      <c r="DE80" s="210"/>
      <c r="DF80" s="210"/>
      <c r="DG80" s="210"/>
      <c r="DH80" s="210"/>
      <c r="DI80" s="210"/>
      <c r="DJ80" s="210"/>
      <c r="DK80" s="210"/>
      <c r="DL80" s="210"/>
      <c r="DM80" s="210"/>
      <c r="DN80" s="210"/>
      <c r="DO80" s="210"/>
      <c r="DP80" s="210"/>
      <c r="DQ80" s="210"/>
      <c r="DR80" s="210"/>
      <c r="DS80" s="210"/>
      <c r="DT80" s="210"/>
      <c r="DU80" s="210"/>
      <c r="DV80" s="210"/>
      <c r="DW80" s="210"/>
      <c r="DX80" s="210"/>
      <c r="DY80" s="210"/>
      <c r="DZ80" s="210"/>
      <c r="EA80" s="210"/>
      <c r="EB80" s="210"/>
      <c r="EC80" s="210"/>
      <c r="ED80" s="210"/>
      <c r="EE80" s="210"/>
      <c r="EF80" s="210"/>
      <c r="EG80" s="210"/>
      <c r="EH80" s="210"/>
      <c r="EI80" s="210"/>
      <c r="EJ80" s="210"/>
    </row>
    <row r="81" spans="1:143" x14ac:dyDescent="0.25">
      <c r="A81" s="2" t="s">
        <v>991</v>
      </c>
      <c r="C81" s="36" t="s">
        <v>992</v>
      </c>
      <c r="D81" s="165" t="str">
        <f>Troupeau!B3</f>
        <v>BV</v>
      </c>
      <c r="E81" s="165">
        <f>Troupeau!C3</f>
        <v>0</v>
      </c>
      <c r="F81" s="165">
        <f>Troupeau!D3</f>
        <v>0</v>
      </c>
      <c r="J81" s="165" t="s">
        <v>13</v>
      </c>
      <c r="K81" s="165" t="str">
        <f>Troupeau!B3</f>
        <v>BV</v>
      </c>
      <c r="L81" s="165">
        <f>Troupeau!C3</f>
        <v>0</v>
      </c>
      <c r="M81" s="165">
        <f>Troupeau!D3</f>
        <v>0</v>
      </c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171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19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</row>
    <row r="82" spans="1:143" x14ac:dyDescent="0.25">
      <c r="A82" s="216" t="str">
        <f>'Conduite Trp'!B11</f>
        <v>1 -maïs-grain</v>
      </c>
      <c r="C82" s="183">
        <f>[1]Conc!$D5</f>
        <v>200</v>
      </c>
      <c r="D82" s="168">
        <f>BY89+CC89</f>
        <v>6</v>
      </c>
      <c r="E82" s="168">
        <f t="shared" ref="E82:F97" si="33">BZ89+CD89</f>
        <v>0</v>
      </c>
      <c r="F82" s="168">
        <f t="shared" si="33"/>
        <v>0</v>
      </c>
      <c r="J82" s="168">
        <f>SUM(K82:M82)</f>
        <v>1200</v>
      </c>
      <c r="K82" s="168">
        <f>$C82*D82</f>
        <v>1200</v>
      </c>
      <c r="L82" s="168">
        <f t="shared" ref="L82:M97" si="34">$C82*E82</f>
        <v>0</v>
      </c>
      <c r="M82" s="168">
        <f t="shared" si="34"/>
        <v>0</v>
      </c>
      <c r="X82" s="14" t="s">
        <v>993</v>
      </c>
      <c r="Y82" s="168">
        <f>B14</f>
        <v>3</v>
      </c>
    </row>
    <row r="83" spans="1:143" x14ac:dyDescent="0.25">
      <c r="A83" s="216" t="str">
        <f>'Conduite Trp'!B12</f>
        <v>2 -grain céréales à paille</v>
      </c>
      <c r="C83" s="183">
        <f>[1]Conc!$D6</f>
        <v>165</v>
      </c>
      <c r="D83" s="168">
        <f t="shared" ref="D83:F103" si="35">BY90+CC90</f>
        <v>2.6999999999999997</v>
      </c>
      <c r="E83" s="168">
        <f t="shared" si="33"/>
        <v>0</v>
      </c>
      <c r="F83" s="168">
        <f t="shared" si="33"/>
        <v>0</v>
      </c>
      <c r="J83" s="168">
        <f t="shared" ref="J83:J106" si="36">SUM(K83:M83)</f>
        <v>445.49999999999994</v>
      </c>
      <c r="K83" s="168">
        <f t="shared" ref="K83:M106" si="37">$C83*D83</f>
        <v>445.49999999999994</v>
      </c>
      <c r="L83" s="168">
        <f t="shared" si="34"/>
        <v>0</v>
      </c>
      <c r="M83" s="168">
        <f t="shared" si="34"/>
        <v>0</v>
      </c>
      <c r="Q83" s="2" t="s">
        <v>994</v>
      </c>
      <c r="X83" s="14" t="s">
        <v>995</v>
      </c>
      <c r="Y83" s="168">
        <f>U12</f>
        <v>0</v>
      </c>
    </row>
    <row r="84" spans="1:143" x14ac:dyDescent="0.25">
      <c r="A84" s="216" t="str">
        <f>'Conduite Trp'!B13</f>
        <v>3 -graines protéagineux</v>
      </c>
      <c r="C84" s="183">
        <f>[1]Conc!$D7</f>
        <v>0</v>
      </c>
      <c r="D84" s="168">
        <f t="shared" si="35"/>
        <v>0</v>
      </c>
      <c r="E84" s="168">
        <f t="shared" si="33"/>
        <v>0</v>
      </c>
      <c r="F84" s="168">
        <f t="shared" si="33"/>
        <v>0</v>
      </c>
      <c r="J84" s="168">
        <f t="shared" si="36"/>
        <v>0</v>
      </c>
      <c r="K84" s="168">
        <f t="shared" si="37"/>
        <v>0</v>
      </c>
      <c r="L84" s="168">
        <f t="shared" si="34"/>
        <v>0</v>
      </c>
      <c r="M84" s="168">
        <f t="shared" si="34"/>
        <v>0</v>
      </c>
      <c r="X84" s="14" t="s">
        <v>996</v>
      </c>
      <c r="Y84" s="168">
        <f>V12</f>
        <v>0</v>
      </c>
    </row>
    <row r="85" spans="1:143" x14ac:dyDescent="0.25">
      <c r="A85" s="216" t="str">
        <f>'Conduite Trp'!B14</f>
        <v>4 -</v>
      </c>
      <c r="C85" s="183">
        <f>[1]Conc!$D8</f>
        <v>0</v>
      </c>
      <c r="D85" s="168">
        <f t="shared" si="35"/>
        <v>0</v>
      </c>
      <c r="E85" s="168">
        <f t="shared" si="33"/>
        <v>0</v>
      </c>
      <c r="F85" s="168">
        <f t="shared" si="33"/>
        <v>0</v>
      </c>
      <c r="J85" s="168">
        <f t="shared" si="36"/>
        <v>0</v>
      </c>
      <c r="K85" s="168">
        <f t="shared" si="37"/>
        <v>0</v>
      </c>
      <c r="L85" s="168">
        <f t="shared" si="34"/>
        <v>0</v>
      </c>
      <c r="M85" s="168">
        <f t="shared" si="34"/>
        <v>0</v>
      </c>
      <c r="X85" s="14" t="s">
        <v>997</v>
      </c>
      <c r="Y85" s="168">
        <f>W12</f>
        <v>0</v>
      </c>
    </row>
    <row r="86" spans="1:143" x14ac:dyDescent="0.25">
      <c r="A86" s="216" t="str">
        <f>'Conduite Trp'!B15</f>
        <v>5 -</v>
      </c>
      <c r="C86" s="183">
        <f>[1]Conc!$D9</f>
        <v>0</v>
      </c>
      <c r="D86" s="168">
        <f t="shared" si="35"/>
        <v>0</v>
      </c>
      <c r="E86" s="168">
        <f t="shared" si="33"/>
        <v>0</v>
      </c>
      <c r="F86" s="168">
        <f t="shared" si="33"/>
        <v>0</v>
      </c>
      <c r="J86" s="168">
        <f t="shared" si="36"/>
        <v>0</v>
      </c>
      <c r="K86" s="168">
        <f t="shared" si="37"/>
        <v>0</v>
      </c>
      <c r="L86" s="168">
        <f t="shared" si="34"/>
        <v>0</v>
      </c>
      <c r="M86" s="168">
        <f t="shared" si="34"/>
        <v>0</v>
      </c>
    </row>
    <row r="87" spans="1:143" x14ac:dyDescent="0.25">
      <c r="A87" s="216" t="str">
        <f>'Conduite Trp'!B16</f>
        <v>6 -tourteaux soja</v>
      </c>
      <c r="C87" s="183">
        <f>[1]Conc!$D10</f>
        <v>408</v>
      </c>
      <c r="D87" s="168">
        <f t="shared" si="35"/>
        <v>3.1</v>
      </c>
      <c r="E87" s="168">
        <f t="shared" si="33"/>
        <v>0</v>
      </c>
      <c r="F87" s="168">
        <f t="shared" si="33"/>
        <v>0</v>
      </c>
      <c r="J87" s="168">
        <f t="shared" si="36"/>
        <v>1264.8</v>
      </c>
      <c r="K87" s="168">
        <f t="shared" si="37"/>
        <v>1264.8</v>
      </c>
      <c r="L87" s="168">
        <f t="shared" si="34"/>
        <v>0</v>
      </c>
      <c r="M87" s="168">
        <f t="shared" si="34"/>
        <v>0</v>
      </c>
      <c r="R87" s="2" t="s">
        <v>421</v>
      </c>
      <c r="U87" s="17"/>
      <c r="Y87" t="s">
        <v>998</v>
      </c>
      <c r="AB87" t="s">
        <v>87</v>
      </c>
      <c r="AL87"/>
      <c r="BG87"/>
      <c r="BY87" t="s">
        <v>895</v>
      </c>
      <c r="CC87" t="s">
        <v>999</v>
      </c>
    </row>
    <row r="88" spans="1:143" x14ac:dyDescent="0.25">
      <c r="A88" s="216" t="str">
        <f>'Conduite Trp'!B17</f>
        <v>7 -luzerne déshydratée</v>
      </c>
      <c r="C88" s="183">
        <f>[1]Conc!$D11</f>
        <v>0</v>
      </c>
      <c r="D88" s="168">
        <f t="shared" si="35"/>
        <v>0</v>
      </c>
      <c r="E88" s="168">
        <f t="shared" si="33"/>
        <v>0</v>
      </c>
      <c r="F88" s="168">
        <f t="shared" si="33"/>
        <v>0</v>
      </c>
      <c r="J88" s="168">
        <f t="shared" si="36"/>
        <v>0</v>
      </c>
      <c r="K88" s="168">
        <f t="shared" si="37"/>
        <v>0</v>
      </c>
      <c r="L88" s="168">
        <f t="shared" si="34"/>
        <v>0</v>
      </c>
      <c r="M88" s="168">
        <f t="shared" si="34"/>
        <v>0</v>
      </c>
      <c r="U88" s="17"/>
      <c r="W88" t="s">
        <v>285</v>
      </c>
      <c r="X88" t="s">
        <v>286</v>
      </c>
      <c r="Y88" t="s">
        <v>1000</v>
      </c>
      <c r="Z88" t="s">
        <v>696</v>
      </c>
      <c r="AB88" s="4">
        <v>1</v>
      </c>
      <c r="AC88" s="4">
        <v>2</v>
      </c>
      <c r="AD88" s="4">
        <v>3</v>
      </c>
      <c r="AE88" s="4">
        <v>4</v>
      </c>
      <c r="AF88" s="4">
        <v>5</v>
      </c>
      <c r="AG88" s="4">
        <v>6</v>
      </c>
      <c r="AH88" s="4">
        <v>7</v>
      </c>
      <c r="AI88" s="4">
        <v>8</v>
      </c>
      <c r="AJ88" s="4">
        <v>9</v>
      </c>
      <c r="AK88" s="4">
        <v>10</v>
      </c>
      <c r="AL88" s="4">
        <v>11</v>
      </c>
      <c r="AM88" s="4">
        <v>12</v>
      </c>
      <c r="AN88" s="4">
        <v>13</v>
      </c>
      <c r="AO88" s="4">
        <v>14</v>
      </c>
      <c r="AP88" s="4">
        <v>15</v>
      </c>
      <c r="AQ88" s="4">
        <v>16</v>
      </c>
      <c r="AR88" s="4">
        <v>17</v>
      </c>
      <c r="AS88" s="4">
        <v>18</v>
      </c>
      <c r="AT88" s="4">
        <v>19</v>
      </c>
      <c r="AU88" s="4">
        <v>20</v>
      </c>
      <c r="AV88" s="4">
        <v>21</v>
      </c>
      <c r="AW88" s="4">
        <v>22</v>
      </c>
      <c r="AX88" s="4">
        <v>23</v>
      </c>
      <c r="AY88" s="4">
        <v>24</v>
      </c>
      <c r="AZ88" s="4">
        <v>25</v>
      </c>
      <c r="BA88" s="4">
        <v>26</v>
      </c>
      <c r="BB88" s="4">
        <v>27</v>
      </c>
      <c r="BC88" s="4">
        <v>28</v>
      </c>
      <c r="BD88" s="4">
        <v>29</v>
      </c>
      <c r="BE88" s="4">
        <v>30</v>
      </c>
      <c r="BF88" s="4">
        <v>31</v>
      </c>
      <c r="BG88" s="4">
        <v>32</v>
      </c>
      <c r="BH88" s="4">
        <v>33</v>
      </c>
      <c r="BI88" s="4">
        <v>34</v>
      </c>
      <c r="BJ88" s="4">
        <v>35</v>
      </c>
      <c r="BK88" s="4">
        <v>36</v>
      </c>
      <c r="BL88" s="4">
        <v>37</v>
      </c>
      <c r="BM88" s="4">
        <v>38</v>
      </c>
      <c r="BN88" s="4">
        <v>39</v>
      </c>
      <c r="BO88" s="4">
        <v>40</v>
      </c>
      <c r="BP88" s="4">
        <v>41</v>
      </c>
      <c r="BQ88" s="4">
        <v>42</v>
      </c>
      <c r="BR88" s="4">
        <v>43</v>
      </c>
      <c r="BS88" s="4">
        <v>44</v>
      </c>
      <c r="BT88" s="4">
        <v>45</v>
      </c>
      <c r="BU88" s="4">
        <v>46</v>
      </c>
      <c r="BV88" s="4">
        <v>47</v>
      </c>
      <c r="BY88" s="165" t="s">
        <v>869</v>
      </c>
      <c r="BZ88" s="165" t="s">
        <v>885</v>
      </c>
      <c r="CA88" s="165" t="s">
        <v>886</v>
      </c>
      <c r="CB88" s="165"/>
      <c r="CC88" s="165" t="s">
        <v>869</v>
      </c>
      <c r="CD88" s="165" t="s">
        <v>885</v>
      </c>
      <c r="CE88" s="165" t="s">
        <v>886</v>
      </c>
    </row>
    <row r="89" spans="1:143" x14ac:dyDescent="0.25">
      <c r="A89" s="216" t="str">
        <f>'Conduite Trp'!B18</f>
        <v>8 -CMV bovin allaitant</v>
      </c>
      <c r="C89" s="183">
        <f>[1]Conc!$D12</f>
        <v>0</v>
      </c>
      <c r="D89" s="168">
        <f t="shared" si="35"/>
        <v>0</v>
      </c>
      <c r="E89" s="168">
        <f t="shared" si="33"/>
        <v>0</v>
      </c>
      <c r="F89" s="168">
        <f t="shared" si="33"/>
        <v>0</v>
      </c>
      <c r="J89" s="168">
        <f t="shared" si="36"/>
        <v>0</v>
      </c>
      <c r="K89" s="168">
        <f t="shared" si="37"/>
        <v>0</v>
      </c>
      <c r="L89" s="168">
        <f t="shared" si="34"/>
        <v>0</v>
      </c>
      <c r="M89" s="168">
        <f t="shared" si="34"/>
        <v>0</v>
      </c>
      <c r="Q89" s="2" t="s">
        <v>94</v>
      </c>
      <c r="R89" t="s">
        <v>376</v>
      </c>
      <c r="T89" s="224">
        <v>36</v>
      </c>
      <c r="U89" s="224">
        <v>30</v>
      </c>
      <c r="W89" s="126" t="str">
        <f>HLOOKUP(Troupeau!J$17,[1]Anx!$C$170:$CO$215,T89)</f>
        <v>1 -maïs-grain</v>
      </c>
      <c r="X89" s="61">
        <f t="shared" ref="X89:X93" si="38">VALUE(LEFT(W89,2))</f>
        <v>1</v>
      </c>
      <c r="Y89" s="126">
        <f>HLOOKUP(Troupeau!J$17,[1]Anx!$C$170:$CO$215,U89)</f>
        <v>1125</v>
      </c>
      <c r="Z89" s="54">
        <f>Y$82*Y89</f>
        <v>3375</v>
      </c>
      <c r="AB89" s="54">
        <f t="shared" ref="AB89:AQ93" si="39">IF($X89=AB$88,ROUND($Z89/1000,1),0)</f>
        <v>3.4</v>
      </c>
      <c r="AC89" s="54">
        <f t="shared" si="39"/>
        <v>0</v>
      </c>
      <c r="AD89" s="54">
        <f t="shared" si="39"/>
        <v>0</v>
      </c>
      <c r="AE89" s="54">
        <f t="shared" si="39"/>
        <v>0</v>
      </c>
      <c r="AF89" s="54">
        <f t="shared" si="39"/>
        <v>0</v>
      </c>
      <c r="AG89" s="54">
        <f t="shared" si="39"/>
        <v>0</v>
      </c>
      <c r="AH89" s="54">
        <f t="shared" si="39"/>
        <v>0</v>
      </c>
      <c r="AI89" s="54">
        <f t="shared" si="39"/>
        <v>0</v>
      </c>
      <c r="AJ89" s="54">
        <f t="shared" si="39"/>
        <v>0</v>
      </c>
      <c r="AK89" s="54">
        <f t="shared" si="39"/>
        <v>0</v>
      </c>
      <c r="AL89" s="54">
        <f t="shared" si="39"/>
        <v>0</v>
      </c>
      <c r="AM89" s="54">
        <f t="shared" si="39"/>
        <v>0</v>
      </c>
      <c r="AN89" s="54">
        <f t="shared" si="39"/>
        <v>0</v>
      </c>
      <c r="AO89" s="54">
        <f t="shared" si="39"/>
        <v>0</v>
      </c>
      <c r="AP89" s="54">
        <f t="shared" si="39"/>
        <v>0</v>
      </c>
      <c r="AQ89" s="54">
        <f t="shared" si="39"/>
        <v>0</v>
      </c>
      <c r="AR89" s="54">
        <f t="shared" ref="AR89:BG93" si="40">IF($X89=AR$88,ROUND($Z89/1000,1),0)</f>
        <v>0</v>
      </c>
      <c r="AS89" s="54">
        <f t="shared" si="40"/>
        <v>0</v>
      </c>
      <c r="AT89" s="54">
        <f t="shared" si="40"/>
        <v>0</v>
      </c>
      <c r="AU89" s="54">
        <f t="shared" si="40"/>
        <v>0</v>
      </c>
      <c r="AV89" s="54">
        <f t="shared" si="40"/>
        <v>0</v>
      </c>
      <c r="AW89" s="54">
        <f t="shared" si="40"/>
        <v>0</v>
      </c>
      <c r="AX89" s="54">
        <f t="shared" si="40"/>
        <v>0</v>
      </c>
      <c r="AY89" s="54">
        <f t="shared" si="40"/>
        <v>0</v>
      </c>
      <c r="AZ89" s="54">
        <f t="shared" si="40"/>
        <v>0</v>
      </c>
      <c r="BA89" s="54">
        <f t="shared" si="40"/>
        <v>0</v>
      </c>
      <c r="BB89" s="54">
        <f t="shared" si="40"/>
        <v>0</v>
      </c>
      <c r="BC89" s="54">
        <f t="shared" si="40"/>
        <v>0</v>
      </c>
      <c r="BD89" s="54">
        <f t="shared" si="40"/>
        <v>0</v>
      </c>
      <c r="BE89" s="54">
        <f t="shared" si="40"/>
        <v>0</v>
      </c>
      <c r="BF89" s="54">
        <f t="shared" si="40"/>
        <v>0</v>
      </c>
      <c r="BG89" s="54">
        <f t="shared" si="40"/>
        <v>0</v>
      </c>
      <c r="BH89" s="54">
        <f t="shared" ref="BH89:BV93" si="41">IF($X89=BH$88,ROUND($Z89/1000,1),0)</f>
        <v>0</v>
      </c>
      <c r="BI89" s="54">
        <f t="shared" si="41"/>
        <v>0</v>
      </c>
      <c r="BJ89" s="54">
        <f t="shared" si="41"/>
        <v>0</v>
      </c>
      <c r="BK89" s="54">
        <f t="shared" si="41"/>
        <v>0</v>
      </c>
      <c r="BL89" s="54">
        <f t="shared" si="41"/>
        <v>0</v>
      </c>
      <c r="BM89" s="54">
        <f t="shared" si="41"/>
        <v>0</v>
      </c>
      <c r="BN89" s="54">
        <f t="shared" si="41"/>
        <v>0</v>
      </c>
      <c r="BO89" s="54">
        <f t="shared" si="41"/>
        <v>0</v>
      </c>
      <c r="BP89" s="54">
        <f t="shared" si="41"/>
        <v>0</v>
      </c>
      <c r="BQ89" s="54">
        <f t="shared" si="41"/>
        <v>0</v>
      </c>
      <c r="BR89" s="54">
        <f t="shared" si="41"/>
        <v>0</v>
      </c>
      <c r="BS89" s="54">
        <f t="shared" si="41"/>
        <v>0</v>
      </c>
      <c r="BT89" s="54">
        <f t="shared" si="41"/>
        <v>0</v>
      </c>
      <c r="BU89" s="54">
        <f t="shared" si="41"/>
        <v>0</v>
      </c>
      <c r="BV89" s="54">
        <f t="shared" si="41"/>
        <v>0</v>
      </c>
      <c r="BX89">
        <v>1</v>
      </c>
      <c r="BY89" s="168">
        <f>+AB$94</f>
        <v>3.4</v>
      </c>
      <c r="BZ89" s="168">
        <f>+AB$101</f>
        <v>0</v>
      </c>
      <c r="CA89" s="168">
        <f>+AB$108</f>
        <v>0</v>
      </c>
      <c r="CC89" s="168">
        <f>CdTrp1!AK$54</f>
        <v>2.6</v>
      </c>
      <c r="CD89" s="168">
        <f>CdTrp2!AK$54</f>
        <v>0</v>
      </c>
      <c r="CE89" s="168">
        <f>CdTrp3!AK$54</f>
        <v>0</v>
      </c>
    </row>
    <row r="90" spans="1:143" x14ac:dyDescent="0.25">
      <c r="A90" s="216" t="str">
        <f>'Conduite Trp'!B19</f>
        <v>9 -croissance porcs</v>
      </c>
      <c r="C90" s="183">
        <f>[1]Conc!$D13</f>
        <v>0</v>
      </c>
      <c r="D90" s="168">
        <f t="shared" si="35"/>
        <v>0</v>
      </c>
      <c r="E90" s="168">
        <f t="shared" si="33"/>
        <v>0</v>
      </c>
      <c r="F90" s="168">
        <f t="shared" si="33"/>
        <v>0</v>
      </c>
      <c r="J90" s="168">
        <f t="shared" si="36"/>
        <v>0</v>
      </c>
      <c r="K90" s="168">
        <f t="shared" si="37"/>
        <v>0</v>
      </c>
      <c r="L90" s="168">
        <f t="shared" si="34"/>
        <v>0</v>
      </c>
      <c r="M90" s="168">
        <f t="shared" si="34"/>
        <v>0</v>
      </c>
      <c r="R90" t="s">
        <v>377</v>
      </c>
      <c r="T90" s="224">
        <v>37</v>
      </c>
      <c r="U90" s="224">
        <v>31</v>
      </c>
      <c r="W90" s="126" t="str">
        <f>HLOOKUP(Troupeau!J$17,[1]Anx!$C$170:$CO$215,T90)</f>
        <v>6 -tourteaux soja</v>
      </c>
      <c r="X90" s="61">
        <f t="shared" si="38"/>
        <v>6</v>
      </c>
      <c r="Y90" s="126">
        <f>HLOOKUP(Troupeau!J$17,[1]Anx!$C$170:$CO$215,U90)</f>
        <v>300</v>
      </c>
      <c r="Z90" s="54">
        <f>Y$82*Y90</f>
        <v>900</v>
      </c>
      <c r="AB90" s="54">
        <f t="shared" si="39"/>
        <v>0</v>
      </c>
      <c r="AC90" s="54">
        <f t="shared" si="39"/>
        <v>0</v>
      </c>
      <c r="AD90" s="54">
        <f t="shared" si="39"/>
        <v>0</v>
      </c>
      <c r="AE90" s="54">
        <f t="shared" si="39"/>
        <v>0</v>
      </c>
      <c r="AF90" s="54">
        <f t="shared" si="39"/>
        <v>0</v>
      </c>
      <c r="AG90" s="54">
        <f t="shared" si="39"/>
        <v>0.9</v>
      </c>
      <c r="AH90" s="54">
        <f t="shared" si="39"/>
        <v>0</v>
      </c>
      <c r="AI90" s="54">
        <f t="shared" si="39"/>
        <v>0</v>
      </c>
      <c r="AJ90" s="54">
        <f t="shared" si="39"/>
        <v>0</v>
      </c>
      <c r="AK90" s="54">
        <f t="shared" si="39"/>
        <v>0</v>
      </c>
      <c r="AL90" s="54">
        <f t="shared" si="39"/>
        <v>0</v>
      </c>
      <c r="AM90" s="54">
        <f t="shared" si="39"/>
        <v>0</v>
      </c>
      <c r="AN90" s="54">
        <f t="shared" si="39"/>
        <v>0</v>
      </c>
      <c r="AO90" s="54">
        <f t="shared" si="39"/>
        <v>0</v>
      </c>
      <c r="AP90" s="54">
        <f t="shared" si="39"/>
        <v>0</v>
      </c>
      <c r="AQ90" s="54">
        <f t="shared" si="39"/>
        <v>0</v>
      </c>
      <c r="AR90" s="54">
        <f t="shared" si="40"/>
        <v>0</v>
      </c>
      <c r="AS90" s="54">
        <f t="shared" si="40"/>
        <v>0</v>
      </c>
      <c r="AT90" s="54">
        <f t="shared" si="40"/>
        <v>0</v>
      </c>
      <c r="AU90" s="54">
        <f t="shared" si="40"/>
        <v>0</v>
      </c>
      <c r="AV90" s="54">
        <f t="shared" si="40"/>
        <v>0</v>
      </c>
      <c r="AW90" s="54">
        <f t="shared" si="40"/>
        <v>0</v>
      </c>
      <c r="AX90" s="54">
        <f t="shared" si="40"/>
        <v>0</v>
      </c>
      <c r="AY90" s="54">
        <f t="shared" si="40"/>
        <v>0</v>
      </c>
      <c r="AZ90" s="54">
        <f t="shared" si="40"/>
        <v>0</v>
      </c>
      <c r="BA90" s="54">
        <f t="shared" si="40"/>
        <v>0</v>
      </c>
      <c r="BB90" s="54">
        <f t="shared" si="40"/>
        <v>0</v>
      </c>
      <c r="BC90" s="54">
        <f t="shared" si="40"/>
        <v>0</v>
      </c>
      <c r="BD90" s="54">
        <f t="shared" si="40"/>
        <v>0</v>
      </c>
      <c r="BE90" s="54">
        <f t="shared" si="40"/>
        <v>0</v>
      </c>
      <c r="BF90" s="54">
        <f t="shared" si="40"/>
        <v>0</v>
      </c>
      <c r="BG90" s="54">
        <f t="shared" si="40"/>
        <v>0</v>
      </c>
      <c r="BH90" s="54">
        <f t="shared" si="41"/>
        <v>0</v>
      </c>
      <c r="BI90" s="54">
        <f t="shared" si="41"/>
        <v>0</v>
      </c>
      <c r="BJ90" s="54">
        <f t="shared" si="41"/>
        <v>0</v>
      </c>
      <c r="BK90" s="54">
        <f t="shared" si="41"/>
        <v>0</v>
      </c>
      <c r="BL90" s="54">
        <f t="shared" si="41"/>
        <v>0</v>
      </c>
      <c r="BM90" s="54">
        <f t="shared" si="41"/>
        <v>0</v>
      </c>
      <c r="BN90" s="54">
        <f t="shared" si="41"/>
        <v>0</v>
      </c>
      <c r="BO90" s="54">
        <f t="shared" si="41"/>
        <v>0</v>
      </c>
      <c r="BP90" s="54">
        <f t="shared" si="41"/>
        <v>0</v>
      </c>
      <c r="BQ90" s="54">
        <f t="shared" si="41"/>
        <v>0</v>
      </c>
      <c r="BR90" s="54">
        <f t="shared" si="41"/>
        <v>0</v>
      </c>
      <c r="BS90" s="54">
        <f t="shared" si="41"/>
        <v>0</v>
      </c>
      <c r="BT90" s="54">
        <f t="shared" si="41"/>
        <v>0</v>
      </c>
      <c r="BU90" s="54">
        <f t="shared" si="41"/>
        <v>0</v>
      </c>
      <c r="BV90" s="54">
        <f t="shared" si="41"/>
        <v>0</v>
      </c>
      <c r="BX90">
        <v>2</v>
      </c>
      <c r="BY90" s="168">
        <f>+AC$94</f>
        <v>0</v>
      </c>
      <c r="BZ90" s="168">
        <f>+AC$101</f>
        <v>0</v>
      </c>
      <c r="CA90" s="168">
        <f>+AC$108</f>
        <v>0</v>
      </c>
      <c r="CC90" s="168">
        <f>CdTrp1!AL$54</f>
        <v>2.6999999999999997</v>
      </c>
      <c r="CD90" s="168">
        <f>CdTrp2!AL$54</f>
        <v>0</v>
      </c>
      <c r="CE90" s="168">
        <f>CdTrp3!AL$54</f>
        <v>0</v>
      </c>
    </row>
    <row r="91" spans="1:143" x14ac:dyDescent="0.25">
      <c r="A91" s="216" t="str">
        <f>'Conduite Trp'!B20</f>
        <v xml:space="preserve">10 -finition porcs </v>
      </c>
      <c r="C91" s="183">
        <f>[1]Conc!$D14</f>
        <v>0</v>
      </c>
      <c r="D91" s="168">
        <f t="shared" si="35"/>
        <v>0</v>
      </c>
      <c r="E91" s="168">
        <f t="shared" si="33"/>
        <v>0</v>
      </c>
      <c r="F91" s="168">
        <f t="shared" si="33"/>
        <v>0</v>
      </c>
      <c r="J91" s="168">
        <f t="shared" si="36"/>
        <v>0</v>
      </c>
      <c r="K91" s="168">
        <f t="shared" si="37"/>
        <v>0</v>
      </c>
      <c r="L91" s="168">
        <f t="shared" si="34"/>
        <v>0</v>
      </c>
      <c r="M91" s="168">
        <f t="shared" si="34"/>
        <v>0</v>
      </c>
      <c r="R91" t="s">
        <v>378</v>
      </c>
      <c r="T91" s="224">
        <v>38</v>
      </c>
      <c r="U91" s="224">
        <v>32</v>
      </c>
      <c r="W91" s="126">
        <f>HLOOKUP(Troupeau!J$17,[1]Anx!$C$170:$CO$215,T91)</f>
        <v>0</v>
      </c>
      <c r="X91" s="61">
        <f t="shared" si="38"/>
        <v>0</v>
      </c>
      <c r="Y91" s="126">
        <f>HLOOKUP(Troupeau!J$17,[1]Anx!$C$170:$CO$215,U91)</f>
        <v>0</v>
      </c>
      <c r="Z91" s="54">
        <f>Y$82*Y91</f>
        <v>0</v>
      </c>
      <c r="AB91" s="54">
        <f t="shared" si="39"/>
        <v>0</v>
      </c>
      <c r="AC91" s="54">
        <f t="shared" si="39"/>
        <v>0</v>
      </c>
      <c r="AD91" s="54">
        <f t="shared" si="39"/>
        <v>0</v>
      </c>
      <c r="AE91" s="54">
        <f t="shared" si="39"/>
        <v>0</v>
      </c>
      <c r="AF91" s="54">
        <f t="shared" si="39"/>
        <v>0</v>
      </c>
      <c r="AG91" s="54">
        <f t="shared" si="39"/>
        <v>0</v>
      </c>
      <c r="AH91" s="54">
        <f t="shared" si="39"/>
        <v>0</v>
      </c>
      <c r="AI91" s="54">
        <f t="shared" si="39"/>
        <v>0</v>
      </c>
      <c r="AJ91" s="54">
        <f t="shared" si="39"/>
        <v>0</v>
      </c>
      <c r="AK91" s="54">
        <f t="shared" si="39"/>
        <v>0</v>
      </c>
      <c r="AL91" s="54">
        <f t="shared" si="39"/>
        <v>0</v>
      </c>
      <c r="AM91" s="54">
        <f t="shared" si="39"/>
        <v>0</v>
      </c>
      <c r="AN91" s="54">
        <f t="shared" si="39"/>
        <v>0</v>
      </c>
      <c r="AO91" s="54">
        <f t="shared" si="39"/>
        <v>0</v>
      </c>
      <c r="AP91" s="54">
        <f t="shared" si="39"/>
        <v>0</v>
      </c>
      <c r="AQ91" s="54">
        <f t="shared" si="39"/>
        <v>0</v>
      </c>
      <c r="AR91" s="54">
        <f t="shared" si="40"/>
        <v>0</v>
      </c>
      <c r="AS91" s="54">
        <f t="shared" si="40"/>
        <v>0</v>
      </c>
      <c r="AT91" s="54">
        <f t="shared" si="40"/>
        <v>0</v>
      </c>
      <c r="AU91" s="54">
        <f t="shared" si="40"/>
        <v>0</v>
      </c>
      <c r="AV91" s="54">
        <f t="shared" si="40"/>
        <v>0</v>
      </c>
      <c r="AW91" s="54">
        <f t="shared" si="40"/>
        <v>0</v>
      </c>
      <c r="AX91" s="54">
        <f t="shared" si="40"/>
        <v>0</v>
      </c>
      <c r="AY91" s="54">
        <f t="shared" si="40"/>
        <v>0</v>
      </c>
      <c r="AZ91" s="54">
        <f t="shared" si="40"/>
        <v>0</v>
      </c>
      <c r="BA91" s="54">
        <f t="shared" si="40"/>
        <v>0</v>
      </c>
      <c r="BB91" s="54">
        <f t="shared" si="40"/>
        <v>0</v>
      </c>
      <c r="BC91" s="54">
        <f t="shared" si="40"/>
        <v>0</v>
      </c>
      <c r="BD91" s="54">
        <f t="shared" si="40"/>
        <v>0</v>
      </c>
      <c r="BE91" s="54">
        <f t="shared" si="40"/>
        <v>0</v>
      </c>
      <c r="BF91" s="54">
        <f t="shared" si="40"/>
        <v>0</v>
      </c>
      <c r="BG91" s="54">
        <f t="shared" si="40"/>
        <v>0</v>
      </c>
      <c r="BH91" s="54">
        <f t="shared" si="41"/>
        <v>0</v>
      </c>
      <c r="BI91" s="54">
        <f t="shared" si="41"/>
        <v>0</v>
      </c>
      <c r="BJ91" s="54">
        <f t="shared" si="41"/>
        <v>0</v>
      </c>
      <c r="BK91" s="54">
        <f t="shared" si="41"/>
        <v>0</v>
      </c>
      <c r="BL91" s="54">
        <f t="shared" si="41"/>
        <v>0</v>
      </c>
      <c r="BM91" s="54">
        <f t="shared" si="41"/>
        <v>0</v>
      </c>
      <c r="BN91" s="54">
        <f t="shared" si="41"/>
        <v>0</v>
      </c>
      <c r="BO91" s="54">
        <f t="shared" si="41"/>
        <v>0</v>
      </c>
      <c r="BP91" s="54">
        <f t="shared" si="41"/>
        <v>0</v>
      </c>
      <c r="BQ91" s="54">
        <f t="shared" si="41"/>
        <v>0</v>
      </c>
      <c r="BR91" s="54">
        <f t="shared" si="41"/>
        <v>0</v>
      </c>
      <c r="BS91" s="54">
        <f t="shared" si="41"/>
        <v>0</v>
      </c>
      <c r="BT91" s="54">
        <f t="shared" si="41"/>
        <v>0</v>
      </c>
      <c r="BU91" s="54">
        <f t="shared" si="41"/>
        <v>0</v>
      </c>
      <c r="BV91" s="54">
        <f t="shared" si="41"/>
        <v>0</v>
      </c>
      <c r="BX91">
        <v>3</v>
      </c>
      <c r="BY91" s="168">
        <f>+AD$94</f>
        <v>0</v>
      </c>
      <c r="BZ91" s="168">
        <f>+AD$101</f>
        <v>0</v>
      </c>
      <c r="CA91" s="168">
        <f>+AD$108</f>
        <v>0</v>
      </c>
      <c r="CC91" s="168">
        <f>CdTrp1!AM$54</f>
        <v>0</v>
      </c>
      <c r="CD91" s="168">
        <f>CdTrp2!AM$54</f>
        <v>0</v>
      </c>
      <c r="CE91" s="168">
        <f>CdTrp3!AM$54</f>
        <v>0</v>
      </c>
    </row>
    <row r="92" spans="1:143" x14ac:dyDescent="0.25">
      <c r="A92" s="216" t="str">
        <f>'Conduite Trp'!B21</f>
        <v xml:space="preserve">11 -correcteur N brebis lait </v>
      </c>
      <c r="C92" s="183">
        <f>[1]Conc!$D15</f>
        <v>416</v>
      </c>
      <c r="D92" s="168">
        <f t="shared" si="35"/>
        <v>0</v>
      </c>
      <c r="E92" s="168">
        <f t="shared" si="33"/>
        <v>0</v>
      </c>
      <c r="F92" s="168">
        <f t="shared" si="33"/>
        <v>0</v>
      </c>
      <c r="J92" s="168">
        <f t="shared" si="36"/>
        <v>0</v>
      </c>
      <c r="K92" s="168">
        <f t="shared" si="37"/>
        <v>0</v>
      </c>
      <c r="L92" s="168">
        <f t="shared" si="34"/>
        <v>0</v>
      </c>
      <c r="M92" s="168">
        <f t="shared" si="34"/>
        <v>0</v>
      </c>
      <c r="R92" t="s">
        <v>379</v>
      </c>
      <c r="T92" s="224">
        <v>39</v>
      </c>
      <c r="U92" s="224">
        <v>33</v>
      </c>
      <c r="W92" s="126">
        <f>HLOOKUP(Troupeau!J$17,[1]Anx!$C$170:$CO$215,T92)</f>
        <v>0</v>
      </c>
      <c r="X92" s="61">
        <f t="shared" si="38"/>
        <v>0</v>
      </c>
      <c r="Y92" s="126">
        <f>HLOOKUP(Troupeau!J$17,[1]Anx!$C$170:$CO$215,U92)</f>
        <v>0</v>
      </c>
      <c r="Z92" s="54">
        <f>Y$82*Y92</f>
        <v>0</v>
      </c>
      <c r="AB92" s="54">
        <f t="shared" si="39"/>
        <v>0</v>
      </c>
      <c r="AC92" s="54">
        <f t="shared" si="39"/>
        <v>0</v>
      </c>
      <c r="AD92" s="54">
        <f t="shared" si="39"/>
        <v>0</v>
      </c>
      <c r="AE92" s="54">
        <f t="shared" si="39"/>
        <v>0</v>
      </c>
      <c r="AF92" s="54">
        <f t="shared" si="39"/>
        <v>0</v>
      </c>
      <c r="AG92" s="54">
        <f t="shared" si="39"/>
        <v>0</v>
      </c>
      <c r="AH92" s="54">
        <f t="shared" si="39"/>
        <v>0</v>
      </c>
      <c r="AI92" s="54">
        <f t="shared" si="39"/>
        <v>0</v>
      </c>
      <c r="AJ92" s="54">
        <f t="shared" si="39"/>
        <v>0</v>
      </c>
      <c r="AK92" s="54">
        <f t="shared" si="39"/>
        <v>0</v>
      </c>
      <c r="AL92" s="54">
        <f t="shared" si="39"/>
        <v>0</v>
      </c>
      <c r="AM92" s="54">
        <f t="shared" si="39"/>
        <v>0</v>
      </c>
      <c r="AN92" s="54">
        <f t="shared" si="39"/>
        <v>0</v>
      </c>
      <c r="AO92" s="54">
        <f t="shared" si="39"/>
        <v>0</v>
      </c>
      <c r="AP92" s="54">
        <f t="shared" si="39"/>
        <v>0</v>
      </c>
      <c r="AQ92" s="54">
        <f t="shared" si="39"/>
        <v>0</v>
      </c>
      <c r="AR92" s="54">
        <f t="shared" si="40"/>
        <v>0</v>
      </c>
      <c r="AS92" s="54">
        <f t="shared" si="40"/>
        <v>0</v>
      </c>
      <c r="AT92" s="54">
        <f t="shared" si="40"/>
        <v>0</v>
      </c>
      <c r="AU92" s="54">
        <f t="shared" si="40"/>
        <v>0</v>
      </c>
      <c r="AV92" s="54">
        <f t="shared" si="40"/>
        <v>0</v>
      </c>
      <c r="AW92" s="54">
        <f t="shared" si="40"/>
        <v>0</v>
      </c>
      <c r="AX92" s="54">
        <f t="shared" si="40"/>
        <v>0</v>
      </c>
      <c r="AY92" s="54">
        <f t="shared" si="40"/>
        <v>0</v>
      </c>
      <c r="AZ92" s="54">
        <f t="shared" si="40"/>
        <v>0</v>
      </c>
      <c r="BA92" s="54">
        <f t="shared" si="40"/>
        <v>0</v>
      </c>
      <c r="BB92" s="54">
        <f t="shared" si="40"/>
        <v>0</v>
      </c>
      <c r="BC92" s="54">
        <f t="shared" si="40"/>
        <v>0</v>
      </c>
      <c r="BD92" s="54">
        <f t="shared" si="40"/>
        <v>0</v>
      </c>
      <c r="BE92" s="54">
        <f t="shared" si="40"/>
        <v>0</v>
      </c>
      <c r="BF92" s="54">
        <f t="shared" si="40"/>
        <v>0</v>
      </c>
      <c r="BG92" s="54">
        <f t="shared" si="40"/>
        <v>0</v>
      </c>
      <c r="BH92" s="54">
        <f t="shared" si="41"/>
        <v>0</v>
      </c>
      <c r="BI92" s="54">
        <f t="shared" si="41"/>
        <v>0</v>
      </c>
      <c r="BJ92" s="54">
        <f t="shared" si="41"/>
        <v>0</v>
      </c>
      <c r="BK92" s="54">
        <f t="shared" si="41"/>
        <v>0</v>
      </c>
      <c r="BL92" s="54">
        <f t="shared" si="41"/>
        <v>0</v>
      </c>
      <c r="BM92" s="54">
        <f t="shared" si="41"/>
        <v>0</v>
      </c>
      <c r="BN92" s="54">
        <f t="shared" si="41"/>
        <v>0</v>
      </c>
      <c r="BO92" s="54">
        <f t="shared" si="41"/>
        <v>0</v>
      </c>
      <c r="BP92" s="54">
        <f t="shared" si="41"/>
        <v>0</v>
      </c>
      <c r="BQ92" s="54">
        <f t="shared" si="41"/>
        <v>0</v>
      </c>
      <c r="BR92" s="54">
        <f t="shared" si="41"/>
        <v>0</v>
      </c>
      <c r="BS92" s="54">
        <f t="shared" si="41"/>
        <v>0</v>
      </c>
      <c r="BT92" s="54">
        <f t="shared" si="41"/>
        <v>0</v>
      </c>
      <c r="BU92" s="54">
        <f t="shared" si="41"/>
        <v>0</v>
      </c>
      <c r="BV92" s="54">
        <f t="shared" si="41"/>
        <v>0</v>
      </c>
      <c r="BX92">
        <v>4</v>
      </c>
      <c r="BY92" s="168">
        <f>+AE$94</f>
        <v>0</v>
      </c>
      <c r="BZ92" s="168">
        <f>+AE$101</f>
        <v>0</v>
      </c>
      <c r="CA92" s="168">
        <f>+AE$108</f>
        <v>0</v>
      </c>
      <c r="CC92" s="168">
        <f>CdTrp1!AN$54</f>
        <v>0</v>
      </c>
      <c r="CD92" s="168">
        <f>CdTrp2!AN$54</f>
        <v>0</v>
      </c>
      <c r="CE92" s="168">
        <f>CdTrp3!AN$54</f>
        <v>0</v>
      </c>
    </row>
    <row r="93" spans="1:143" x14ac:dyDescent="0.25">
      <c r="A93" s="216" t="str">
        <f>'Conduite Trp'!B22</f>
        <v>12 -méteil (tritical pois feverol maïs)</v>
      </c>
      <c r="C93" s="183">
        <f>[1]Conc!$D16</f>
        <v>165</v>
      </c>
      <c r="D93" s="168">
        <f t="shared" si="35"/>
        <v>0</v>
      </c>
      <c r="E93" s="168">
        <f t="shared" si="33"/>
        <v>0</v>
      </c>
      <c r="F93" s="168">
        <f t="shared" si="33"/>
        <v>0</v>
      </c>
      <c r="J93" s="168">
        <f t="shared" si="36"/>
        <v>0</v>
      </c>
      <c r="K93" s="168">
        <f t="shared" si="37"/>
        <v>0</v>
      </c>
      <c r="L93" s="168">
        <f t="shared" si="34"/>
        <v>0</v>
      </c>
      <c r="M93" s="168">
        <f t="shared" si="34"/>
        <v>0</v>
      </c>
      <c r="R93" t="s">
        <v>380</v>
      </c>
      <c r="S93" s="5"/>
      <c r="T93" s="224">
        <v>40</v>
      </c>
      <c r="U93" s="224">
        <v>34</v>
      </c>
      <c r="W93" s="126">
        <f>HLOOKUP(Troupeau!J$17,[1]Anx!$C$170:$CO$215,T93)</f>
        <v>0</v>
      </c>
      <c r="X93" s="61">
        <f t="shared" si="38"/>
        <v>0</v>
      </c>
      <c r="Y93" s="126">
        <f>HLOOKUP(Troupeau!J$17,[1]Anx!$C$170:$CO$215,U93)</f>
        <v>0</v>
      </c>
      <c r="Z93" s="54">
        <f>Y$82*Y93</f>
        <v>0</v>
      </c>
      <c r="AB93" s="54">
        <f t="shared" si="39"/>
        <v>0</v>
      </c>
      <c r="AC93" s="54">
        <f t="shared" si="39"/>
        <v>0</v>
      </c>
      <c r="AD93" s="54">
        <f t="shared" si="39"/>
        <v>0</v>
      </c>
      <c r="AE93" s="54">
        <f t="shared" si="39"/>
        <v>0</v>
      </c>
      <c r="AF93" s="54">
        <f t="shared" si="39"/>
        <v>0</v>
      </c>
      <c r="AG93" s="54">
        <f t="shared" si="39"/>
        <v>0</v>
      </c>
      <c r="AH93" s="54">
        <f t="shared" si="39"/>
        <v>0</v>
      </c>
      <c r="AI93" s="54">
        <f t="shared" si="39"/>
        <v>0</v>
      </c>
      <c r="AJ93" s="54">
        <f t="shared" si="39"/>
        <v>0</v>
      </c>
      <c r="AK93" s="54">
        <f t="shared" si="39"/>
        <v>0</v>
      </c>
      <c r="AL93" s="54">
        <f t="shared" si="39"/>
        <v>0</v>
      </c>
      <c r="AM93" s="54">
        <f t="shared" si="39"/>
        <v>0</v>
      </c>
      <c r="AN93" s="54">
        <f t="shared" si="39"/>
        <v>0</v>
      </c>
      <c r="AO93" s="54">
        <f t="shared" si="39"/>
        <v>0</v>
      </c>
      <c r="AP93" s="54">
        <f t="shared" si="39"/>
        <v>0</v>
      </c>
      <c r="AQ93" s="54">
        <f t="shared" si="39"/>
        <v>0</v>
      </c>
      <c r="AR93" s="54">
        <f t="shared" si="40"/>
        <v>0</v>
      </c>
      <c r="AS93" s="54">
        <f t="shared" si="40"/>
        <v>0</v>
      </c>
      <c r="AT93" s="54">
        <f t="shared" si="40"/>
        <v>0</v>
      </c>
      <c r="AU93" s="54">
        <f t="shared" si="40"/>
        <v>0</v>
      </c>
      <c r="AV93" s="54">
        <f t="shared" si="40"/>
        <v>0</v>
      </c>
      <c r="AW93" s="54">
        <f t="shared" si="40"/>
        <v>0</v>
      </c>
      <c r="AX93" s="54">
        <f t="shared" si="40"/>
        <v>0</v>
      </c>
      <c r="AY93" s="54">
        <f t="shared" si="40"/>
        <v>0</v>
      </c>
      <c r="AZ93" s="54">
        <f t="shared" si="40"/>
        <v>0</v>
      </c>
      <c r="BA93" s="54">
        <f t="shared" si="40"/>
        <v>0</v>
      </c>
      <c r="BB93" s="54">
        <f t="shared" si="40"/>
        <v>0</v>
      </c>
      <c r="BC93" s="54">
        <f t="shared" si="40"/>
        <v>0</v>
      </c>
      <c r="BD93" s="54">
        <f t="shared" si="40"/>
        <v>0</v>
      </c>
      <c r="BE93" s="54">
        <f t="shared" si="40"/>
        <v>0</v>
      </c>
      <c r="BF93" s="54">
        <f t="shared" si="40"/>
        <v>0</v>
      </c>
      <c r="BG93" s="54">
        <f t="shared" si="40"/>
        <v>0</v>
      </c>
      <c r="BH93" s="54">
        <f t="shared" si="41"/>
        <v>0</v>
      </c>
      <c r="BI93" s="54">
        <f t="shared" si="41"/>
        <v>0</v>
      </c>
      <c r="BJ93" s="54">
        <f t="shared" si="41"/>
        <v>0</v>
      </c>
      <c r="BK93" s="54">
        <f t="shared" si="41"/>
        <v>0</v>
      </c>
      <c r="BL93" s="54">
        <f t="shared" si="41"/>
        <v>0</v>
      </c>
      <c r="BM93" s="54">
        <f t="shared" si="41"/>
        <v>0</v>
      </c>
      <c r="BN93" s="54">
        <f t="shared" si="41"/>
        <v>0</v>
      </c>
      <c r="BO93" s="54">
        <f t="shared" si="41"/>
        <v>0</v>
      </c>
      <c r="BP93" s="54">
        <f t="shared" si="41"/>
        <v>0</v>
      </c>
      <c r="BQ93" s="54">
        <f t="shared" si="41"/>
        <v>0</v>
      </c>
      <c r="BR93" s="54">
        <f t="shared" si="41"/>
        <v>0</v>
      </c>
      <c r="BS93" s="54">
        <f t="shared" si="41"/>
        <v>0</v>
      </c>
      <c r="BT93" s="54">
        <f t="shared" si="41"/>
        <v>0</v>
      </c>
      <c r="BU93" s="54">
        <f t="shared" si="41"/>
        <v>0</v>
      </c>
      <c r="BV93" s="54">
        <f t="shared" si="41"/>
        <v>0</v>
      </c>
      <c r="BX93">
        <v>5</v>
      </c>
      <c r="BY93" s="168">
        <f>+AF$94</f>
        <v>0</v>
      </c>
      <c r="BZ93" s="168">
        <f>+AF$101</f>
        <v>0</v>
      </c>
      <c r="CA93" s="168">
        <f>+AF$108</f>
        <v>0</v>
      </c>
      <c r="CC93" s="168">
        <f>CdTrp1!AO$54</f>
        <v>0</v>
      </c>
      <c r="CD93" s="168">
        <f>CdTrp2!AO$54</f>
        <v>0</v>
      </c>
      <c r="CE93" s="168">
        <f>CdTrp3!AO$54</f>
        <v>0</v>
      </c>
    </row>
    <row r="94" spans="1:143" x14ac:dyDescent="0.25">
      <c r="A94" s="216" t="str">
        <f>'Conduite Trp'!B23</f>
        <v>13 -aliment complet brebis lait</v>
      </c>
      <c r="C94" s="183">
        <f>[1]Conc!$D17</f>
        <v>308</v>
      </c>
      <c r="D94" s="168">
        <f t="shared" si="35"/>
        <v>0</v>
      </c>
      <c r="E94" s="168">
        <f t="shared" si="33"/>
        <v>0</v>
      </c>
      <c r="F94" s="168">
        <f t="shared" si="33"/>
        <v>0</v>
      </c>
      <c r="J94" s="168">
        <f t="shared" si="36"/>
        <v>0</v>
      </c>
      <c r="K94" s="168">
        <f t="shared" si="37"/>
        <v>0</v>
      </c>
      <c r="L94" s="168">
        <f t="shared" si="34"/>
        <v>0</v>
      </c>
      <c r="M94" s="168">
        <f t="shared" si="34"/>
        <v>0</v>
      </c>
      <c r="AB94" s="225">
        <f>SUM(AB89:AB93)</f>
        <v>3.4</v>
      </c>
      <c r="AC94" s="225">
        <f t="shared" ref="AC94:BV94" si="42">SUM(AC89:AC93)</f>
        <v>0</v>
      </c>
      <c r="AD94" s="225">
        <f t="shared" si="42"/>
        <v>0</v>
      </c>
      <c r="AE94" s="225">
        <f t="shared" si="42"/>
        <v>0</v>
      </c>
      <c r="AF94" s="225">
        <f t="shared" si="42"/>
        <v>0</v>
      </c>
      <c r="AG94" s="225">
        <f t="shared" si="42"/>
        <v>0.9</v>
      </c>
      <c r="AH94" s="225">
        <f t="shared" si="42"/>
        <v>0</v>
      </c>
      <c r="AI94" s="225">
        <f t="shared" si="42"/>
        <v>0</v>
      </c>
      <c r="AJ94" s="225">
        <f t="shared" si="42"/>
        <v>0</v>
      </c>
      <c r="AK94" s="225">
        <f t="shared" si="42"/>
        <v>0</v>
      </c>
      <c r="AL94" s="225">
        <f t="shared" si="42"/>
        <v>0</v>
      </c>
      <c r="AM94" s="225">
        <f t="shared" si="42"/>
        <v>0</v>
      </c>
      <c r="AN94" s="225">
        <f t="shared" si="42"/>
        <v>0</v>
      </c>
      <c r="AO94" s="225">
        <f t="shared" si="42"/>
        <v>0</v>
      </c>
      <c r="AP94" s="225">
        <f t="shared" si="42"/>
        <v>0</v>
      </c>
      <c r="AQ94" s="225">
        <f t="shared" si="42"/>
        <v>0</v>
      </c>
      <c r="AR94" s="225">
        <f t="shared" si="42"/>
        <v>0</v>
      </c>
      <c r="AS94" s="225">
        <f t="shared" si="42"/>
        <v>0</v>
      </c>
      <c r="AT94" s="225">
        <f t="shared" si="42"/>
        <v>0</v>
      </c>
      <c r="AU94" s="225">
        <f t="shared" si="42"/>
        <v>0</v>
      </c>
      <c r="AV94" s="225">
        <f t="shared" si="42"/>
        <v>0</v>
      </c>
      <c r="AW94" s="225">
        <f t="shared" si="42"/>
        <v>0</v>
      </c>
      <c r="AX94" s="225">
        <f t="shared" si="42"/>
        <v>0</v>
      </c>
      <c r="AY94" s="225">
        <f t="shared" si="42"/>
        <v>0</v>
      </c>
      <c r="AZ94" s="225">
        <f t="shared" si="42"/>
        <v>0</v>
      </c>
      <c r="BA94" s="225">
        <f t="shared" si="42"/>
        <v>0</v>
      </c>
      <c r="BB94" s="225">
        <f t="shared" si="42"/>
        <v>0</v>
      </c>
      <c r="BC94" s="225">
        <f t="shared" si="42"/>
        <v>0</v>
      </c>
      <c r="BD94" s="225">
        <f t="shared" si="42"/>
        <v>0</v>
      </c>
      <c r="BE94" s="225">
        <f t="shared" si="42"/>
        <v>0</v>
      </c>
      <c r="BF94" s="225">
        <f t="shared" si="42"/>
        <v>0</v>
      </c>
      <c r="BG94" s="225">
        <f t="shared" si="42"/>
        <v>0</v>
      </c>
      <c r="BH94" s="225">
        <f t="shared" si="42"/>
        <v>0</v>
      </c>
      <c r="BI94" s="225">
        <f t="shared" si="42"/>
        <v>0</v>
      </c>
      <c r="BJ94" s="225">
        <f t="shared" si="42"/>
        <v>0</v>
      </c>
      <c r="BK94" s="225">
        <f t="shared" si="42"/>
        <v>0</v>
      </c>
      <c r="BL94" s="225">
        <f t="shared" si="42"/>
        <v>0</v>
      </c>
      <c r="BM94" s="225">
        <f t="shared" si="42"/>
        <v>0</v>
      </c>
      <c r="BN94" s="225">
        <f t="shared" si="42"/>
        <v>0</v>
      </c>
      <c r="BO94" s="225">
        <f t="shared" si="42"/>
        <v>0</v>
      </c>
      <c r="BP94" s="225">
        <f t="shared" si="42"/>
        <v>0</v>
      </c>
      <c r="BQ94" s="225">
        <f t="shared" si="42"/>
        <v>0</v>
      </c>
      <c r="BR94" s="225">
        <f t="shared" si="42"/>
        <v>0</v>
      </c>
      <c r="BS94" s="225">
        <f t="shared" si="42"/>
        <v>0</v>
      </c>
      <c r="BT94" s="225">
        <f t="shared" si="42"/>
        <v>0</v>
      </c>
      <c r="BU94" s="225">
        <f t="shared" si="42"/>
        <v>0</v>
      </c>
      <c r="BV94" s="225">
        <f t="shared" si="42"/>
        <v>0</v>
      </c>
      <c r="BX94">
        <v>6</v>
      </c>
      <c r="BY94" s="168">
        <f>+AG$94</f>
        <v>0.9</v>
      </c>
      <c r="BZ94" s="168">
        <f>+AG$101</f>
        <v>0</v>
      </c>
      <c r="CA94" s="168">
        <f>+AG$108</f>
        <v>0</v>
      </c>
      <c r="CC94" s="168">
        <f>CdTrp1!AP$54</f>
        <v>2.2000000000000002</v>
      </c>
      <c r="CD94" s="168">
        <f>CdTrp2!AP$54</f>
        <v>0</v>
      </c>
      <c r="CE94" s="168">
        <f>CdTrp3!AP$54</f>
        <v>0</v>
      </c>
    </row>
    <row r="95" spans="1:143" x14ac:dyDescent="0.25">
      <c r="A95" s="216" t="str">
        <f>'Conduite Trp'!B24</f>
        <v xml:space="preserve">14 -concentré agnelle lait </v>
      </c>
      <c r="C95" s="183">
        <f>[1]Conc!$D18</f>
        <v>270</v>
      </c>
      <c r="D95" s="168">
        <f t="shared" si="35"/>
        <v>0</v>
      </c>
      <c r="E95" s="168">
        <f t="shared" si="33"/>
        <v>0</v>
      </c>
      <c r="F95" s="168">
        <f t="shared" si="33"/>
        <v>0</v>
      </c>
      <c r="J95" s="168">
        <f t="shared" si="36"/>
        <v>0</v>
      </c>
      <c r="K95" s="168">
        <f t="shared" si="37"/>
        <v>0</v>
      </c>
      <c r="L95" s="168">
        <f t="shared" si="34"/>
        <v>0</v>
      </c>
      <c r="M95" s="168">
        <f t="shared" si="34"/>
        <v>0</v>
      </c>
      <c r="BX95">
        <v>7</v>
      </c>
      <c r="BY95" s="168">
        <f>+AH$94</f>
        <v>0</v>
      </c>
      <c r="BZ95" s="168">
        <f>+AH$101</f>
        <v>0</v>
      </c>
      <c r="CA95" s="168">
        <f>+AH$108</f>
        <v>0</v>
      </c>
      <c r="CC95" s="168">
        <f>CdTrp1!AQ$54</f>
        <v>0</v>
      </c>
      <c r="CD95" s="168">
        <f>CdTrp2!AQ$54</f>
        <v>0</v>
      </c>
      <c r="CE95" s="168">
        <f>CdTrp3!AQ$54</f>
        <v>0</v>
      </c>
    </row>
    <row r="96" spans="1:143" x14ac:dyDescent="0.25">
      <c r="A96" s="216" t="str">
        <f>'Conduite Trp'!B25</f>
        <v>15 -concentré bovin allaitant</v>
      </c>
      <c r="C96" s="183">
        <f>[1]Conc!$D19</f>
        <v>285</v>
      </c>
      <c r="D96" s="168">
        <f t="shared" si="35"/>
        <v>0</v>
      </c>
      <c r="E96" s="168">
        <f t="shared" si="33"/>
        <v>0</v>
      </c>
      <c r="F96" s="168">
        <f t="shared" si="33"/>
        <v>0</v>
      </c>
      <c r="J96" s="168">
        <f t="shared" si="36"/>
        <v>0</v>
      </c>
      <c r="K96" s="168">
        <f t="shared" si="37"/>
        <v>0</v>
      </c>
      <c r="L96" s="168">
        <f t="shared" si="34"/>
        <v>0</v>
      </c>
      <c r="M96" s="168">
        <f t="shared" si="34"/>
        <v>0</v>
      </c>
      <c r="Q96" s="2" t="s">
        <v>95</v>
      </c>
      <c r="R96" t="s">
        <v>376</v>
      </c>
      <c r="T96" s="224">
        <v>36</v>
      </c>
      <c r="U96" s="224">
        <v>30</v>
      </c>
      <c r="W96" s="126">
        <f>HLOOKUP(Troupeau!K$17,[1]Anx!$C$170:$CO$215,T96)</f>
        <v>36</v>
      </c>
      <c r="X96" s="61">
        <f t="shared" ref="X96:X100" si="43">VALUE(LEFT(W96,2))</f>
        <v>36</v>
      </c>
      <c r="Y96" s="126">
        <f>HLOOKUP(Troupeau!K$17,[1]Anx!$C$170:$CO$215,U96)</f>
        <v>30</v>
      </c>
      <c r="Z96" s="54">
        <f>Y$82*Y96</f>
        <v>90</v>
      </c>
      <c r="AB96" s="54">
        <f t="shared" ref="AB96:AQ100" si="44">IF($X96=AB$88,ROUND($Z96/1000,1),0)</f>
        <v>0</v>
      </c>
      <c r="AC96" s="54">
        <f t="shared" si="44"/>
        <v>0</v>
      </c>
      <c r="AD96" s="54">
        <f t="shared" si="44"/>
        <v>0</v>
      </c>
      <c r="AE96" s="54">
        <f t="shared" si="44"/>
        <v>0</v>
      </c>
      <c r="AF96" s="54">
        <f t="shared" si="44"/>
        <v>0</v>
      </c>
      <c r="AG96" s="54">
        <f t="shared" si="44"/>
        <v>0</v>
      </c>
      <c r="AH96" s="54">
        <f t="shared" si="44"/>
        <v>0</v>
      </c>
      <c r="AI96" s="54">
        <f t="shared" si="44"/>
        <v>0</v>
      </c>
      <c r="AJ96" s="54">
        <f t="shared" si="44"/>
        <v>0</v>
      </c>
      <c r="AK96" s="54">
        <f t="shared" si="44"/>
        <v>0</v>
      </c>
      <c r="AL96" s="54">
        <f t="shared" si="44"/>
        <v>0</v>
      </c>
      <c r="AM96" s="54">
        <f t="shared" si="44"/>
        <v>0</v>
      </c>
      <c r="AN96" s="54">
        <f t="shared" si="44"/>
        <v>0</v>
      </c>
      <c r="AO96" s="54">
        <f t="shared" si="44"/>
        <v>0</v>
      </c>
      <c r="AP96" s="54">
        <f t="shared" si="44"/>
        <v>0</v>
      </c>
      <c r="AQ96" s="54">
        <f t="shared" si="44"/>
        <v>0</v>
      </c>
      <c r="AR96" s="54">
        <f t="shared" ref="AR96:BG100" si="45">IF($X96=AR$88,ROUND($Z96/1000,1),0)</f>
        <v>0</v>
      </c>
      <c r="AS96" s="54">
        <f t="shared" si="45"/>
        <v>0</v>
      </c>
      <c r="AT96" s="54">
        <f t="shared" si="45"/>
        <v>0</v>
      </c>
      <c r="AU96" s="54">
        <f t="shared" si="45"/>
        <v>0</v>
      </c>
      <c r="AV96" s="54">
        <f t="shared" si="45"/>
        <v>0</v>
      </c>
      <c r="AW96" s="54">
        <f t="shared" si="45"/>
        <v>0</v>
      </c>
      <c r="AX96" s="54">
        <f t="shared" si="45"/>
        <v>0</v>
      </c>
      <c r="AY96" s="54">
        <f t="shared" si="45"/>
        <v>0</v>
      </c>
      <c r="AZ96" s="54">
        <f t="shared" si="45"/>
        <v>0</v>
      </c>
      <c r="BA96" s="54">
        <f t="shared" si="45"/>
        <v>0</v>
      </c>
      <c r="BB96" s="54">
        <f t="shared" si="45"/>
        <v>0</v>
      </c>
      <c r="BC96" s="54">
        <f t="shared" si="45"/>
        <v>0</v>
      </c>
      <c r="BD96" s="54">
        <f t="shared" si="45"/>
        <v>0</v>
      </c>
      <c r="BE96" s="54">
        <f t="shared" si="45"/>
        <v>0</v>
      </c>
      <c r="BF96" s="54">
        <f t="shared" si="45"/>
        <v>0</v>
      </c>
      <c r="BG96" s="54">
        <f t="shared" si="45"/>
        <v>0</v>
      </c>
      <c r="BH96" s="54">
        <f t="shared" ref="BH96:BV100" si="46">IF($X96=BH$88,ROUND($Z96/1000,1),0)</f>
        <v>0</v>
      </c>
      <c r="BI96" s="54">
        <f t="shared" si="46"/>
        <v>0</v>
      </c>
      <c r="BJ96" s="54">
        <f t="shared" si="46"/>
        <v>0</v>
      </c>
      <c r="BK96" s="54">
        <f t="shared" si="46"/>
        <v>0.1</v>
      </c>
      <c r="BL96" s="54">
        <f t="shared" si="46"/>
        <v>0</v>
      </c>
      <c r="BM96" s="54">
        <f t="shared" si="46"/>
        <v>0</v>
      </c>
      <c r="BN96" s="54">
        <f t="shared" si="46"/>
        <v>0</v>
      </c>
      <c r="BO96" s="54">
        <f t="shared" si="46"/>
        <v>0</v>
      </c>
      <c r="BP96" s="54">
        <f t="shared" si="46"/>
        <v>0</v>
      </c>
      <c r="BQ96" s="54">
        <f t="shared" si="46"/>
        <v>0</v>
      </c>
      <c r="BR96" s="54">
        <f t="shared" si="46"/>
        <v>0</v>
      </c>
      <c r="BS96" s="54">
        <f t="shared" si="46"/>
        <v>0</v>
      </c>
      <c r="BT96" s="54">
        <f t="shared" si="46"/>
        <v>0</v>
      </c>
      <c r="BU96" s="54">
        <f t="shared" si="46"/>
        <v>0</v>
      </c>
      <c r="BV96" s="54">
        <f t="shared" si="46"/>
        <v>0</v>
      </c>
      <c r="BX96">
        <v>8</v>
      </c>
      <c r="BY96" s="168">
        <f>+AI$94</f>
        <v>0</v>
      </c>
      <c r="BZ96" s="168">
        <f>+AI$101</f>
        <v>0</v>
      </c>
      <c r="CA96" s="168">
        <f>+AI$108</f>
        <v>0</v>
      </c>
      <c r="CC96" s="168">
        <f>CdTrp1!AR$54</f>
        <v>0</v>
      </c>
      <c r="CD96" s="168">
        <f>CdTrp2!AR$54</f>
        <v>0</v>
      </c>
      <c r="CE96" s="168">
        <f>CdTrp3!AR$54</f>
        <v>0</v>
      </c>
    </row>
    <row r="97" spans="1:83" x14ac:dyDescent="0.25">
      <c r="A97" s="216" t="str">
        <f>'Conduite Trp'!B26</f>
        <v>16 -correcteur N bovin allaitant</v>
      </c>
      <c r="C97" s="183">
        <f>[1]Conc!$D20</f>
        <v>423</v>
      </c>
      <c r="D97" s="168">
        <f t="shared" si="35"/>
        <v>0</v>
      </c>
      <c r="E97" s="168">
        <f t="shared" si="33"/>
        <v>0</v>
      </c>
      <c r="F97" s="168">
        <f t="shared" si="33"/>
        <v>0</v>
      </c>
      <c r="J97" s="168">
        <f t="shared" si="36"/>
        <v>0</v>
      </c>
      <c r="K97" s="168">
        <f t="shared" si="37"/>
        <v>0</v>
      </c>
      <c r="L97" s="168">
        <f t="shared" si="34"/>
        <v>0</v>
      </c>
      <c r="M97" s="168">
        <f t="shared" si="34"/>
        <v>0</v>
      </c>
      <c r="R97" t="s">
        <v>377</v>
      </c>
      <c r="T97" s="224">
        <v>37</v>
      </c>
      <c r="U97" s="224">
        <v>31</v>
      </c>
      <c r="W97" s="126">
        <f>HLOOKUP(Troupeau!K$17,[1]Anx!$C$170:$CO$215,T97)</f>
        <v>37</v>
      </c>
      <c r="X97" s="61">
        <f t="shared" si="43"/>
        <v>37</v>
      </c>
      <c r="Y97" s="126">
        <f>HLOOKUP(Troupeau!K$17,[1]Anx!$C$170:$CO$215,U97)</f>
        <v>31</v>
      </c>
      <c r="Z97" s="54">
        <f>Y$82*Y97</f>
        <v>93</v>
      </c>
      <c r="AB97" s="54">
        <f t="shared" si="44"/>
        <v>0</v>
      </c>
      <c r="AC97" s="54">
        <f t="shared" si="44"/>
        <v>0</v>
      </c>
      <c r="AD97" s="54">
        <f t="shared" si="44"/>
        <v>0</v>
      </c>
      <c r="AE97" s="54">
        <f t="shared" si="44"/>
        <v>0</v>
      </c>
      <c r="AF97" s="54">
        <f t="shared" si="44"/>
        <v>0</v>
      </c>
      <c r="AG97" s="54">
        <f t="shared" si="44"/>
        <v>0</v>
      </c>
      <c r="AH97" s="54">
        <f t="shared" si="44"/>
        <v>0</v>
      </c>
      <c r="AI97" s="54">
        <f t="shared" si="44"/>
        <v>0</v>
      </c>
      <c r="AJ97" s="54">
        <f t="shared" si="44"/>
        <v>0</v>
      </c>
      <c r="AK97" s="54">
        <f t="shared" si="44"/>
        <v>0</v>
      </c>
      <c r="AL97" s="54">
        <f t="shared" si="44"/>
        <v>0</v>
      </c>
      <c r="AM97" s="54">
        <f t="shared" si="44"/>
        <v>0</v>
      </c>
      <c r="AN97" s="54">
        <f t="shared" si="44"/>
        <v>0</v>
      </c>
      <c r="AO97" s="54">
        <f t="shared" si="44"/>
        <v>0</v>
      </c>
      <c r="AP97" s="54">
        <f t="shared" si="44"/>
        <v>0</v>
      </c>
      <c r="AQ97" s="54">
        <f t="shared" si="44"/>
        <v>0</v>
      </c>
      <c r="AR97" s="54">
        <f t="shared" si="45"/>
        <v>0</v>
      </c>
      <c r="AS97" s="54">
        <f t="shared" si="45"/>
        <v>0</v>
      </c>
      <c r="AT97" s="54">
        <f t="shared" si="45"/>
        <v>0</v>
      </c>
      <c r="AU97" s="54">
        <f t="shared" si="45"/>
        <v>0</v>
      </c>
      <c r="AV97" s="54">
        <f t="shared" si="45"/>
        <v>0</v>
      </c>
      <c r="AW97" s="54">
        <f t="shared" si="45"/>
        <v>0</v>
      </c>
      <c r="AX97" s="54">
        <f t="shared" si="45"/>
        <v>0</v>
      </c>
      <c r="AY97" s="54">
        <f t="shared" si="45"/>
        <v>0</v>
      </c>
      <c r="AZ97" s="54">
        <f t="shared" si="45"/>
        <v>0</v>
      </c>
      <c r="BA97" s="54">
        <f t="shared" si="45"/>
        <v>0</v>
      </c>
      <c r="BB97" s="54">
        <f t="shared" si="45"/>
        <v>0</v>
      </c>
      <c r="BC97" s="54">
        <f t="shared" si="45"/>
        <v>0</v>
      </c>
      <c r="BD97" s="54">
        <f t="shared" si="45"/>
        <v>0</v>
      </c>
      <c r="BE97" s="54">
        <f t="shared" si="45"/>
        <v>0</v>
      </c>
      <c r="BF97" s="54">
        <f t="shared" si="45"/>
        <v>0</v>
      </c>
      <c r="BG97" s="54">
        <f t="shared" si="45"/>
        <v>0</v>
      </c>
      <c r="BH97" s="54">
        <f t="shared" si="46"/>
        <v>0</v>
      </c>
      <c r="BI97" s="54">
        <f t="shared" si="46"/>
        <v>0</v>
      </c>
      <c r="BJ97" s="54">
        <f t="shared" si="46"/>
        <v>0</v>
      </c>
      <c r="BK97" s="54">
        <f t="shared" si="46"/>
        <v>0</v>
      </c>
      <c r="BL97" s="54">
        <f t="shared" si="46"/>
        <v>0.1</v>
      </c>
      <c r="BM97" s="54">
        <f t="shared" si="46"/>
        <v>0</v>
      </c>
      <c r="BN97" s="54">
        <f t="shared" si="46"/>
        <v>0</v>
      </c>
      <c r="BO97" s="54">
        <f t="shared" si="46"/>
        <v>0</v>
      </c>
      <c r="BP97" s="54">
        <f t="shared" si="46"/>
        <v>0</v>
      </c>
      <c r="BQ97" s="54">
        <f t="shared" si="46"/>
        <v>0</v>
      </c>
      <c r="BR97" s="54">
        <f t="shared" si="46"/>
        <v>0</v>
      </c>
      <c r="BS97" s="54">
        <f t="shared" si="46"/>
        <v>0</v>
      </c>
      <c r="BT97" s="54">
        <f t="shared" si="46"/>
        <v>0</v>
      </c>
      <c r="BU97" s="54">
        <f t="shared" si="46"/>
        <v>0</v>
      </c>
      <c r="BV97" s="54">
        <f t="shared" si="46"/>
        <v>0</v>
      </c>
      <c r="BX97">
        <v>9</v>
      </c>
      <c r="BY97" s="168">
        <f>+AJ$94</f>
        <v>0</v>
      </c>
      <c r="BZ97" s="168">
        <f>+AJ$101</f>
        <v>0</v>
      </c>
      <c r="CA97" s="168">
        <f>+AJ$108</f>
        <v>0</v>
      </c>
      <c r="CC97" s="168">
        <f>CdTrp1!AS$54</f>
        <v>0</v>
      </c>
      <c r="CD97" s="168">
        <f>CdTrp2!AS$54</f>
        <v>0</v>
      </c>
      <c r="CE97" s="168">
        <f>CdTrp3!AS$54</f>
        <v>0</v>
      </c>
    </row>
    <row r="98" spans="1:83" x14ac:dyDescent="0.25">
      <c r="A98" s="216" t="str">
        <f>'Conduite Trp'!B27</f>
        <v xml:space="preserve">17 -alim veau </v>
      </c>
      <c r="C98" s="183">
        <f>[1]Conc!$D21</f>
        <v>300</v>
      </c>
      <c r="D98" s="168">
        <f t="shared" si="35"/>
        <v>4.4000000000000004</v>
      </c>
      <c r="E98" s="168">
        <f t="shared" si="35"/>
        <v>0</v>
      </c>
      <c r="F98" s="168">
        <f t="shared" si="35"/>
        <v>0</v>
      </c>
      <c r="J98" s="168">
        <f t="shared" si="36"/>
        <v>1320</v>
      </c>
      <c r="K98" s="168">
        <f t="shared" si="37"/>
        <v>1320</v>
      </c>
      <c r="L98" s="168">
        <f t="shared" si="37"/>
        <v>0</v>
      </c>
      <c r="M98" s="168">
        <f t="shared" si="37"/>
        <v>0</v>
      </c>
      <c r="R98" t="s">
        <v>378</v>
      </c>
      <c r="T98" s="224">
        <v>38</v>
      </c>
      <c r="U98" s="224">
        <v>32</v>
      </c>
      <c r="W98" s="126">
        <f>HLOOKUP(Troupeau!K$17,[1]Anx!$C$170:$CO$215,T98)</f>
        <v>38</v>
      </c>
      <c r="X98" s="61">
        <f t="shared" si="43"/>
        <v>38</v>
      </c>
      <c r="Y98" s="126">
        <f>HLOOKUP(Troupeau!K$17,[1]Anx!$C$170:$CO$215,U98)</f>
        <v>32</v>
      </c>
      <c r="Z98" s="54">
        <f>Y$82*Y98</f>
        <v>96</v>
      </c>
      <c r="AB98" s="54">
        <f t="shared" si="44"/>
        <v>0</v>
      </c>
      <c r="AC98" s="54">
        <f t="shared" si="44"/>
        <v>0</v>
      </c>
      <c r="AD98" s="54">
        <f t="shared" si="44"/>
        <v>0</v>
      </c>
      <c r="AE98" s="54">
        <f t="shared" si="44"/>
        <v>0</v>
      </c>
      <c r="AF98" s="54">
        <f t="shared" si="44"/>
        <v>0</v>
      </c>
      <c r="AG98" s="54">
        <f t="shared" si="44"/>
        <v>0</v>
      </c>
      <c r="AH98" s="54">
        <f t="shared" si="44"/>
        <v>0</v>
      </c>
      <c r="AI98" s="54">
        <f t="shared" si="44"/>
        <v>0</v>
      </c>
      <c r="AJ98" s="54">
        <f t="shared" si="44"/>
        <v>0</v>
      </c>
      <c r="AK98" s="54">
        <f t="shared" si="44"/>
        <v>0</v>
      </c>
      <c r="AL98" s="54">
        <f t="shared" si="44"/>
        <v>0</v>
      </c>
      <c r="AM98" s="54">
        <f t="shared" si="44"/>
        <v>0</v>
      </c>
      <c r="AN98" s="54">
        <f t="shared" si="44"/>
        <v>0</v>
      </c>
      <c r="AO98" s="54">
        <f t="shared" si="44"/>
        <v>0</v>
      </c>
      <c r="AP98" s="54">
        <f t="shared" si="44"/>
        <v>0</v>
      </c>
      <c r="AQ98" s="54">
        <f t="shared" si="44"/>
        <v>0</v>
      </c>
      <c r="AR98" s="54">
        <f t="shared" si="45"/>
        <v>0</v>
      </c>
      <c r="AS98" s="54">
        <f t="shared" si="45"/>
        <v>0</v>
      </c>
      <c r="AT98" s="54">
        <f t="shared" si="45"/>
        <v>0</v>
      </c>
      <c r="AU98" s="54">
        <f t="shared" si="45"/>
        <v>0</v>
      </c>
      <c r="AV98" s="54">
        <f t="shared" si="45"/>
        <v>0</v>
      </c>
      <c r="AW98" s="54">
        <f t="shared" si="45"/>
        <v>0</v>
      </c>
      <c r="AX98" s="54">
        <f t="shared" si="45"/>
        <v>0</v>
      </c>
      <c r="AY98" s="54">
        <f t="shared" si="45"/>
        <v>0</v>
      </c>
      <c r="AZ98" s="54">
        <f t="shared" si="45"/>
        <v>0</v>
      </c>
      <c r="BA98" s="54">
        <f t="shared" si="45"/>
        <v>0</v>
      </c>
      <c r="BB98" s="54">
        <f t="shared" si="45"/>
        <v>0</v>
      </c>
      <c r="BC98" s="54">
        <f t="shared" si="45"/>
        <v>0</v>
      </c>
      <c r="BD98" s="54">
        <f t="shared" si="45"/>
        <v>0</v>
      </c>
      <c r="BE98" s="54">
        <f t="shared" si="45"/>
        <v>0</v>
      </c>
      <c r="BF98" s="54">
        <f t="shared" si="45"/>
        <v>0</v>
      </c>
      <c r="BG98" s="54">
        <f t="shared" si="45"/>
        <v>0</v>
      </c>
      <c r="BH98" s="54">
        <f t="shared" si="46"/>
        <v>0</v>
      </c>
      <c r="BI98" s="54">
        <f t="shared" si="46"/>
        <v>0</v>
      </c>
      <c r="BJ98" s="54">
        <f t="shared" si="46"/>
        <v>0</v>
      </c>
      <c r="BK98" s="54">
        <f t="shared" si="46"/>
        <v>0</v>
      </c>
      <c r="BL98" s="54">
        <f t="shared" si="46"/>
        <v>0</v>
      </c>
      <c r="BM98" s="54">
        <f t="shared" si="46"/>
        <v>0.1</v>
      </c>
      <c r="BN98" s="54">
        <f t="shared" si="46"/>
        <v>0</v>
      </c>
      <c r="BO98" s="54">
        <f t="shared" si="46"/>
        <v>0</v>
      </c>
      <c r="BP98" s="54">
        <f t="shared" si="46"/>
        <v>0</v>
      </c>
      <c r="BQ98" s="54">
        <f t="shared" si="46"/>
        <v>0</v>
      </c>
      <c r="BR98" s="54">
        <f t="shared" si="46"/>
        <v>0</v>
      </c>
      <c r="BS98" s="54">
        <f t="shared" si="46"/>
        <v>0</v>
      </c>
      <c r="BT98" s="54">
        <f t="shared" si="46"/>
        <v>0</v>
      </c>
      <c r="BU98" s="54">
        <f t="shared" si="46"/>
        <v>0</v>
      </c>
      <c r="BV98" s="54">
        <f t="shared" si="46"/>
        <v>0</v>
      </c>
      <c r="BX98">
        <v>10</v>
      </c>
      <c r="BY98" s="168">
        <f>+AK$94</f>
        <v>0</v>
      </c>
      <c r="BZ98" s="168">
        <f>+AK$101</f>
        <v>0</v>
      </c>
      <c r="CA98" s="168">
        <f>+AK$108</f>
        <v>0</v>
      </c>
      <c r="CC98" s="168">
        <f>CdTrp1!AT$54</f>
        <v>0</v>
      </c>
      <c r="CD98" s="168">
        <f>CdTrp2!AT$54</f>
        <v>0</v>
      </c>
      <c r="CE98" s="168">
        <f>CdTrp3!AT$54</f>
        <v>0</v>
      </c>
    </row>
    <row r="99" spans="1:83" x14ac:dyDescent="0.25">
      <c r="A99" s="216" t="str">
        <f>'Conduite Trp'!B28</f>
        <v xml:space="preserve">18 -cmv engraissement bovin </v>
      </c>
      <c r="C99" s="183">
        <f>[1]Conc!$D22</f>
        <v>0</v>
      </c>
      <c r="D99" s="168">
        <f t="shared" si="35"/>
        <v>0</v>
      </c>
      <c r="E99" s="168">
        <f t="shared" si="35"/>
        <v>0</v>
      </c>
      <c r="F99" s="168">
        <f t="shared" si="35"/>
        <v>0</v>
      </c>
      <c r="J99" s="168">
        <f t="shared" si="36"/>
        <v>0</v>
      </c>
      <c r="K99" s="168">
        <f t="shared" si="37"/>
        <v>0</v>
      </c>
      <c r="L99" s="168">
        <f t="shared" si="37"/>
        <v>0</v>
      </c>
      <c r="M99" s="168">
        <f t="shared" si="37"/>
        <v>0</v>
      </c>
      <c r="R99" t="s">
        <v>379</v>
      </c>
      <c r="T99" s="224">
        <v>39</v>
      </c>
      <c r="U99" s="224">
        <v>33</v>
      </c>
      <c r="W99" s="126">
        <f>HLOOKUP(Troupeau!K$17,[1]Anx!$C$170:$CO$215,T99)</f>
        <v>39</v>
      </c>
      <c r="X99" s="61">
        <f t="shared" si="43"/>
        <v>39</v>
      </c>
      <c r="Y99" s="126">
        <f>HLOOKUP(Troupeau!K$17,[1]Anx!$C$170:$CO$215,U99)</f>
        <v>33</v>
      </c>
      <c r="Z99" s="54">
        <f>Y$82*Y99</f>
        <v>99</v>
      </c>
      <c r="AB99" s="54">
        <f t="shared" si="44"/>
        <v>0</v>
      </c>
      <c r="AC99" s="54">
        <f t="shared" si="44"/>
        <v>0</v>
      </c>
      <c r="AD99" s="54">
        <f t="shared" si="44"/>
        <v>0</v>
      </c>
      <c r="AE99" s="54">
        <f t="shared" si="44"/>
        <v>0</v>
      </c>
      <c r="AF99" s="54">
        <f t="shared" si="44"/>
        <v>0</v>
      </c>
      <c r="AG99" s="54">
        <f t="shared" si="44"/>
        <v>0</v>
      </c>
      <c r="AH99" s="54">
        <f t="shared" si="44"/>
        <v>0</v>
      </c>
      <c r="AI99" s="54">
        <f t="shared" si="44"/>
        <v>0</v>
      </c>
      <c r="AJ99" s="54">
        <f t="shared" si="44"/>
        <v>0</v>
      </c>
      <c r="AK99" s="54">
        <f t="shared" si="44"/>
        <v>0</v>
      </c>
      <c r="AL99" s="54">
        <f t="shared" si="44"/>
        <v>0</v>
      </c>
      <c r="AM99" s="54">
        <f t="shared" si="44"/>
        <v>0</v>
      </c>
      <c r="AN99" s="54">
        <f t="shared" si="44"/>
        <v>0</v>
      </c>
      <c r="AO99" s="54">
        <f t="shared" si="44"/>
        <v>0</v>
      </c>
      <c r="AP99" s="54">
        <f t="shared" si="44"/>
        <v>0</v>
      </c>
      <c r="AQ99" s="54">
        <f t="shared" si="44"/>
        <v>0</v>
      </c>
      <c r="AR99" s="54">
        <f t="shared" si="45"/>
        <v>0</v>
      </c>
      <c r="AS99" s="54">
        <f t="shared" si="45"/>
        <v>0</v>
      </c>
      <c r="AT99" s="54">
        <f t="shared" si="45"/>
        <v>0</v>
      </c>
      <c r="AU99" s="54">
        <f t="shared" si="45"/>
        <v>0</v>
      </c>
      <c r="AV99" s="54">
        <f t="shared" si="45"/>
        <v>0</v>
      </c>
      <c r="AW99" s="54">
        <f t="shared" si="45"/>
        <v>0</v>
      </c>
      <c r="AX99" s="54">
        <f t="shared" si="45"/>
        <v>0</v>
      </c>
      <c r="AY99" s="54">
        <f t="shared" si="45"/>
        <v>0</v>
      </c>
      <c r="AZ99" s="54">
        <f t="shared" si="45"/>
        <v>0</v>
      </c>
      <c r="BA99" s="54">
        <f t="shared" si="45"/>
        <v>0</v>
      </c>
      <c r="BB99" s="54">
        <f t="shared" si="45"/>
        <v>0</v>
      </c>
      <c r="BC99" s="54">
        <f t="shared" si="45"/>
        <v>0</v>
      </c>
      <c r="BD99" s="54">
        <f t="shared" si="45"/>
        <v>0</v>
      </c>
      <c r="BE99" s="54">
        <f t="shared" si="45"/>
        <v>0</v>
      </c>
      <c r="BF99" s="54">
        <f t="shared" si="45"/>
        <v>0</v>
      </c>
      <c r="BG99" s="54">
        <f t="shared" si="45"/>
        <v>0</v>
      </c>
      <c r="BH99" s="54">
        <f t="shared" si="46"/>
        <v>0</v>
      </c>
      <c r="BI99" s="54">
        <f t="shared" si="46"/>
        <v>0</v>
      </c>
      <c r="BJ99" s="54">
        <f t="shared" si="46"/>
        <v>0</v>
      </c>
      <c r="BK99" s="54">
        <f t="shared" si="46"/>
        <v>0</v>
      </c>
      <c r="BL99" s="54">
        <f t="shared" si="46"/>
        <v>0</v>
      </c>
      <c r="BM99" s="54">
        <f t="shared" si="46"/>
        <v>0</v>
      </c>
      <c r="BN99" s="54">
        <f t="shared" si="46"/>
        <v>0.1</v>
      </c>
      <c r="BO99" s="54">
        <f t="shared" si="46"/>
        <v>0</v>
      </c>
      <c r="BP99" s="54">
        <f t="shared" si="46"/>
        <v>0</v>
      </c>
      <c r="BQ99" s="54">
        <f t="shared" si="46"/>
        <v>0</v>
      </c>
      <c r="BR99" s="54">
        <f t="shared" si="46"/>
        <v>0</v>
      </c>
      <c r="BS99" s="54">
        <f t="shared" si="46"/>
        <v>0</v>
      </c>
      <c r="BT99" s="54">
        <f t="shared" si="46"/>
        <v>0</v>
      </c>
      <c r="BU99" s="54">
        <f t="shared" si="46"/>
        <v>0</v>
      </c>
      <c r="BV99" s="54">
        <f t="shared" si="46"/>
        <v>0</v>
      </c>
      <c r="BX99">
        <v>11</v>
      </c>
      <c r="BY99" s="168">
        <f>+AL$94</f>
        <v>0</v>
      </c>
      <c r="BZ99" s="168">
        <f>+AL$101</f>
        <v>0</v>
      </c>
      <c r="CA99" s="168">
        <f>+AL$108</f>
        <v>0</v>
      </c>
      <c r="CC99" s="168">
        <f>CdTrp1!AU$54</f>
        <v>0</v>
      </c>
      <c r="CD99" s="168">
        <f>CdTrp2!AU$54</f>
        <v>0</v>
      </c>
      <c r="CE99" s="168">
        <f>CdTrp3!AU$54</f>
        <v>0</v>
      </c>
    </row>
    <row r="100" spans="1:83" x14ac:dyDescent="0.25">
      <c r="A100" s="216" t="str">
        <f>'Conduite Trp'!B29</f>
        <v>19 -concentré VL</v>
      </c>
      <c r="C100" s="183">
        <f>[1]Conc!$D23</f>
        <v>390</v>
      </c>
      <c r="D100" s="168">
        <f t="shared" si="35"/>
        <v>0</v>
      </c>
      <c r="E100" s="168">
        <f t="shared" si="35"/>
        <v>0</v>
      </c>
      <c r="F100" s="168">
        <f t="shared" si="35"/>
        <v>0</v>
      </c>
      <c r="J100" s="168">
        <f t="shared" si="36"/>
        <v>0</v>
      </c>
      <c r="K100" s="168">
        <f t="shared" si="37"/>
        <v>0</v>
      </c>
      <c r="L100" s="168">
        <f t="shared" si="37"/>
        <v>0</v>
      </c>
      <c r="M100" s="168">
        <f t="shared" si="37"/>
        <v>0</v>
      </c>
      <c r="R100" t="s">
        <v>380</v>
      </c>
      <c r="S100" s="5"/>
      <c r="T100" s="224">
        <v>40</v>
      </c>
      <c r="U100" s="224">
        <v>34</v>
      </c>
      <c r="W100" s="126">
        <f>HLOOKUP(Troupeau!K$17,[1]Anx!$C$170:$CO$215,T100)</f>
        <v>40</v>
      </c>
      <c r="X100" s="61">
        <f t="shared" si="43"/>
        <v>40</v>
      </c>
      <c r="Y100" s="126">
        <f>HLOOKUP(Troupeau!K$17,[1]Anx!$C$170:$CO$215,U100)</f>
        <v>34</v>
      </c>
      <c r="Z100" s="54">
        <f>Y$82*Y100</f>
        <v>102</v>
      </c>
      <c r="AB100" s="54">
        <f t="shared" si="44"/>
        <v>0</v>
      </c>
      <c r="AC100" s="54">
        <f t="shared" si="44"/>
        <v>0</v>
      </c>
      <c r="AD100" s="54">
        <f t="shared" si="44"/>
        <v>0</v>
      </c>
      <c r="AE100" s="54">
        <f t="shared" si="44"/>
        <v>0</v>
      </c>
      <c r="AF100" s="54">
        <f t="shared" si="44"/>
        <v>0</v>
      </c>
      <c r="AG100" s="54">
        <f t="shared" si="44"/>
        <v>0</v>
      </c>
      <c r="AH100" s="54">
        <f t="shared" si="44"/>
        <v>0</v>
      </c>
      <c r="AI100" s="54">
        <f t="shared" si="44"/>
        <v>0</v>
      </c>
      <c r="AJ100" s="54">
        <f t="shared" si="44"/>
        <v>0</v>
      </c>
      <c r="AK100" s="54">
        <f t="shared" si="44"/>
        <v>0</v>
      </c>
      <c r="AL100" s="54">
        <f t="shared" si="44"/>
        <v>0</v>
      </c>
      <c r="AM100" s="54">
        <f t="shared" si="44"/>
        <v>0</v>
      </c>
      <c r="AN100" s="54">
        <f t="shared" si="44"/>
        <v>0</v>
      </c>
      <c r="AO100" s="54">
        <f t="shared" si="44"/>
        <v>0</v>
      </c>
      <c r="AP100" s="54">
        <f t="shared" si="44"/>
        <v>0</v>
      </c>
      <c r="AQ100" s="54">
        <f t="shared" si="44"/>
        <v>0</v>
      </c>
      <c r="AR100" s="54">
        <f t="shared" si="45"/>
        <v>0</v>
      </c>
      <c r="AS100" s="54">
        <f t="shared" si="45"/>
        <v>0</v>
      </c>
      <c r="AT100" s="54">
        <f t="shared" si="45"/>
        <v>0</v>
      </c>
      <c r="AU100" s="54">
        <f t="shared" si="45"/>
        <v>0</v>
      </c>
      <c r="AV100" s="54">
        <f t="shared" si="45"/>
        <v>0</v>
      </c>
      <c r="AW100" s="54">
        <f t="shared" si="45"/>
        <v>0</v>
      </c>
      <c r="AX100" s="54">
        <f t="shared" si="45"/>
        <v>0</v>
      </c>
      <c r="AY100" s="54">
        <f t="shared" si="45"/>
        <v>0</v>
      </c>
      <c r="AZ100" s="54">
        <f t="shared" si="45"/>
        <v>0</v>
      </c>
      <c r="BA100" s="54">
        <f t="shared" si="45"/>
        <v>0</v>
      </c>
      <c r="BB100" s="54">
        <f t="shared" si="45"/>
        <v>0</v>
      </c>
      <c r="BC100" s="54">
        <f t="shared" si="45"/>
        <v>0</v>
      </c>
      <c r="BD100" s="54">
        <f t="shared" si="45"/>
        <v>0</v>
      </c>
      <c r="BE100" s="54">
        <f t="shared" si="45"/>
        <v>0</v>
      </c>
      <c r="BF100" s="54">
        <f t="shared" si="45"/>
        <v>0</v>
      </c>
      <c r="BG100" s="54">
        <f t="shared" si="45"/>
        <v>0</v>
      </c>
      <c r="BH100" s="54">
        <f t="shared" si="46"/>
        <v>0</v>
      </c>
      <c r="BI100" s="54">
        <f t="shared" si="46"/>
        <v>0</v>
      </c>
      <c r="BJ100" s="54">
        <f t="shared" si="46"/>
        <v>0</v>
      </c>
      <c r="BK100" s="54">
        <f t="shared" si="46"/>
        <v>0</v>
      </c>
      <c r="BL100" s="54">
        <f t="shared" si="46"/>
        <v>0</v>
      </c>
      <c r="BM100" s="54">
        <f t="shared" si="46"/>
        <v>0</v>
      </c>
      <c r="BN100" s="54">
        <f t="shared" si="46"/>
        <v>0</v>
      </c>
      <c r="BO100" s="54">
        <f t="shared" si="46"/>
        <v>0.1</v>
      </c>
      <c r="BP100" s="54">
        <f t="shared" si="46"/>
        <v>0</v>
      </c>
      <c r="BQ100" s="54">
        <f t="shared" si="46"/>
        <v>0</v>
      </c>
      <c r="BR100" s="54">
        <f t="shared" si="46"/>
        <v>0</v>
      </c>
      <c r="BS100" s="54">
        <f t="shared" si="46"/>
        <v>0</v>
      </c>
      <c r="BT100" s="54">
        <f t="shared" si="46"/>
        <v>0</v>
      </c>
      <c r="BU100" s="54">
        <f t="shared" si="46"/>
        <v>0</v>
      </c>
      <c r="BV100" s="54">
        <f t="shared" si="46"/>
        <v>0</v>
      </c>
      <c r="BX100">
        <v>12</v>
      </c>
      <c r="BY100" s="168">
        <f>+AM$94</f>
        <v>0</v>
      </c>
      <c r="BZ100" s="168">
        <f>+AM$101</f>
        <v>0</v>
      </c>
      <c r="CA100" s="168">
        <f>+AM$108</f>
        <v>0</v>
      </c>
      <c r="CC100" s="168">
        <f>CdTrp1!AV$54</f>
        <v>0</v>
      </c>
      <c r="CD100" s="168">
        <f>CdTrp2!AV$54</f>
        <v>0</v>
      </c>
      <c r="CE100" s="168">
        <f>CdTrp3!AV$54</f>
        <v>0</v>
      </c>
    </row>
    <row r="101" spans="1:83" x14ac:dyDescent="0.25">
      <c r="A101" s="216" t="str">
        <f>'Conduite Trp'!B30</f>
        <v>20 -</v>
      </c>
      <c r="C101" s="183">
        <f>[1]Conc!$D24</f>
        <v>0</v>
      </c>
      <c r="D101" s="168">
        <f t="shared" si="35"/>
        <v>0</v>
      </c>
      <c r="E101" s="168">
        <f t="shared" si="35"/>
        <v>0</v>
      </c>
      <c r="F101" s="168">
        <f t="shared" si="35"/>
        <v>0</v>
      </c>
      <c r="J101" s="168">
        <f t="shared" si="36"/>
        <v>0</v>
      </c>
      <c r="K101" s="168">
        <f t="shared" si="37"/>
        <v>0</v>
      </c>
      <c r="L101" s="168">
        <f t="shared" si="37"/>
        <v>0</v>
      </c>
      <c r="M101" s="168">
        <f t="shared" si="37"/>
        <v>0</v>
      </c>
      <c r="AB101" s="56">
        <f>SUM(AB96:AB100)</f>
        <v>0</v>
      </c>
      <c r="AC101" s="56">
        <f t="shared" ref="AC101:BV101" si="47">SUM(AC96:AC100)</f>
        <v>0</v>
      </c>
      <c r="AD101" s="56">
        <f t="shared" si="47"/>
        <v>0</v>
      </c>
      <c r="AE101" s="56">
        <f t="shared" si="47"/>
        <v>0</v>
      </c>
      <c r="AF101" s="56">
        <f t="shared" si="47"/>
        <v>0</v>
      </c>
      <c r="AG101" s="56">
        <f t="shared" si="47"/>
        <v>0</v>
      </c>
      <c r="AH101" s="56">
        <f t="shared" si="47"/>
        <v>0</v>
      </c>
      <c r="AI101" s="56">
        <f t="shared" si="47"/>
        <v>0</v>
      </c>
      <c r="AJ101" s="56">
        <f t="shared" si="47"/>
        <v>0</v>
      </c>
      <c r="AK101" s="56">
        <f t="shared" si="47"/>
        <v>0</v>
      </c>
      <c r="AL101" s="56">
        <f t="shared" si="47"/>
        <v>0</v>
      </c>
      <c r="AM101" s="56">
        <f t="shared" si="47"/>
        <v>0</v>
      </c>
      <c r="AN101" s="56">
        <f t="shared" si="47"/>
        <v>0</v>
      </c>
      <c r="AO101" s="56">
        <f t="shared" si="47"/>
        <v>0</v>
      </c>
      <c r="AP101" s="56">
        <f t="shared" si="47"/>
        <v>0</v>
      </c>
      <c r="AQ101" s="56">
        <f t="shared" si="47"/>
        <v>0</v>
      </c>
      <c r="AR101" s="56">
        <f t="shared" si="47"/>
        <v>0</v>
      </c>
      <c r="AS101" s="56">
        <f t="shared" si="47"/>
        <v>0</v>
      </c>
      <c r="AT101" s="56">
        <f t="shared" si="47"/>
        <v>0</v>
      </c>
      <c r="AU101" s="56">
        <f t="shared" si="47"/>
        <v>0</v>
      </c>
      <c r="AV101" s="56">
        <f t="shared" si="47"/>
        <v>0</v>
      </c>
      <c r="AW101" s="56">
        <f t="shared" si="47"/>
        <v>0</v>
      </c>
      <c r="AX101" s="56">
        <f t="shared" si="47"/>
        <v>0</v>
      </c>
      <c r="AY101" s="56">
        <f t="shared" si="47"/>
        <v>0</v>
      </c>
      <c r="AZ101" s="56">
        <f t="shared" si="47"/>
        <v>0</v>
      </c>
      <c r="BA101" s="56">
        <f t="shared" si="47"/>
        <v>0</v>
      </c>
      <c r="BB101" s="56">
        <f t="shared" si="47"/>
        <v>0</v>
      </c>
      <c r="BC101" s="56">
        <f t="shared" si="47"/>
        <v>0</v>
      </c>
      <c r="BD101" s="56">
        <f t="shared" si="47"/>
        <v>0</v>
      </c>
      <c r="BE101" s="56">
        <f t="shared" si="47"/>
        <v>0</v>
      </c>
      <c r="BF101" s="56">
        <f t="shared" si="47"/>
        <v>0</v>
      </c>
      <c r="BG101" s="56">
        <f t="shared" si="47"/>
        <v>0</v>
      </c>
      <c r="BH101" s="56">
        <f t="shared" si="47"/>
        <v>0</v>
      </c>
      <c r="BI101" s="56">
        <f t="shared" si="47"/>
        <v>0</v>
      </c>
      <c r="BJ101" s="56">
        <f t="shared" si="47"/>
        <v>0</v>
      </c>
      <c r="BK101" s="56">
        <f t="shared" si="47"/>
        <v>0.1</v>
      </c>
      <c r="BL101" s="56">
        <f t="shared" si="47"/>
        <v>0.1</v>
      </c>
      <c r="BM101" s="56">
        <f t="shared" si="47"/>
        <v>0.1</v>
      </c>
      <c r="BN101" s="56">
        <f t="shared" si="47"/>
        <v>0.1</v>
      </c>
      <c r="BO101" s="56">
        <f t="shared" si="47"/>
        <v>0.1</v>
      </c>
      <c r="BP101" s="56">
        <f t="shared" si="47"/>
        <v>0</v>
      </c>
      <c r="BQ101" s="56">
        <f t="shared" si="47"/>
        <v>0</v>
      </c>
      <c r="BR101" s="56">
        <f t="shared" si="47"/>
        <v>0</v>
      </c>
      <c r="BS101" s="56">
        <f t="shared" si="47"/>
        <v>0</v>
      </c>
      <c r="BT101" s="56">
        <f t="shared" si="47"/>
        <v>0</v>
      </c>
      <c r="BU101" s="56">
        <f t="shared" si="47"/>
        <v>0</v>
      </c>
      <c r="BV101" s="56">
        <f t="shared" si="47"/>
        <v>0</v>
      </c>
      <c r="BX101">
        <v>13</v>
      </c>
      <c r="BY101" s="168">
        <f>+AN$94</f>
        <v>0</v>
      </c>
      <c r="BZ101" s="168">
        <f>+AN$101</f>
        <v>0</v>
      </c>
      <c r="CA101" s="168">
        <f>+AN$108</f>
        <v>0</v>
      </c>
      <c r="CC101" s="168">
        <f>CdTrp1!AW$54</f>
        <v>0</v>
      </c>
      <c r="CD101" s="168">
        <f>CdTrp2!AW$54</f>
        <v>0</v>
      </c>
      <c r="CE101" s="168">
        <f>CdTrp3!AW$54</f>
        <v>0</v>
      </c>
    </row>
    <row r="102" spans="1:83" x14ac:dyDescent="0.25">
      <c r="A102" s="216" t="str">
        <f>'Conduite Trp'!B31</f>
        <v>21 -</v>
      </c>
      <c r="C102" s="183">
        <f>[1]Conc!$D25</f>
        <v>0</v>
      </c>
      <c r="D102" s="168">
        <f t="shared" si="35"/>
        <v>0</v>
      </c>
      <c r="E102" s="168">
        <f t="shared" si="35"/>
        <v>0</v>
      </c>
      <c r="F102" s="168">
        <f t="shared" si="35"/>
        <v>0</v>
      </c>
      <c r="J102" s="168">
        <f t="shared" si="36"/>
        <v>0</v>
      </c>
      <c r="K102" s="168">
        <f t="shared" si="37"/>
        <v>0</v>
      </c>
      <c r="L102" s="168">
        <f t="shared" si="37"/>
        <v>0</v>
      </c>
      <c r="M102" s="168">
        <f t="shared" si="37"/>
        <v>0</v>
      </c>
      <c r="BX102">
        <v>14</v>
      </c>
      <c r="BY102" s="168">
        <f>+AO$94</f>
        <v>0</v>
      </c>
      <c r="BZ102" s="168">
        <f>+AO$101</f>
        <v>0</v>
      </c>
      <c r="CA102" s="168">
        <f>+AO$108</f>
        <v>0</v>
      </c>
      <c r="CC102" s="168">
        <f>CdTrp1!AX$54</f>
        <v>0</v>
      </c>
      <c r="CD102" s="168">
        <f>CdTrp2!AX$54</f>
        <v>0</v>
      </c>
      <c r="CE102" s="168">
        <f>CdTrp3!AX$54</f>
        <v>0</v>
      </c>
    </row>
    <row r="103" spans="1:83" x14ac:dyDescent="0.25">
      <c r="A103" s="216" t="str">
        <f>'Conduite Trp'!B32</f>
        <v>22 -</v>
      </c>
      <c r="C103" s="183">
        <f>[1]Conc!$D26</f>
        <v>0</v>
      </c>
      <c r="D103" s="168">
        <f t="shared" si="35"/>
        <v>0</v>
      </c>
      <c r="E103" s="168">
        <f t="shared" si="35"/>
        <v>0</v>
      </c>
      <c r="F103" s="168">
        <f t="shared" si="35"/>
        <v>0</v>
      </c>
      <c r="J103" s="168">
        <f t="shared" si="36"/>
        <v>0</v>
      </c>
      <c r="K103" s="168">
        <f t="shared" si="37"/>
        <v>0</v>
      </c>
      <c r="L103" s="168">
        <f t="shared" si="37"/>
        <v>0</v>
      </c>
      <c r="M103" s="168">
        <f t="shared" si="37"/>
        <v>0</v>
      </c>
      <c r="Q103" s="2" t="s">
        <v>96</v>
      </c>
      <c r="R103" t="s">
        <v>376</v>
      </c>
      <c r="T103" s="224">
        <v>36</v>
      </c>
      <c r="U103" s="224">
        <v>30</v>
      </c>
      <c r="W103" s="126">
        <f>HLOOKUP(Troupeau!L$17,[1]Anx!$C$170:$CO$215,T103)</f>
        <v>36</v>
      </c>
      <c r="X103" s="61">
        <f t="shared" ref="X103:X107" si="48">VALUE(LEFT(W103,2))</f>
        <v>36</v>
      </c>
      <c r="Y103" s="126">
        <f>HLOOKUP(Troupeau!L$17,[1]Anx!$C$170:$CO$215,U103)</f>
        <v>30</v>
      </c>
      <c r="Z103" s="54">
        <f>Y$82*Y103</f>
        <v>90</v>
      </c>
      <c r="AB103" s="54">
        <f t="shared" ref="AB103:AQ107" si="49">IF($X103=AB$88,ROUND($Z103/1000,1),0)</f>
        <v>0</v>
      </c>
      <c r="AC103" s="54">
        <f t="shared" si="49"/>
        <v>0</v>
      </c>
      <c r="AD103" s="54">
        <f t="shared" si="49"/>
        <v>0</v>
      </c>
      <c r="AE103" s="54">
        <f t="shared" si="49"/>
        <v>0</v>
      </c>
      <c r="AF103" s="54">
        <f t="shared" si="49"/>
        <v>0</v>
      </c>
      <c r="AG103" s="54">
        <f t="shared" si="49"/>
        <v>0</v>
      </c>
      <c r="AH103" s="54">
        <f t="shared" si="49"/>
        <v>0</v>
      </c>
      <c r="AI103" s="54">
        <f t="shared" si="49"/>
        <v>0</v>
      </c>
      <c r="AJ103" s="54">
        <f t="shared" si="49"/>
        <v>0</v>
      </c>
      <c r="AK103" s="54">
        <f t="shared" si="49"/>
        <v>0</v>
      </c>
      <c r="AL103" s="54">
        <f t="shared" si="49"/>
        <v>0</v>
      </c>
      <c r="AM103" s="54">
        <f t="shared" si="49"/>
        <v>0</v>
      </c>
      <c r="AN103" s="54">
        <f t="shared" si="49"/>
        <v>0</v>
      </c>
      <c r="AO103" s="54">
        <f t="shared" si="49"/>
        <v>0</v>
      </c>
      <c r="AP103" s="54">
        <f t="shared" si="49"/>
        <v>0</v>
      </c>
      <c r="AQ103" s="54">
        <f t="shared" si="49"/>
        <v>0</v>
      </c>
      <c r="AR103" s="54">
        <f t="shared" ref="AR103:BG107" si="50">IF($X103=AR$88,ROUND($Z103/1000,1),0)</f>
        <v>0</v>
      </c>
      <c r="AS103" s="54">
        <f t="shared" si="50"/>
        <v>0</v>
      </c>
      <c r="AT103" s="54">
        <f t="shared" si="50"/>
        <v>0</v>
      </c>
      <c r="AU103" s="54">
        <f t="shared" si="50"/>
        <v>0</v>
      </c>
      <c r="AV103" s="54">
        <f t="shared" si="50"/>
        <v>0</v>
      </c>
      <c r="AW103" s="54">
        <f t="shared" si="50"/>
        <v>0</v>
      </c>
      <c r="AX103" s="54">
        <f t="shared" si="50"/>
        <v>0</v>
      </c>
      <c r="AY103" s="54">
        <f t="shared" si="50"/>
        <v>0</v>
      </c>
      <c r="AZ103" s="54">
        <f t="shared" si="50"/>
        <v>0</v>
      </c>
      <c r="BA103" s="54">
        <f t="shared" si="50"/>
        <v>0</v>
      </c>
      <c r="BB103" s="54">
        <f t="shared" si="50"/>
        <v>0</v>
      </c>
      <c r="BC103" s="54">
        <f t="shared" si="50"/>
        <v>0</v>
      </c>
      <c r="BD103" s="54">
        <f t="shared" si="50"/>
        <v>0</v>
      </c>
      <c r="BE103" s="54">
        <f t="shared" si="50"/>
        <v>0</v>
      </c>
      <c r="BF103" s="54">
        <f t="shared" si="50"/>
        <v>0</v>
      </c>
      <c r="BG103" s="54">
        <f t="shared" si="50"/>
        <v>0</v>
      </c>
      <c r="BH103" s="54">
        <f t="shared" ref="BH103:BV107" si="51">IF($X103=BH$88,ROUND($Z103/1000,1),0)</f>
        <v>0</v>
      </c>
      <c r="BI103" s="54">
        <f t="shared" si="51"/>
        <v>0</v>
      </c>
      <c r="BJ103" s="54">
        <f t="shared" si="51"/>
        <v>0</v>
      </c>
      <c r="BK103" s="54">
        <f t="shared" si="51"/>
        <v>0.1</v>
      </c>
      <c r="BL103" s="54">
        <f t="shared" si="51"/>
        <v>0</v>
      </c>
      <c r="BM103" s="54">
        <f t="shared" si="51"/>
        <v>0</v>
      </c>
      <c r="BN103" s="54">
        <f t="shared" si="51"/>
        <v>0</v>
      </c>
      <c r="BO103" s="54">
        <f t="shared" si="51"/>
        <v>0</v>
      </c>
      <c r="BP103" s="54">
        <f t="shared" si="51"/>
        <v>0</v>
      </c>
      <c r="BQ103" s="54">
        <f t="shared" si="51"/>
        <v>0</v>
      </c>
      <c r="BR103" s="54">
        <f t="shared" si="51"/>
        <v>0</v>
      </c>
      <c r="BS103" s="54">
        <f t="shared" si="51"/>
        <v>0</v>
      </c>
      <c r="BT103" s="54">
        <f t="shared" si="51"/>
        <v>0</v>
      </c>
      <c r="BU103" s="54">
        <f t="shared" si="51"/>
        <v>0</v>
      </c>
      <c r="BV103" s="54">
        <f t="shared" si="51"/>
        <v>0</v>
      </c>
      <c r="BX103">
        <v>15</v>
      </c>
      <c r="BY103" s="168">
        <f>+AP$94</f>
        <v>0</v>
      </c>
      <c r="BZ103" s="168">
        <f>+AP$101</f>
        <v>0</v>
      </c>
      <c r="CA103" s="168">
        <f>+AP$108</f>
        <v>0</v>
      </c>
      <c r="CC103" s="168">
        <f>CdTrp1!AY$54</f>
        <v>0</v>
      </c>
      <c r="CD103" s="168">
        <f>CdTrp2!AY$54</f>
        <v>0</v>
      </c>
      <c r="CE103" s="168">
        <f>CdTrp3!AY$54</f>
        <v>0</v>
      </c>
    </row>
    <row r="104" spans="1:83" x14ac:dyDescent="0.25">
      <c r="A104" s="216" t="str">
        <f>'Conduite Trp'!B33</f>
        <v>23 -</v>
      </c>
      <c r="C104" s="183">
        <f>[1]Conc!$D27</f>
        <v>0</v>
      </c>
      <c r="D104" s="168">
        <f t="shared" ref="D104:F106" si="52">BY111+CC111</f>
        <v>0</v>
      </c>
      <c r="E104" s="168">
        <f t="shared" si="52"/>
        <v>0</v>
      </c>
      <c r="F104" s="168">
        <f t="shared" si="52"/>
        <v>0</v>
      </c>
      <c r="J104" s="168">
        <f t="shared" si="36"/>
        <v>0</v>
      </c>
      <c r="K104" s="168">
        <f t="shared" si="37"/>
        <v>0</v>
      </c>
      <c r="L104" s="168">
        <f t="shared" si="37"/>
        <v>0</v>
      </c>
      <c r="M104" s="168">
        <f t="shared" si="37"/>
        <v>0</v>
      </c>
      <c r="R104" t="s">
        <v>377</v>
      </c>
      <c r="T104" s="224">
        <v>37</v>
      </c>
      <c r="U104" s="224">
        <v>31</v>
      </c>
      <c r="W104" s="126">
        <f>HLOOKUP(Troupeau!L$17,[1]Anx!$C$170:$CO$215,T104)</f>
        <v>37</v>
      </c>
      <c r="X104" s="61">
        <f t="shared" si="48"/>
        <v>37</v>
      </c>
      <c r="Y104" s="126">
        <f>HLOOKUP(Troupeau!L$17,[1]Anx!$C$170:$CO$215,U104)</f>
        <v>31</v>
      </c>
      <c r="Z104" s="54">
        <f>Y$82*Y104</f>
        <v>93</v>
      </c>
      <c r="AB104" s="54">
        <f t="shared" si="49"/>
        <v>0</v>
      </c>
      <c r="AC104" s="54">
        <f t="shared" si="49"/>
        <v>0</v>
      </c>
      <c r="AD104" s="54">
        <f t="shared" si="49"/>
        <v>0</v>
      </c>
      <c r="AE104" s="54">
        <f t="shared" si="49"/>
        <v>0</v>
      </c>
      <c r="AF104" s="54">
        <f t="shared" si="49"/>
        <v>0</v>
      </c>
      <c r="AG104" s="54">
        <f t="shared" si="49"/>
        <v>0</v>
      </c>
      <c r="AH104" s="54">
        <f t="shared" si="49"/>
        <v>0</v>
      </c>
      <c r="AI104" s="54">
        <f t="shared" si="49"/>
        <v>0</v>
      </c>
      <c r="AJ104" s="54">
        <f t="shared" si="49"/>
        <v>0</v>
      </c>
      <c r="AK104" s="54">
        <f t="shared" si="49"/>
        <v>0</v>
      </c>
      <c r="AL104" s="54">
        <f t="shared" si="49"/>
        <v>0</v>
      </c>
      <c r="AM104" s="54">
        <f t="shared" si="49"/>
        <v>0</v>
      </c>
      <c r="AN104" s="54">
        <f t="shared" si="49"/>
        <v>0</v>
      </c>
      <c r="AO104" s="54">
        <f t="shared" si="49"/>
        <v>0</v>
      </c>
      <c r="AP104" s="54">
        <f t="shared" si="49"/>
        <v>0</v>
      </c>
      <c r="AQ104" s="54">
        <f t="shared" si="49"/>
        <v>0</v>
      </c>
      <c r="AR104" s="54">
        <f t="shared" si="50"/>
        <v>0</v>
      </c>
      <c r="AS104" s="54">
        <f t="shared" si="50"/>
        <v>0</v>
      </c>
      <c r="AT104" s="54">
        <f t="shared" si="50"/>
        <v>0</v>
      </c>
      <c r="AU104" s="54">
        <f t="shared" si="50"/>
        <v>0</v>
      </c>
      <c r="AV104" s="54">
        <f t="shared" si="50"/>
        <v>0</v>
      </c>
      <c r="AW104" s="54">
        <f t="shared" si="50"/>
        <v>0</v>
      </c>
      <c r="AX104" s="54">
        <f t="shared" si="50"/>
        <v>0</v>
      </c>
      <c r="AY104" s="54">
        <f t="shared" si="50"/>
        <v>0</v>
      </c>
      <c r="AZ104" s="54">
        <f t="shared" si="50"/>
        <v>0</v>
      </c>
      <c r="BA104" s="54">
        <f t="shared" si="50"/>
        <v>0</v>
      </c>
      <c r="BB104" s="54">
        <f t="shared" si="50"/>
        <v>0</v>
      </c>
      <c r="BC104" s="54">
        <f t="shared" si="50"/>
        <v>0</v>
      </c>
      <c r="BD104" s="54">
        <f t="shared" si="50"/>
        <v>0</v>
      </c>
      <c r="BE104" s="54">
        <f t="shared" si="50"/>
        <v>0</v>
      </c>
      <c r="BF104" s="54">
        <f t="shared" si="50"/>
        <v>0</v>
      </c>
      <c r="BG104" s="54">
        <f t="shared" si="50"/>
        <v>0</v>
      </c>
      <c r="BH104" s="54">
        <f t="shared" si="51"/>
        <v>0</v>
      </c>
      <c r="BI104" s="54">
        <f t="shared" si="51"/>
        <v>0</v>
      </c>
      <c r="BJ104" s="54">
        <f t="shared" si="51"/>
        <v>0</v>
      </c>
      <c r="BK104" s="54">
        <f t="shared" si="51"/>
        <v>0</v>
      </c>
      <c r="BL104" s="54">
        <f t="shared" si="51"/>
        <v>0.1</v>
      </c>
      <c r="BM104" s="54">
        <f t="shared" si="51"/>
        <v>0</v>
      </c>
      <c r="BN104" s="54">
        <f t="shared" si="51"/>
        <v>0</v>
      </c>
      <c r="BO104" s="54">
        <f t="shared" si="51"/>
        <v>0</v>
      </c>
      <c r="BP104" s="54">
        <f t="shared" si="51"/>
        <v>0</v>
      </c>
      <c r="BQ104" s="54">
        <f t="shared" si="51"/>
        <v>0</v>
      </c>
      <c r="BR104" s="54">
        <f t="shared" si="51"/>
        <v>0</v>
      </c>
      <c r="BS104" s="54">
        <f t="shared" si="51"/>
        <v>0</v>
      </c>
      <c r="BT104" s="54">
        <f t="shared" si="51"/>
        <v>0</v>
      </c>
      <c r="BU104" s="54">
        <f t="shared" si="51"/>
        <v>0</v>
      </c>
      <c r="BV104" s="54">
        <f t="shared" si="51"/>
        <v>0</v>
      </c>
      <c r="BX104">
        <v>16</v>
      </c>
      <c r="BY104" s="168">
        <f>+AQ$94</f>
        <v>0</v>
      </c>
      <c r="BZ104" s="168">
        <f>+AQ$101</f>
        <v>0</v>
      </c>
      <c r="CA104" s="168">
        <f>+AQ$108</f>
        <v>0</v>
      </c>
      <c r="CC104" s="168">
        <f>CdTrp1!AZ$54</f>
        <v>0</v>
      </c>
      <c r="CD104" s="168">
        <f>CdTrp2!AZ$54</f>
        <v>0</v>
      </c>
      <c r="CE104" s="168">
        <f>CdTrp3!AZ$54</f>
        <v>0</v>
      </c>
    </row>
    <row r="105" spans="1:83" x14ac:dyDescent="0.25">
      <c r="A105" s="216" t="str">
        <f>'Conduite Trp'!B34</f>
        <v>24 -</v>
      </c>
      <c r="C105" s="183">
        <f>[1]Conc!$D28</f>
        <v>0</v>
      </c>
      <c r="D105" s="168">
        <f t="shared" si="52"/>
        <v>0</v>
      </c>
      <c r="E105" s="168">
        <f t="shared" si="52"/>
        <v>0</v>
      </c>
      <c r="F105" s="168">
        <f t="shared" si="52"/>
        <v>0</v>
      </c>
      <c r="J105" s="168">
        <f t="shared" si="36"/>
        <v>0</v>
      </c>
      <c r="K105" s="168">
        <f t="shared" si="37"/>
        <v>0</v>
      </c>
      <c r="L105" s="168">
        <f t="shared" si="37"/>
        <v>0</v>
      </c>
      <c r="M105" s="168">
        <f t="shared" si="37"/>
        <v>0</v>
      </c>
      <c r="R105" t="s">
        <v>378</v>
      </c>
      <c r="T105" s="224">
        <v>38</v>
      </c>
      <c r="U105" s="224">
        <v>32</v>
      </c>
      <c r="W105" s="126">
        <f>HLOOKUP(Troupeau!L$17,[1]Anx!$C$170:$CO$215,T105)</f>
        <v>38</v>
      </c>
      <c r="X105" s="61">
        <f t="shared" si="48"/>
        <v>38</v>
      </c>
      <c r="Y105" s="126">
        <f>HLOOKUP(Troupeau!L$17,[1]Anx!$C$170:$CO$215,U105)</f>
        <v>32</v>
      </c>
      <c r="Z105" s="54">
        <f>Y$82*Y105</f>
        <v>96</v>
      </c>
      <c r="AB105" s="54">
        <f t="shared" si="49"/>
        <v>0</v>
      </c>
      <c r="AC105" s="54">
        <f t="shared" si="49"/>
        <v>0</v>
      </c>
      <c r="AD105" s="54">
        <f t="shared" si="49"/>
        <v>0</v>
      </c>
      <c r="AE105" s="54">
        <f t="shared" si="49"/>
        <v>0</v>
      </c>
      <c r="AF105" s="54">
        <f t="shared" si="49"/>
        <v>0</v>
      </c>
      <c r="AG105" s="54">
        <f t="shared" si="49"/>
        <v>0</v>
      </c>
      <c r="AH105" s="54">
        <f t="shared" si="49"/>
        <v>0</v>
      </c>
      <c r="AI105" s="54">
        <f t="shared" si="49"/>
        <v>0</v>
      </c>
      <c r="AJ105" s="54">
        <f t="shared" si="49"/>
        <v>0</v>
      </c>
      <c r="AK105" s="54">
        <f t="shared" si="49"/>
        <v>0</v>
      </c>
      <c r="AL105" s="54">
        <f t="shared" si="49"/>
        <v>0</v>
      </c>
      <c r="AM105" s="54">
        <f t="shared" si="49"/>
        <v>0</v>
      </c>
      <c r="AN105" s="54">
        <f t="shared" si="49"/>
        <v>0</v>
      </c>
      <c r="AO105" s="54">
        <f t="shared" si="49"/>
        <v>0</v>
      </c>
      <c r="AP105" s="54">
        <f t="shared" si="49"/>
        <v>0</v>
      </c>
      <c r="AQ105" s="54">
        <f t="shared" si="49"/>
        <v>0</v>
      </c>
      <c r="AR105" s="54">
        <f t="shared" si="50"/>
        <v>0</v>
      </c>
      <c r="AS105" s="54">
        <f t="shared" si="50"/>
        <v>0</v>
      </c>
      <c r="AT105" s="54">
        <f t="shared" si="50"/>
        <v>0</v>
      </c>
      <c r="AU105" s="54">
        <f t="shared" si="50"/>
        <v>0</v>
      </c>
      <c r="AV105" s="54">
        <f t="shared" si="50"/>
        <v>0</v>
      </c>
      <c r="AW105" s="54">
        <f t="shared" si="50"/>
        <v>0</v>
      </c>
      <c r="AX105" s="54">
        <f t="shared" si="50"/>
        <v>0</v>
      </c>
      <c r="AY105" s="54">
        <f t="shared" si="50"/>
        <v>0</v>
      </c>
      <c r="AZ105" s="54">
        <f t="shared" si="50"/>
        <v>0</v>
      </c>
      <c r="BA105" s="54">
        <f t="shared" si="50"/>
        <v>0</v>
      </c>
      <c r="BB105" s="54">
        <f t="shared" si="50"/>
        <v>0</v>
      </c>
      <c r="BC105" s="54">
        <f t="shared" si="50"/>
        <v>0</v>
      </c>
      <c r="BD105" s="54">
        <f t="shared" si="50"/>
        <v>0</v>
      </c>
      <c r="BE105" s="54">
        <f t="shared" si="50"/>
        <v>0</v>
      </c>
      <c r="BF105" s="54">
        <f t="shared" si="50"/>
        <v>0</v>
      </c>
      <c r="BG105" s="54">
        <f t="shared" si="50"/>
        <v>0</v>
      </c>
      <c r="BH105" s="54">
        <f t="shared" si="51"/>
        <v>0</v>
      </c>
      <c r="BI105" s="54">
        <f t="shared" si="51"/>
        <v>0</v>
      </c>
      <c r="BJ105" s="54">
        <f t="shared" si="51"/>
        <v>0</v>
      </c>
      <c r="BK105" s="54">
        <f t="shared" si="51"/>
        <v>0</v>
      </c>
      <c r="BL105" s="54">
        <f t="shared" si="51"/>
        <v>0</v>
      </c>
      <c r="BM105" s="54">
        <f t="shared" si="51"/>
        <v>0.1</v>
      </c>
      <c r="BN105" s="54">
        <f t="shared" si="51"/>
        <v>0</v>
      </c>
      <c r="BO105" s="54">
        <f t="shared" si="51"/>
        <v>0</v>
      </c>
      <c r="BP105" s="54">
        <f t="shared" si="51"/>
        <v>0</v>
      </c>
      <c r="BQ105" s="54">
        <f t="shared" si="51"/>
        <v>0</v>
      </c>
      <c r="BR105" s="54">
        <f t="shared" si="51"/>
        <v>0</v>
      </c>
      <c r="BS105" s="54">
        <f t="shared" si="51"/>
        <v>0</v>
      </c>
      <c r="BT105" s="54">
        <f t="shared" si="51"/>
        <v>0</v>
      </c>
      <c r="BU105" s="54">
        <f t="shared" si="51"/>
        <v>0</v>
      </c>
      <c r="BV105" s="54">
        <f t="shared" si="51"/>
        <v>0</v>
      </c>
      <c r="BX105">
        <v>17</v>
      </c>
      <c r="BY105" s="168">
        <f>+AR$94</f>
        <v>0</v>
      </c>
      <c r="BZ105" s="168">
        <f>+AR$101</f>
        <v>0</v>
      </c>
      <c r="CA105" s="168">
        <f>+AR$108</f>
        <v>0</v>
      </c>
      <c r="CC105" s="168">
        <f>CdTrp1!BA$54</f>
        <v>4.4000000000000004</v>
      </c>
      <c r="CD105" s="168">
        <f>CdTrp2!BA$54</f>
        <v>0</v>
      </c>
      <c r="CE105" s="168">
        <f>CdTrp3!BA$54</f>
        <v>0</v>
      </c>
    </row>
    <row r="106" spans="1:83" x14ac:dyDescent="0.25">
      <c r="A106" s="216" t="str">
        <f>'Conduite Trp'!B35</f>
        <v>25 -</v>
      </c>
      <c r="C106" s="183">
        <f>[1]Conc!$D29</f>
        <v>0</v>
      </c>
      <c r="D106" s="168">
        <f t="shared" si="52"/>
        <v>0</v>
      </c>
      <c r="E106" s="168">
        <f t="shared" si="52"/>
        <v>0</v>
      </c>
      <c r="F106" s="168">
        <f t="shared" si="52"/>
        <v>0</v>
      </c>
      <c r="J106" s="168">
        <f t="shared" si="36"/>
        <v>0</v>
      </c>
      <c r="K106" s="168">
        <f t="shared" si="37"/>
        <v>0</v>
      </c>
      <c r="L106" s="168">
        <f t="shared" si="37"/>
        <v>0</v>
      </c>
      <c r="M106" s="168">
        <f t="shared" si="37"/>
        <v>0</v>
      </c>
      <c r="R106" t="s">
        <v>379</v>
      </c>
      <c r="T106" s="224">
        <v>39</v>
      </c>
      <c r="U106" s="224">
        <v>33</v>
      </c>
      <c r="W106" s="126">
        <f>HLOOKUP(Troupeau!L$17,[1]Anx!$C$170:$CO$215,T106)</f>
        <v>39</v>
      </c>
      <c r="X106" s="61">
        <f t="shared" si="48"/>
        <v>39</v>
      </c>
      <c r="Y106" s="126">
        <f>HLOOKUP(Troupeau!L$17,[1]Anx!$C$170:$CO$215,U106)</f>
        <v>33</v>
      </c>
      <c r="Z106" s="54">
        <f>Y$82*Y106</f>
        <v>99</v>
      </c>
      <c r="AB106" s="54">
        <f t="shared" si="49"/>
        <v>0</v>
      </c>
      <c r="AC106" s="54">
        <f t="shared" si="49"/>
        <v>0</v>
      </c>
      <c r="AD106" s="54">
        <f t="shared" si="49"/>
        <v>0</v>
      </c>
      <c r="AE106" s="54">
        <f t="shared" si="49"/>
        <v>0</v>
      </c>
      <c r="AF106" s="54">
        <f t="shared" si="49"/>
        <v>0</v>
      </c>
      <c r="AG106" s="54">
        <f t="shared" si="49"/>
        <v>0</v>
      </c>
      <c r="AH106" s="54">
        <f t="shared" si="49"/>
        <v>0</v>
      </c>
      <c r="AI106" s="54">
        <f t="shared" si="49"/>
        <v>0</v>
      </c>
      <c r="AJ106" s="54">
        <f t="shared" si="49"/>
        <v>0</v>
      </c>
      <c r="AK106" s="54">
        <f t="shared" si="49"/>
        <v>0</v>
      </c>
      <c r="AL106" s="54">
        <f t="shared" si="49"/>
        <v>0</v>
      </c>
      <c r="AM106" s="54">
        <f t="shared" si="49"/>
        <v>0</v>
      </c>
      <c r="AN106" s="54">
        <f t="shared" si="49"/>
        <v>0</v>
      </c>
      <c r="AO106" s="54">
        <f t="shared" si="49"/>
        <v>0</v>
      </c>
      <c r="AP106" s="54">
        <f t="shared" si="49"/>
        <v>0</v>
      </c>
      <c r="AQ106" s="54">
        <f t="shared" si="49"/>
        <v>0</v>
      </c>
      <c r="AR106" s="54">
        <f t="shared" si="50"/>
        <v>0</v>
      </c>
      <c r="AS106" s="54">
        <f t="shared" si="50"/>
        <v>0</v>
      </c>
      <c r="AT106" s="54">
        <f t="shared" si="50"/>
        <v>0</v>
      </c>
      <c r="AU106" s="54">
        <f t="shared" si="50"/>
        <v>0</v>
      </c>
      <c r="AV106" s="54">
        <f t="shared" si="50"/>
        <v>0</v>
      </c>
      <c r="AW106" s="54">
        <f t="shared" si="50"/>
        <v>0</v>
      </c>
      <c r="AX106" s="54">
        <f t="shared" si="50"/>
        <v>0</v>
      </c>
      <c r="AY106" s="54">
        <f t="shared" si="50"/>
        <v>0</v>
      </c>
      <c r="AZ106" s="54">
        <f t="shared" si="50"/>
        <v>0</v>
      </c>
      <c r="BA106" s="54">
        <f t="shared" si="50"/>
        <v>0</v>
      </c>
      <c r="BB106" s="54">
        <f t="shared" si="50"/>
        <v>0</v>
      </c>
      <c r="BC106" s="54">
        <f t="shared" si="50"/>
        <v>0</v>
      </c>
      <c r="BD106" s="54">
        <f t="shared" si="50"/>
        <v>0</v>
      </c>
      <c r="BE106" s="54">
        <f t="shared" si="50"/>
        <v>0</v>
      </c>
      <c r="BF106" s="54">
        <f t="shared" si="50"/>
        <v>0</v>
      </c>
      <c r="BG106" s="54">
        <f t="shared" si="50"/>
        <v>0</v>
      </c>
      <c r="BH106" s="54">
        <f t="shared" si="51"/>
        <v>0</v>
      </c>
      <c r="BI106" s="54">
        <f t="shared" si="51"/>
        <v>0</v>
      </c>
      <c r="BJ106" s="54">
        <f t="shared" si="51"/>
        <v>0</v>
      </c>
      <c r="BK106" s="54">
        <f t="shared" si="51"/>
        <v>0</v>
      </c>
      <c r="BL106" s="54">
        <f t="shared" si="51"/>
        <v>0</v>
      </c>
      <c r="BM106" s="54">
        <f t="shared" si="51"/>
        <v>0</v>
      </c>
      <c r="BN106" s="54">
        <f t="shared" si="51"/>
        <v>0.1</v>
      </c>
      <c r="BO106" s="54">
        <f t="shared" si="51"/>
        <v>0</v>
      </c>
      <c r="BP106" s="54">
        <f t="shared" si="51"/>
        <v>0</v>
      </c>
      <c r="BQ106" s="54">
        <f t="shared" si="51"/>
        <v>0</v>
      </c>
      <c r="BR106" s="54">
        <f t="shared" si="51"/>
        <v>0</v>
      </c>
      <c r="BS106" s="54">
        <f t="shared" si="51"/>
        <v>0</v>
      </c>
      <c r="BT106" s="54">
        <f t="shared" si="51"/>
        <v>0</v>
      </c>
      <c r="BU106" s="54">
        <f t="shared" si="51"/>
        <v>0</v>
      </c>
      <c r="BV106" s="54">
        <f t="shared" si="51"/>
        <v>0</v>
      </c>
      <c r="BX106">
        <v>18</v>
      </c>
      <c r="BY106" s="168">
        <f>+AS$94</f>
        <v>0</v>
      </c>
      <c r="BZ106" s="168">
        <f>+AS$101</f>
        <v>0</v>
      </c>
      <c r="CA106" s="168">
        <f>+AS$108</f>
        <v>0</v>
      </c>
      <c r="CC106" s="168">
        <f>CdTrp1!BB$54</f>
        <v>0</v>
      </c>
      <c r="CD106" s="168">
        <f>CdTrp2!BB$54</f>
        <v>0</v>
      </c>
      <c r="CE106" s="168">
        <f>CdTrp3!BB$54</f>
        <v>0</v>
      </c>
    </row>
    <row r="107" spans="1:83" x14ac:dyDescent="0.25">
      <c r="A107" s="216"/>
      <c r="B107" s="226"/>
      <c r="C107" s="166"/>
      <c r="R107" t="s">
        <v>380</v>
      </c>
      <c r="S107" s="5"/>
      <c r="T107" s="224">
        <v>40</v>
      </c>
      <c r="U107" s="224">
        <v>34</v>
      </c>
      <c r="W107" s="126">
        <f>HLOOKUP(Troupeau!L$17,[1]Anx!$C$170:$CO$215,T107)</f>
        <v>40</v>
      </c>
      <c r="X107" s="61">
        <f t="shared" si="48"/>
        <v>40</v>
      </c>
      <c r="Y107" s="126">
        <f>HLOOKUP(Troupeau!L$17,[1]Anx!$C$170:$CO$215,U107)</f>
        <v>34</v>
      </c>
      <c r="Z107" s="54">
        <f>Y$82*Y107</f>
        <v>102</v>
      </c>
      <c r="AB107" s="54">
        <f t="shared" si="49"/>
        <v>0</v>
      </c>
      <c r="AC107" s="54">
        <f t="shared" si="49"/>
        <v>0</v>
      </c>
      <c r="AD107" s="54">
        <f t="shared" si="49"/>
        <v>0</v>
      </c>
      <c r="AE107" s="54">
        <f t="shared" si="49"/>
        <v>0</v>
      </c>
      <c r="AF107" s="54">
        <f t="shared" si="49"/>
        <v>0</v>
      </c>
      <c r="AG107" s="54">
        <f t="shared" si="49"/>
        <v>0</v>
      </c>
      <c r="AH107" s="54">
        <f t="shared" si="49"/>
        <v>0</v>
      </c>
      <c r="AI107" s="54">
        <f t="shared" si="49"/>
        <v>0</v>
      </c>
      <c r="AJ107" s="54">
        <f t="shared" si="49"/>
        <v>0</v>
      </c>
      <c r="AK107" s="54">
        <f t="shared" si="49"/>
        <v>0</v>
      </c>
      <c r="AL107" s="54">
        <f t="shared" si="49"/>
        <v>0</v>
      </c>
      <c r="AM107" s="54">
        <f t="shared" si="49"/>
        <v>0</v>
      </c>
      <c r="AN107" s="54">
        <f t="shared" si="49"/>
        <v>0</v>
      </c>
      <c r="AO107" s="54">
        <f t="shared" si="49"/>
        <v>0</v>
      </c>
      <c r="AP107" s="54">
        <f t="shared" si="49"/>
        <v>0</v>
      </c>
      <c r="AQ107" s="54">
        <f t="shared" si="49"/>
        <v>0</v>
      </c>
      <c r="AR107" s="54">
        <f t="shared" si="50"/>
        <v>0</v>
      </c>
      <c r="AS107" s="54">
        <f t="shared" si="50"/>
        <v>0</v>
      </c>
      <c r="AT107" s="54">
        <f t="shared" si="50"/>
        <v>0</v>
      </c>
      <c r="AU107" s="54">
        <f t="shared" si="50"/>
        <v>0</v>
      </c>
      <c r="AV107" s="54">
        <f t="shared" si="50"/>
        <v>0</v>
      </c>
      <c r="AW107" s="54">
        <f t="shared" si="50"/>
        <v>0</v>
      </c>
      <c r="AX107" s="54">
        <f t="shared" si="50"/>
        <v>0</v>
      </c>
      <c r="AY107" s="54">
        <f t="shared" si="50"/>
        <v>0</v>
      </c>
      <c r="AZ107" s="54">
        <f t="shared" si="50"/>
        <v>0</v>
      </c>
      <c r="BA107" s="54">
        <f t="shared" si="50"/>
        <v>0</v>
      </c>
      <c r="BB107" s="54">
        <f t="shared" si="50"/>
        <v>0</v>
      </c>
      <c r="BC107" s="54">
        <f t="shared" si="50"/>
        <v>0</v>
      </c>
      <c r="BD107" s="54">
        <f t="shared" si="50"/>
        <v>0</v>
      </c>
      <c r="BE107" s="54">
        <f t="shared" si="50"/>
        <v>0</v>
      </c>
      <c r="BF107" s="54">
        <f t="shared" si="50"/>
        <v>0</v>
      </c>
      <c r="BG107" s="54">
        <f t="shared" si="50"/>
        <v>0</v>
      </c>
      <c r="BH107" s="54">
        <f t="shared" si="51"/>
        <v>0</v>
      </c>
      <c r="BI107" s="54">
        <f t="shared" si="51"/>
        <v>0</v>
      </c>
      <c r="BJ107" s="54">
        <f t="shared" si="51"/>
        <v>0</v>
      </c>
      <c r="BK107" s="54">
        <f t="shared" si="51"/>
        <v>0</v>
      </c>
      <c r="BL107" s="54">
        <f t="shared" si="51"/>
        <v>0</v>
      </c>
      <c r="BM107" s="54">
        <f t="shared" si="51"/>
        <v>0</v>
      </c>
      <c r="BN107" s="54">
        <f t="shared" si="51"/>
        <v>0</v>
      </c>
      <c r="BO107" s="54">
        <f t="shared" si="51"/>
        <v>0.1</v>
      </c>
      <c r="BP107" s="54">
        <f t="shared" si="51"/>
        <v>0</v>
      </c>
      <c r="BQ107" s="54">
        <f t="shared" si="51"/>
        <v>0</v>
      </c>
      <c r="BR107" s="54">
        <f t="shared" si="51"/>
        <v>0</v>
      </c>
      <c r="BS107" s="54">
        <f t="shared" si="51"/>
        <v>0</v>
      </c>
      <c r="BT107" s="54">
        <f t="shared" si="51"/>
        <v>0</v>
      </c>
      <c r="BU107" s="54">
        <f t="shared" si="51"/>
        <v>0</v>
      </c>
      <c r="BV107" s="54">
        <f t="shared" si="51"/>
        <v>0</v>
      </c>
      <c r="BX107">
        <v>19</v>
      </c>
      <c r="BY107" s="168">
        <f>+AT$94</f>
        <v>0</v>
      </c>
      <c r="BZ107" s="168">
        <f>+AT$101</f>
        <v>0</v>
      </c>
      <c r="CA107" s="168">
        <f>+AT$108</f>
        <v>0</v>
      </c>
      <c r="CC107" s="168">
        <f>CdTrp1!BC$54</f>
        <v>0</v>
      </c>
      <c r="CD107" s="168">
        <f>CdTrp2!BC$54</f>
        <v>0</v>
      </c>
      <c r="CE107" s="168">
        <f>CdTrp3!BC$54</f>
        <v>0</v>
      </c>
    </row>
    <row r="108" spans="1:83" x14ac:dyDescent="0.25">
      <c r="A108" s="2"/>
      <c r="B108" s="33"/>
      <c r="C108" s="33"/>
      <c r="D108" s="33"/>
      <c r="E108" s="33"/>
      <c r="AB108" s="56">
        <f>SUM(AB103:AB107)</f>
        <v>0</v>
      </c>
      <c r="AC108" s="56">
        <f t="shared" ref="AC108:BV108" si="53">SUM(AC103:AC107)</f>
        <v>0</v>
      </c>
      <c r="AD108" s="56">
        <f t="shared" si="53"/>
        <v>0</v>
      </c>
      <c r="AE108" s="56">
        <f t="shared" si="53"/>
        <v>0</v>
      </c>
      <c r="AF108" s="56">
        <f t="shared" si="53"/>
        <v>0</v>
      </c>
      <c r="AG108" s="56">
        <f t="shared" si="53"/>
        <v>0</v>
      </c>
      <c r="AH108" s="56">
        <f t="shared" si="53"/>
        <v>0</v>
      </c>
      <c r="AI108" s="56">
        <f t="shared" si="53"/>
        <v>0</v>
      </c>
      <c r="AJ108" s="56">
        <f t="shared" si="53"/>
        <v>0</v>
      </c>
      <c r="AK108" s="56">
        <f t="shared" si="53"/>
        <v>0</v>
      </c>
      <c r="AL108" s="56">
        <f t="shared" si="53"/>
        <v>0</v>
      </c>
      <c r="AM108" s="56">
        <f t="shared" si="53"/>
        <v>0</v>
      </c>
      <c r="AN108" s="56">
        <f t="shared" si="53"/>
        <v>0</v>
      </c>
      <c r="AO108" s="56">
        <f t="shared" si="53"/>
        <v>0</v>
      </c>
      <c r="AP108" s="56">
        <f t="shared" si="53"/>
        <v>0</v>
      </c>
      <c r="AQ108" s="56">
        <f t="shared" si="53"/>
        <v>0</v>
      </c>
      <c r="AR108" s="56">
        <f t="shared" si="53"/>
        <v>0</v>
      </c>
      <c r="AS108" s="56">
        <f t="shared" si="53"/>
        <v>0</v>
      </c>
      <c r="AT108" s="56">
        <f t="shared" si="53"/>
        <v>0</v>
      </c>
      <c r="AU108" s="56">
        <f t="shared" si="53"/>
        <v>0</v>
      </c>
      <c r="AV108" s="56">
        <f t="shared" si="53"/>
        <v>0</v>
      </c>
      <c r="AW108" s="56">
        <f t="shared" si="53"/>
        <v>0</v>
      </c>
      <c r="AX108" s="56">
        <f t="shared" si="53"/>
        <v>0</v>
      </c>
      <c r="AY108" s="56">
        <f t="shared" si="53"/>
        <v>0</v>
      </c>
      <c r="AZ108" s="56">
        <f t="shared" si="53"/>
        <v>0</v>
      </c>
      <c r="BA108" s="56">
        <f t="shared" si="53"/>
        <v>0</v>
      </c>
      <c r="BB108" s="56">
        <f t="shared" si="53"/>
        <v>0</v>
      </c>
      <c r="BC108" s="56">
        <f t="shared" si="53"/>
        <v>0</v>
      </c>
      <c r="BD108" s="56">
        <f t="shared" si="53"/>
        <v>0</v>
      </c>
      <c r="BE108" s="56">
        <f t="shared" si="53"/>
        <v>0</v>
      </c>
      <c r="BF108" s="56">
        <f t="shared" si="53"/>
        <v>0</v>
      </c>
      <c r="BG108" s="56">
        <f t="shared" si="53"/>
        <v>0</v>
      </c>
      <c r="BH108" s="56">
        <f t="shared" si="53"/>
        <v>0</v>
      </c>
      <c r="BI108" s="56">
        <f t="shared" si="53"/>
        <v>0</v>
      </c>
      <c r="BJ108" s="56">
        <f t="shared" si="53"/>
        <v>0</v>
      </c>
      <c r="BK108" s="56">
        <f t="shared" si="53"/>
        <v>0.1</v>
      </c>
      <c r="BL108" s="56">
        <f t="shared" si="53"/>
        <v>0.1</v>
      </c>
      <c r="BM108" s="56">
        <f t="shared" si="53"/>
        <v>0.1</v>
      </c>
      <c r="BN108" s="56">
        <f t="shared" si="53"/>
        <v>0.1</v>
      </c>
      <c r="BO108" s="56">
        <f t="shared" si="53"/>
        <v>0.1</v>
      </c>
      <c r="BP108" s="56">
        <f t="shared" si="53"/>
        <v>0</v>
      </c>
      <c r="BQ108" s="56">
        <f t="shared" si="53"/>
        <v>0</v>
      </c>
      <c r="BR108" s="56">
        <f t="shared" si="53"/>
        <v>0</v>
      </c>
      <c r="BS108" s="56">
        <f t="shared" si="53"/>
        <v>0</v>
      </c>
      <c r="BT108" s="56">
        <f t="shared" si="53"/>
        <v>0</v>
      </c>
      <c r="BU108" s="56">
        <f t="shared" si="53"/>
        <v>0</v>
      </c>
      <c r="BV108" s="56">
        <f t="shared" si="53"/>
        <v>0</v>
      </c>
      <c r="BX108">
        <v>20</v>
      </c>
      <c r="BY108" s="168">
        <f>+AU$94</f>
        <v>0</v>
      </c>
      <c r="BZ108" s="168">
        <f>+AU$101</f>
        <v>0</v>
      </c>
      <c r="CA108" s="168">
        <f>+AU$108</f>
        <v>0</v>
      </c>
      <c r="CC108" s="168">
        <f>CdTrp1!BD$54</f>
        <v>0</v>
      </c>
      <c r="CD108" s="168">
        <f>CdTrp2!BD$54</f>
        <v>0</v>
      </c>
      <c r="CE108" s="168">
        <f>CdTrp3!BD$54</f>
        <v>0</v>
      </c>
    </row>
    <row r="109" spans="1:83" x14ac:dyDescent="0.25">
      <c r="A109" s="2"/>
      <c r="B109" s="165"/>
      <c r="C109" s="165"/>
      <c r="D109" s="165"/>
      <c r="E109" s="165"/>
      <c r="J109" s="166" t="s">
        <v>13</v>
      </c>
      <c r="K109" s="166" t="str">
        <f>Troupeau!B3</f>
        <v>BV</v>
      </c>
      <c r="L109" s="166">
        <f>Troupeau!C3</f>
        <v>0</v>
      </c>
      <c r="M109" s="166">
        <f>Troupeau!D3</f>
        <v>0</v>
      </c>
      <c r="BG109"/>
      <c r="BH109" s="14"/>
      <c r="BX109">
        <v>21</v>
      </c>
      <c r="BY109" s="168">
        <f>+AV$94</f>
        <v>0</v>
      </c>
      <c r="BZ109" s="168">
        <f>+AV$101</f>
        <v>0</v>
      </c>
      <c r="CA109" s="168">
        <f>+AV$108</f>
        <v>0</v>
      </c>
      <c r="CC109" s="168">
        <f>CdTrp1!BE$54</f>
        <v>0</v>
      </c>
      <c r="CD109" s="168">
        <f>CdTrp2!BE$54</f>
        <v>0</v>
      </c>
      <c r="CE109" s="168">
        <f>CdTrp3!BE$54</f>
        <v>0</v>
      </c>
    </row>
    <row r="110" spans="1:83" x14ac:dyDescent="0.25">
      <c r="A110" t="s">
        <v>1001</v>
      </c>
      <c r="J110" s="168">
        <f t="shared" ref="J110:J115" si="54">SUM(K110:N110)</f>
        <v>1920</v>
      </c>
      <c r="K110" s="172">
        <f t="shared" ref="K110:K115" si="55">ROUND(T132*U132,0)</f>
        <v>1920</v>
      </c>
      <c r="L110" s="172">
        <f>ROUND(V132*W132,0)</f>
        <v>0</v>
      </c>
      <c r="M110" s="172">
        <f t="shared" ref="M110:M115" si="56">ROUND(X132*Y132,0)</f>
        <v>0</v>
      </c>
      <c r="R110" s="40" t="s">
        <v>1002</v>
      </c>
      <c r="S110" s="165" t="str">
        <f>Troupeau!B3</f>
        <v>BV</v>
      </c>
      <c r="T110" s="61">
        <f>SUM(K82:K106)</f>
        <v>4230.3</v>
      </c>
      <c r="BG110"/>
      <c r="BH110" s="14"/>
      <c r="BX110">
        <v>22</v>
      </c>
      <c r="BY110" s="168">
        <f>+AW$94</f>
        <v>0</v>
      </c>
      <c r="BZ110" s="168">
        <f>+AW$101</f>
        <v>0</v>
      </c>
      <c r="CA110" s="168">
        <f>+AW$108</f>
        <v>0</v>
      </c>
      <c r="CC110" s="168">
        <f>CdTrp1!BF$54</f>
        <v>0</v>
      </c>
      <c r="CD110" s="168">
        <f>CdTrp2!BF$54</f>
        <v>0</v>
      </c>
      <c r="CE110" s="168">
        <f>CdTrp3!BF$54</f>
        <v>0</v>
      </c>
    </row>
    <row r="111" spans="1:83" x14ac:dyDescent="0.25">
      <c r="A111" t="s">
        <v>1003</v>
      </c>
      <c r="J111" s="168">
        <f t="shared" si="54"/>
        <v>1120</v>
      </c>
      <c r="K111" s="172">
        <f t="shared" si="55"/>
        <v>1120</v>
      </c>
      <c r="L111" s="172">
        <f>ROUND(V133*W133,0)</f>
        <v>0</v>
      </c>
      <c r="M111" s="172">
        <f t="shared" si="56"/>
        <v>0</v>
      </c>
      <c r="R111" s="14"/>
      <c r="S111" s="165">
        <f>Troupeau!C3</f>
        <v>0</v>
      </c>
      <c r="T111" s="61">
        <f>SUM(L82:L106)</f>
        <v>0</v>
      </c>
      <c r="BG111"/>
      <c r="BH111" s="14"/>
      <c r="BX111">
        <v>23</v>
      </c>
      <c r="BY111" s="168">
        <f>+AX$94</f>
        <v>0</v>
      </c>
      <c r="BZ111" s="168">
        <f>+AX$101</f>
        <v>0</v>
      </c>
      <c r="CA111" s="168">
        <f>+AX$108</f>
        <v>0</v>
      </c>
      <c r="CC111" s="168">
        <f>CdTrp1!BG$54</f>
        <v>0</v>
      </c>
      <c r="CD111" s="168">
        <f>CdTrp2!BG$54</f>
        <v>0</v>
      </c>
      <c r="CE111" s="168">
        <f>CdTrp3!BG$54</f>
        <v>0</v>
      </c>
    </row>
    <row r="112" spans="1:83" x14ac:dyDescent="0.25">
      <c r="A112" t="s">
        <v>1004</v>
      </c>
      <c r="J112" s="168">
        <f t="shared" si="54"/>
        <v>0</v>
      </c>
      <c r="K112" s="172">
        <f t="shared" si="55"/>
        <v>0</v>
      </c>
      <c r="L112" s="172">
        <f>ROUND(V134*W134,0)</f>
        <v>0</v>
      </c>
      <c r="M112" s="172">
        <f t="shared" si="56"/>
        <v>0</v>
      </c>
      <c r="O112" s="227"/>
      <c r="R112" s="14"/>
      <c r="S112" s="165">
        <f>Troupeau!D3</f>
        <v>0</v>
      </c>
      <c r="T112" s="61">
        <f>SUM(M82:M106)</f>
        <v>0</v>
      </c>
      <c r="BG112"/>
      <c r="BH112" s="14"/>
      <c r="BX112">
        <v>24</v>
      </c>
      <c r="BY112" s="168">
        <f>+AY$94</f>
        <v>0</v>
      </c>
      <c r="BZ112" s="168">
        <f>+AY$101</f>
        <v>0</v>
      </c>
      <c r="CA112" s="168">
        <f>+AY$108</f>
        <v>0</v>
      </c>
      <c r="CC112" s="168">
        <f>CdTrp1!BH$54</f>
        <v>0</v>
      </c>
      <c r="CD112" s="168">
        <f>CdTrp2!BH$54</f>
        <v>0</v>
      </c>
      <c r="CE112" s="168">
        <f>CdTrp3!BH$54</f>
        <v>0</v>
      </c>
    </row>
    <row r="113" spans="1:83" x14ac:dyDescent="0.25">
      <c r="A113" t="s">
        <v>1005</v>
      </c>
      <c r="J113" s="168">
        <f t="shared" si="54"/>
        <v>760</v>
      </c>
      <c r="K113" s="172">
        <f t="shared" si="55"/>
        <v>760</v>
      </c>
      <c r="L113" s="172">
        <f>ROUND(V135*W135,0)</f>
        <v>0</v>
      </c>
      <c r="M113" s="172">
        <f t="shared" si="56"/>
        <v>0</v>
      </c>
      <c r="O113" s="227"/>
      <c r="BG113"/>
      <c r="BH113" s="14"/>
      <c r="BX113">
        <v>25</v>
      </c>
      <c r="BY113" s="168">
        <f>+AZ$94</f>
        <v>0</v>
      </c>
      <c r="BZ113" s="168">
        <f>+AZ$101</f>
        <v>0</v>
      </c>
      <c r="CA113" s="168">
        <f>+AZ$108</f>
        <v>0</v>
      </c>
      <c r="CC113" s="168">
        <f>CdTrp1!BI$54</f>
        <v>0</v>
      </c>
      <c r="CD113" s="168">
        <f>CdTrp2!BI$54</f>
        <v>0</v>
      </c>
      <c r="CE113" s="168">
        <f>CdTrp3!BI$54</f>
        <v>0</v>
      </c>
    </row>
    <row r="114" spans="1:83" x14ac:dyDescent="0.25">
      <c r="A114" t="s">
        <v>1006</v>
      </c>
      <c r="J114" s="168">
        <f t="shared" si="54"/>
        <v>0</v>
      </c>
      <c r="K114" s="172">
        <f t="shared" si="55"/>
        <v>0</v>
      </c>
      <c r="L114" s="172">
        <f>ROUND(U136*V136,0)</f>
        <v>0</v>
      </c>
      <c r="M114" s="172">
        <f t="shared" si="56"/>
        <v>0</v>
      </c>
      <c r="O114" s="227"/>
      <c r="BG114"/>
      <c r="BH114" s="14"/>
      <c r="BZ114" s="165"/>
      <c r="CA114" s="165"/>
    </row>
    <row r="115" spans="1:83" x14ac:dyDescent="0.25">
      <c r="A115" t="s">
        <v>1007</v>
      </c>
      <c r="J115" s="168">
        <f t="shared" si="54"/>
        <v>0</v>
      </c>
      <c r="K115" s="172">
        <f t="shared" si="55"/>
        <v>0</v>
      </c>
      <c r="L115" s="172">
        <f>ROUND(U137*V137,0)</f>
        <v>0</v>
      </c>
      <c r="M115" s="172">
        <f t="shared" si="56"/>
        <v>0</v>
      </c>
      <c r="O115" s="227"/>
      <c r="BG115"/>
      <c r="BH115" s="14"/>
    </row>
    <row r="116" spans="1:83" x14ac:dyDescent="0.25">
      <c r="A116" s="2" t="s">
        <v>1008</v>
      </c>
      <c r="K116" s="62">
        <f>SUM(K110:K115)+SUM(K82:K106)</f>
        <v>8030.3</v>
      </c>
      <c r="L116" s="62">
        <f t="shared" ref="L116:M116" si="57">SUM(L110:L115)+SUM(L82:L106)</f>
        <v>0</v>
      </c>
      <c r="M116" s="62">
        <f t="shared" si="57"/>
        <v>0</v>
      </c>
      <c r="O116" s="227"/>
      <c r="BG116"/>
      <c r="BH116" s="14"/>
    </row>
    <row r="117" spans="1:83" x14ac:dyDescent="0.25">
      <c r="O117" s="227"/>
      <c r="BG117"/>
      <c r="BH117" s="14"/>
    </row>
    <row r="118" spans="1:83" x14ac:dyDescent="0.25">
      <c r="A118" t="s">
        <v>1009</v>
      </c>
      <c r="B118" s="172">
        <f>IF('Alim -Surf'!K27&lt;0,-'Alim -Surf'!K27,0)</f>
        <v>0</v>
      </c>
      <c r="C118" s="183">
        <f>IF(Scénario!$K$12="BV",[1]Eco!$B$78,IF(Scénario!$K$12="BL",[1]Eco!$B$77,[1]Eco!$B$76))</f>
        <v>150</v>
      </c>
      <c r="J118" s="168">
        <f>B118*C118</f>
        <v>0</v>
      </c>
      <c r="K118" s="168"/>
      <c r="L118" s="168"/>
      <c r="M118" s="168"/>
      <c r="N118" s="168"/>
      <c r="BG118"/>
      <c r="BH118" s="14"/>
    </row>
    <row r="119" spans="1:83" x14ac:dyDescent="0.25">
      <c r="A119" t="s">
        <v>1010</v>
      </c>
      <c r="B119" s="172">
        <f>IF('Alim -Surf'!K9&lt;0,-'Alim -Surf'!K9,0)</f>
        <v>61.229411764705887</v>
      </c>
      <c r="C119" s="183">
        <f>[1]Eco!$B$79</f>
        <v>80</v>
      </c>
      <c r="J119" s="168">
        <f>B119*C119</f>
        <v>4898.3529411764712</v>
      </c>
      <c r="K119" s="168"/>
      <c r="L119" s="168"/>
      <c r="M119" s="168"/>
      <c r="N119" s="168"/>
      <c r="BG119"/>
      <c r="BH119" s="14"/>
    </row>
    <row r="120" spans="1:83" x14ac:dyDescent="0.25">
      <c r="BG120"/>
      <c r="BH120" s="14"/>
    </row>
    <row r="121" spans="1:83" x14ac:dyDescent="0.25">
      <c r="A121" s="2" t="s">
        <v>1011</v>
      </c>
      <c r="B121" t="s">
        <v>1012</v>
      </c>
      <c r="C121" t="s">
        <v>37</v>
      </c>
      <c r="D121" t="s">
        <v>1013</v>
      </c>
      <c r="BG121"/>
      <c r="BH121" s="14"/>
    </row>
    <row r="122" spans="1:83" x14ac:dyDescent="0.25">
      <c r="A122" s="182" t="str">
        <f>LEFT('Alim -Surf'!B34,10)</f>
        <v>maïs ensil</v>
      </c>
      <c r="B122" s="168">
        <f>'Alim -Surf'!D34</f>
        <v>6</v>
      </c>
      <c r="C122" s="168">
        <f>'Alim -Surf'!E34</f>
        <v>2.7</v>
      </c>
      <c r="D122" s="183">
        <f>IF(B122=0,0,VLOOKUP(A122,[1]Anx!$A$212:$CO$218,3+Troupeau!$J$17))</f>
        <v>562</v>
      </c>
      <c r="J122" s="168">
        <f>C122*D122</f>
        <v>1517.4</v>
      </c>
      <c r="K122" s="166"/>
      <c r="L122" s="166"/>
      <c r="M122" s="166"/>
      <c r="N122" s="166"/>
      <c r="T122" s="2" t="s">
        <v>557</v>
      </c>
      <c r="U122" s="2" t="s">
        <v>588</v>
      </c>
      <c r="V122" s="2" t="s">
        <v>721</v>
      </c>
      <c r="W122" s="2" t="s">
        <v>976</v>
      </c>
      <c r="BG122"/>
      <c r="BH122" s="14"/>
    </row>
    <row r="123" spans="1:83" x14ac:dyDescent="0.25">
      <c r="A123" s="182" t="str">
        <f>LEFT('Alim -Surf'!B35,10)</f>
        <v>0</v>
      </c>
      <c r="B123" s="168">
        <f>'Alim -Surf'!D35</f>
        <v>0</v>
      </c>
      <c r="C123" s="168">
        <f>'Alim -Surf'!E35</f>
        <v>0</v>
      </c>
      <c r="D123" s="183">
        <f>IF(B123=0,0,VLOOKUP(A123,[1]Anx!$A$212:$CO$218,3+Troupeau!$J$17))</f>
        <v>0</v>
      </c>
      <c r="J123" s="168">
        <f t="shared" ref="J123:J131" si="58">C123*D123</f>
        <v>0</v>
      </c>
      <c r="K123" s="166"/>
      <c r="L123" s="166"/>
      <c r="M123" s="166"/>
      <c r="N123" s="166"/>
      <c r="S123" s="14" t="s">
        <v>1014</v>
      </c>
      <c r="T123" s="165">
        <f>Troupeau!J17</f>
        <v>11</v>
      </c>
      <c r="U123" s="165">
        <f>Troupeau!K17</f>
        <v>0</v>
      </c>
      <c r="V123" s="165">
        <f>Troupeau!L17</f>
        <v>0</v>
      </c>
      <c r="W123" s="165">
        <f>Troupeau!M17</f>
        <v>0</v>
      </c>
      <c r="AF123" s="2" t="s">
        <v>1015</v>
      </c>
      <c r="AL123"/>
      <c r="AM123" s="5"/>
      <c r="BG123"/>
      <c r="BH123" s="14"/>
    </row>
    <row r="124" spans="1:83" x14ac:dyDescent="0.25">
      <c r="A124" s="182" t="str">
        <f>LEFT('Alim -Surf'!B36,10)</f>
        <v>0</v>
      </c>
      <c r="B124" s="168">
        <f>'Alim -Surf'!D36</f>
        <v>0</v>
      </c>
      <c r="C124" s="168">
        <f>'Alim -Surf'!E36</f>
        <v>0</v>
      </c>
      <c r="D124" s="183">
        <f>IF(B124=0,0,VLOOKUP(A124,[1]Anx!$A$212:$CO$218,3+Troupeau!$J$17))</f>
        <v>0</v>
      </c>
      <c r="J124" s="168">
        <f t="shared" si="58"/>
        <v>0</v>
      </c>
      <c r="K124" s="166"/>
      <c r="L124" s="166"/>
      <c r="M124" s="166"/>
      <c r="N124" s="166"/>
      <c r="S124" s="14" t="s">
        <v>1016</v>
      </c>
      <c r="T124" s="165" t="str">
        <f>Troupeau!B3</f>
        <v>BV</v>
      </c>
      <c r="U124" s="165">
        <f>Troupeau!C3</f>
        <v>0</v>
      </c>
      <c r="V124" s="165">
        <f>Troupeau!D3</f>
        <v>0</v>
      </c>
      <c r="W124" s="165">
        <f>Troupeau!E3</f>
        <v>0</v>
      </c>
      <c r="AF124" s="2" t="s">
        <v>557</v>
      </c>
      <c r="AG124" s="2" t="s">
        <v>588</v>
      </c>
      <c r="AH124" s="2" t="s">
        <v>721</v>
      </c>
      <c r="AI124" s="2" t="s">
        <v>976</v>
      </c>
      <c r="AJ124" s="228" t="s">
        <v>1017</v>
      </c>
      <c r="AL124"/>
      <c r="AM124" s="5"/>
      <c r="BG124"/>
      <c r="BH124" s="14"/>
    </row>
    <row r="125" spans="1:83" x14ac:dyDescent="0.25">
      <c r="A125" s="182" t="str">
        <f>LEFT('Alim -Surf'!B37,10)</f>
        <v>0</v>
      </c>
      <c r="B125" s="168">
        <f>'Alim -Surf'!D37</f>
        <v>0</v>
      </c>
      <c r="C125" s="168">
        <f>'Alim -Surf'!E37</f>
        <v>0</v>
      </c>
      <c r="D125" s="183">
        <f>IF(B125=0,0,VLOOKUP(A125,[1]Anx!$A$212:$CO$218,3+Troupeau!$J$17))</f>
        <v>0</v>
      </c>
      <c r="J125" s="168">
        <f t="shared" si="58"/>
        <v>0</v>
      </c>
      <c r="K125" s="166"/>
      <c r="L125" s="166"/>
      <c r="M125" s="166"/>
      <c r="N125" s="166"/>
      <c r="S125" s="14" t="s">
        <v>1018</v>
      </c>
      <c r="T125">
        <f>ROUND(Troupeau!B35/1000,2)</f>
        <v>0</v>
      </c>
      <c r="U125">
        <f>ROUND(Troupeau!C35/1000,2)</f>
        <v>0</v>
      </c>
      <c r="V125">
        <f>ROUND(Troupeau!D35/1000,2)</f>
        <v>0</v>
      </c>
      <c r="W125">
        <f>ROUND(Troupeau!E35/1000,2)</f>
        <v>0</v>
      </c>
      <c r="AE125" s="14" t="s">
        <v>1019</v>
      </c>
      <c r="AF125" s="30">
        <f>Troupeau!J17</f>
        <v>11</v>
      </c>
      <c r="AG125" s="30">
        <f>Troupeau!K17</f>
        <v>0</v>
      </c>
      <c r="AH125" s="30">
        <f>Troupeau!L17</f>
        <v>0</v>
      </c>
      <c r="AI125" s="30">
        <f>Troupeau!M17</f>
        <v>0</v>
      </c>
      <c r="AJ125" s="205"/>
      <c r="AL125"/>
      <c r="AM125" s="5"/>
      <c r="BG125"/>
      <c r="BH125" s="14"/>
    </row>
    <row r="126" spans="1:83" x14ac:dyDescent="0.25">
      <c r="A126" s="182" t="str">
        <f>LEFT('Alim -Surf'!B38,10)</f>
        <v>0</v>
      </c>
      <c r="B126" s="168">
        <f>'Alim -Surf'!D38</f>
        <v>0</v>
      </c>
      <c r="C126" s="168">
        <f>'Alim -Surf'!E38</f>
        <v>0</v>
      </c>
      <c r="D126" s="183">
        <f>IF(B126=0,0,VLOOKUP(A126,[1]Anx!$A$212:$CO$218,3+Troupeau!$J$17))</f>
        <v>0</v>
      </c>
      <c r="J126" s="168">
        <f t="shared" si="58"/>
        <v>0</v>
      </c>
      <c r="K126" s="166"/>
      <c r="L126" s="166"/>
      <c r="M126" s="166"/>
      <c r="N126" s="166"/>
      <c r="S126" s="14" t="s">
        <v>1020</v>
      </c>
      <c r="T126">
        <f>ROUND(AF147/100,2)</f>
        <v>85.2</v>
      </c>
      <c r="U126">
        <f>ROUND(AG147/100,2)</f>
        <v>0</v>
      </c>
      <c r="V126">
        <f>ROUND(AH147/100,2)</f>
        <v>0</v>
      </c>
      <c r="W126">
        <f>ROUND(AI147/100,2)</f>
        <v>0</v>
      </c>
      <c r="AD126" s="14" t="s">
        <v>1021</v>
      </c>
      <c r="AE126" t="s">
        <v>1022</v>
      </c>
      <c r="AF126" s="30">
        <f>B9</f>
        <v>16.5</v>
      </c>
      <c r="AG126" s="30">
        <f>C9</f>
        <v>0</v>
      </c>
      <c r="AH126" s="30">
        <f>D9</f>
        <v>0</v>
      </c>
      <c r="AI126" s="30">
        <f>E9</f>
        <v>0</v>
      </c>
      <c r="AJ126" s="205"/>
      <c r="AL126"/>
      <c r="AM126" s="5"/>
      <c r="BG126"/>
      <c r="BH126" s="14"/>
    </row>
    <row r="127" spans="1:83" x14ac:dyDescent="0.25">
      <c r="A127" s="182" t="str">
        <f>LEFT('Alim -Surf'!B39,10)</f>
        <v>0</v>
      </c>
      <c r="B127" s="168">
        <f>'Alim -Surf'!D39</f>
        <v>0</v>
      </c>
      <c r="C127" s="168">
        <f>'Alim -Surf'!E39</f>
        <v>0</v>
      </c>
      <c r="D127" s="183">
        <f>IF(B127=0,0,VLOOKUP(A127,[1]Anx!$A$212:$CO$218,3+Troupeau!$J$17))</f>
        <v>0</v>
      </c>
      <c r="J127" s="168">
        <f t="shared" si="58"/>
        <v>0</v>
      </c>
      <c r="K127" s="166"/>
      <c r="L127" s="166"/>
      <c r="M127" s="166"/>
      <c r="N127" s="166"/>
      <c r="S127" s="14" t="s">
        <v>1023</v>
      </c>
      <c r="T127">
        <f>Troupeau!B17</f>
        <v>40</v>
      </c>
      <c r="U127">
        <f>Troupeau!C17</f>
        <v>0</v>
      </c>
      <c r="V127">
        <f>Troupeau!D17</f>
        <v>0</v>
      </c>
      <c r="W127">
        <f>Troupeau!E17</f>
        <v>0</v>
      </c>
      <c r="AE127" t="s">
        <v>1024</v>
      </c>
      <c r="AF127" s="30">
        <f>HLOOKUP(AF$125,[1]Anx!$A$122:$CO$162,$AJ127)</f>
        <v>240</v>
      </c>
      <c r="AG127" s="30">
        <f>HLOOKUP(AG$125,[1]Anx!$A$122:$CO$162,$AJ127)</f>
        <v>4</v>
      </c>
      <c r="AH127" s="30">
        <f>HLOOKUP(AH$125,[1]Anx!$A$122:$CO$162,$AJ127)</f>
        <v>4</v>
      </c>
      <c r="AI127" s="30">
        <f>HLOOKUP(AI$125,[1]Anx!$A$122:$CO$162,$AJ127)</f>
        <v>4</v>
      </c>
      <c r="AJ127" s="205">
        <v>4</v>
      </c>
      <c r="AL127"/>
      <c r="AM127" s="5"/>
      <c r="BG127"/>
      <c r="BH127" s="14"/>
    </row>
    <row r="128" spans="1:83" x14ac:dyDescent="0.25">
      <c r="A128" s="182" t="str">
        <f>LEFT('Alim -Surf'!B40,10)</f>
        <v>0</v>
      </c>
      <c r="B128" s="168">
        <f>'Alim -Surf'!D40</f>
        <v>0</v>
      </c>
      <c r="C128" s="168">
        <f>'Alim -Surf'!E40</f>
        <v>0</v>
      </c>
      <c r="D128" s="183">
        <f>IF(B128=0,0,VLOOKUP(A128,[1]Anx!$A$212:$CO$218,3+Troupeau!$J$17))</f>
        <v>0</v>
      </c>
      <c r="F128" s="5"/>
      <c r="G128" s="5"/>
      <c r="J128" s="168">
        <f t="shared" si="58"/>
        <v>0</v>
      </c>
      <c r="K128" s="166"/>
      <c r="L128" s="166"/>
      <c r="M128" s="166"/>
      <c r="N128" s="166"/>
      <c r="S128" s="14" t="s">
        <v>1025</v>
      </c>
      <c r="AE128" t="s">
        <v>1026</v>
      </c>
      <c r="AF128" s="30">
        <f>AF126*AF127</f>
        <v>3960</v>
      </c>
      <c r="AG128" s="30">
        <f t="shared" ref="AG128:AI128" si="59">AG126*AG127</f>
        <v>0</v>
      </c>
      <c r="AH128" s="30">
        <f t="shared" si="59"/>
        <v>0</v>
      </c>
      <c r="AI128" s="30">
        <f t="shared" si="59"/>
        <v>0</v>
      </c>
      <c r="AJ128" s="205"/>
      <c r="AL128"/>
      <c r="AM128" s="5"/>
      <c r="BG128"/>
      <c r="BH128" s="14"/>
    </row>
    <row r="129" spans="1:60" x14ac:dyDescent="0.25">
      <c r="A129" s="182" t="str">
        <f>LEFT('Alim -Surf'!B41,10)</f>
        <v>0</v>
      </c>
      <c r="B129" s="168">
        <f>'Alim -Surf'!D41</f>
        <v>0</v>
      </c>
      <c r="C129" s="168">
        <f>'Alim -Surf'!E41</f>
        <v>0</v>
      </c>
      <c r="D129" s="183">
        <f>IF(B129=0,0,VLOOKUP(A129,[1]Anx!$A$212:$CO$218,3+Troupeau!$J$17))</f>
        <v>0</v>
      </c>
      <c r="F129" s="5"/>
      <c r="G129" s="5"/>
      <c r="J129" s="168">
        <f t="shared" si="58"/>
        <v>0</v>
      </c>
      <c r="K129" s="166"/>
      <c r="L129" s="166"/>
      <c r="M129" s="166"/>
      <c r="N129" s="166"/>
      <c r="AB129" s="201"/>
      <c r="AD129" s="14" t="s">
        <v>1027</v>
      </c>
      <c r="AE129" t="s">
        <v>1022</v>
      </c>
      <c r="AF129" s="30">
        <f>B10</f>
        <v>10.5</v>
      </c>
      <c r="AG129" s="30">
        <f>C10</f>
        <v>0</v>
      </c>
      <c r="AH129" s="30">
        <f>D10</f>
        <v>0</v>
      </c>
      <c r="AI129" s="30">
        <f>E10</f>
        <v>0</v>
      </c>
      <c r="AJ129" s="205"/>
      <c r="AL129"/>
      <c r="AM129" s="5"/>
      <c r="BG129"/>
      <c r="BH129" s="14"/>
    </row>
    <row r="130" spans="1:60" x14ac:dyDescent="0.25">
      <c r="A130" s="182" t="str">
        <f>LEFT('Alim -Surf'!B42,10)</f>
        <v>0</v>
      </c>
      <c r="B130" s="168">
        <f>'Alim -Surf'!D42</f>
        <v>0</v>
      </c>
      <c r="C130" s="168">
        <f>'Alim -Surf'!E42</f>
        <v>0</v>
      </c>
      <c r="D130" s="183">
        <f>IF(B130=0,0,VLOOKUP(A130,[1]Anx!$A$212:$CO$218,3+Troupeau!$J$17))</f>
        <v>0</v>
      </c>
      <c r="F130" s="5"/>
      <c r="G130" s="18"/>
      <c r="J130" s="168">
        <f t="shared" si="58"/>
        <v>0</v>
      </c>
      <c r="K130" s="166"/>
      <c r="L130" s="166"/>
      <c r="M130" s="166"/>
      <c r="N130" s="166"/>
      <c r="T130" s="2" t="s">
        <v>557</v>
      </c>
      <c r="U130" s="2"/>
      <c r="V130" s="2" t="s">
        <v>588</v>
      </c>
      <c r="W130" s="2"/>
      <c r="X130" s="2" t="s">
        <v>721</v>
      </c>
      <c r="Y130" s="2"/>
      <c r="Z130" s="2" t="s">
        <v>976</v>
      </c>
      <c r="AA130" s="2"/>
      <c r="AB130" s="201"/>
      <c r="AE130" t="s">
        <v>1024</v>
      </c>
      <c r="AF130" s="30">
        <f>HLOOKUP(AF$125,[1]Anx!$A$122:$CO$162,$AJ130)</f>
        <v>240</v>
      </c>
      <c r="AG130" s="30">
        <f>HLOOKUP(AG$125,[1]Anx!$A$122:$CO$162,$AJ130)</f>
        <v>9</v>
      </c>
      <c r="AH130" s="30">
        <f>HLOOKUP(AH$125,[1]Anx!$A$122:$CO$162,$AJ130)</f>
        <v>9</v>
      </c>
      <c r="AI130" s="30">
        <f>HLOOKUP(AI$125,[1]Anx!$A$122:$CO$162,$AJ130)</f>
        <v>9</v>
      </c>
      <c r="AJ130" s="205">
        <v>9</v>
      </c>
      <c r="AL130"/>
      <c r="AM130" s="5"/>
      <c r="BG130"/>
      <c r="BH130" s="14"/>
    </row>
    <row r="131" spans="1:60" x14ac:dyDescent="0.25">
      <c r="A131" s="182" t="str">
        <f>LEFT('Alim -Surf'!B43,10)</f>
        <v>0</v>
      </c>
      <c r="B131" s="168">
        <f>'Alim -Surf'!D43</f>
        <v>0</v>
      </c>
      <c r="C131" s="168">
        <f>'Alim -Surf'!E43</f>
        <v>0</v>
      </c>
      <c r="D131" s="183">
        <f>IF(B131=0,0,VLOOKUP(A131,[1]Anx!$A$212:$CO$218,3+Troupeau!$J$17))</f>
        <v>0</v>
      </c>
      <c r="F131" s="5"/>
      <c r="G131" s="18"/>
      <c r="J131" s="168">
        <f t="shared" si="58"/>
        <v>0</v>
      </c>
      <c r="K131" s="166"/>
      <c r="L131" s="166"/>
      <c r="M131" s="166"/>
      <c r="N131" s="166"/>
      <c r="O131" s="227"/>
      <c r="T131" s="165" t="s">
        <v>1028</v>
      </c>
      <c r="U131" s="165" t="s">
        <v>1029</v>
      </c>
      <c r="V131" s="165" t="s">
        <v>1028</v>
      </c>
      <c r="W131" s="165" t="s">
        <v>1029</v>
      </c>
      <c r="X131" s="165" t="s">
        <v>1028</v>
      </c>
      <c r="Y131" s="165" t="s">
        <v>1029</v>
      </c>
      <c r="Z131" s="165" t="s">
        <v>1028</v>
      </c>
      <c r="AA131" s="165" t="s">
        <v>1029</v>
      </c>
      <c r="AB131" s="201" t="s">
        <v>1030</v>
      </c>
      <c r="AE131" t="s">
        <v>1026</v>
      </c>
      <c r="AF131" s="30">
        <f>AF129*AF130</f>
        <v>2520</v>
      </c>
      <c r="AG131" s="30">
        <f t="shared" ref="AG131:AI131" si="60">AG129*AG130</f>
        <v>0</v>
      </c>
      <c r="AH131" s="30">
        <f t="shared" si="60"/>
        <v>0</v>
      </c>
      <c r="AI131" s="30">
        <f t="shared" si="60"/>
        <v>0</v>
      </c>
      <c r="AJ131" s="205"/>
      <c r="AL131"/>
      <c r="AM131" s="5"/>
      <c r="BG131"/>
      <c r="BH131" s="14"/>
    </row>
    <row r="132" spans="1:60" x14ac:dyDescent="0.25">
      <c r="A132" s="182" t="s">
        <v>1031</v>
      </c>
      <c r="B132" s="5"/>
      <c r="C132" s="168">
        <f>AH228</f>
        <v>11.049999999999999</v>
      </c>
      <c r="D132" s="183">
        <f>HLOOKUP(Troupeau!$J$17,[1]Anx!$D$170:$CN$186,'Calcul éco'!O132)</f>
        <v>30</v>
      </c>
      <c r="E132" s="229"/>
      <c r="F132" s="229"/>
      <c r="G132" s="18"/>
      <c r="J132" s="168">
        <f>D132*C132</f>
        <v>331.49999999999994</v>
      </c>
      <c r="K132" s="166"/>
      <c r="L132" s="166"/>
      <c r="M132" s="166"/>
      <c r="N132" s="166"/>
      <c r="O132" s="227">
        <v>10</v>
      </c>
      <c r="S132" s="14" t="s">
        <v>1001</v>
      </c>
      <c r="T132" s="165">
        <f>$T$127</f>
        <v>40</v>
      </c>
      <c r="U132" s="183">
        <f>HLOOKUP($T$123,[1]Anx!$D$170:$CN$1177,$AB132)</f>
        <v>48</v>
      </c>
      <c r="V132" s="165">
        <f>$U$127</f>
        <v>0</v>
      </c>
      <c r="W132" s="183">
        <f>IF(V132=0,0,HLOOKUP(U$123,[1]Anx!$D$170:$CN$1177,$AB132))</f>
        <v>0</v>
      </c>
      <c r="X132" s="165">
        <f>$V$127</f>
        <v>0</v>
      </c>
      <c r="Y132" s="183">
        <f>IF(X132=0,0,HLOOKUP(V$123,[1]Anx!$D$170:$CN$1177,$AB132))</f>
        <v>0</v>
      </c>
      <c r="Z132" s="165">
        <f>$W$127</f>
        <v>0</v>
      </c>
      <c r="AA132" s="230">
        <f>IF(Z132=0,0,HLOOKUP(W$123,[1]Anx!$D$170:$CN$1177,$AB132))</f>
        <v>0</v>
      </c>
      <c r="AB132" s="227">
        <v>3</v>
      </c>
      <c r="AD132" s="14" t="s">
        <v>1032</v>
      </c>
      <c r="AE132" t="s">
        <v>1022</v>
      </c>
      <c r="AF132" s="30">
        <f>B11</f>
        <v>0</v>
      </c>
      <c r="AG132" s="30">
        <f>C11</f>
        <v>0</v>
      </c>
      <c r="AH132" s="30">
        <f>D11</f>
        <v>0</v>
      </c>
      <c r="AI132" s="30">
        <f>E11</f>
        <v>0</v>
      </c>
      <c r="AJ132" s="205"/>
      <c r="AL132"/>
      <c r="AM132" s="5"/>
      <c r="BG132"/>
      <c r="BH132" s="14"/>
    </row>
    <row r="133" spans="1:60" x14ac:dyDescent="0.25">
      <c r="A133" s="182" t="s">
        <v>1033</v>
      </c>
      <c r="B133" s="5"/>
      <c r="C133" s="168">
        <f>AI228</f>
        <v>12.16</v>
      </c>
      <c r="D133" s="183">
        <f>HLOOKUP(Troupeau!$J$17,[1]Anx!$D$170:$CN$186,'Calcul éco'!O133)</f>
        <v>51.8</v>
      </c>
      <c r="E133" s="229"/>
      <c r="F133" s="229"/>
      <c r="G133" s="18"/>
      <c r="J133" s="168">
        <f t="shared" ref="J133:J138" si="61">D133*C133</f>
        <v>629.88799999999992</v>
      </c>
      <c r="K133" s="166"/>
      <c r="L133" s="166"/>
      <c r="M133" s="166"/>
      <c r="N133" s="166"/>
      <c r="O133" s="227">
        <v>11</v>
      </c>
      <c r="S133" s="14" t="s">
        <v>1003</v>
      </c>
      <c r="T133" s="165">
        <f>$T$127</f>
        <v>40</v>
      </c>
      <c r="U133" s="183">
        <f>HLOOKUP($T$123,[1]Anx!$D$170:$CN$1177,$AB133)</f>
        <v>28</v>
      </c>
      <c r="V133" s="165">
        <f>$U$127</f>
        <v>0</v>
      </c>
      <c r="W133" s="183">
        <f>IF(V133=0,0,HLOOKUP(U$123,[1]Anx!$D$170:$CN$1177,$AB133))</f>
        <v>0</v>
      </c>
      <c r="X133" s="165">
        <f>$V$127</f>
        <v>0</v>
      </c>
      <c r="Y133" s="183">
        <f>IF(X133=0,0,HLOOKUP(V$123,[1]Anx!$D$170:$CN$1177,$AB133))</f>
        <v>0</v>
      </c>
      <c r="Z133" s="165">
        <f>$W$127</f>
        <v>0</v>
      </c>
      <c r="AA133" s="230">
        <f>IF(Z133=0,0,HLOOKUP(W$123,[1]Anx!$D$170:$CN$1177,$AB133))</f>
        <v>0</v>
      </c>
      <c r="AB133" s="227">
        <v>4</v>
      </c>
      <c r="AE133" t="s">
        <v>1024</v>
      </c>
      <c r="AF133" s="30">
        <f>HLOOKUP(AF$125,[1]Anx!$A$122:$CO$162,$AJ133)</f>
        <v>0</v>
      </c>
      <c r="AG133" s="30">
        <f>HLOOKUP(AG$125,[1]Anx!$A$122:$CO$162,$AJ133)</f>
        <v>14</v>
      </c>
      <c r="AH133" s="30">
        <f>HLOOKUP(AH$125,[1]Anx!$A$122:$CO$162,$AJ133)</f>
        <v>14</v>
      </c>
      <c r="AI133" s="30">
        <f>HLOOKUP(AI$125,[1]Anx!$A$122:$CO$162,$AJ133)</f>
        <v>14</v>
      </c>
      <c r="AJ133" s="205">
        <v>14</v>
      </c>
      <c r="AL133"/>
      <c r="AM133" s="5"/>
      <c r="BG133"/>
      <c r="BH133" s="14"/>
    </row>
    <row r="134" spans="1:60" x14ac:dyDescent="0.25">
      <c r="A134" s="182" t="s">
        <v>1034</v>
      </c>
      <c r="B134" s="5"/>
      <c r="C134" s="168">
        <f>AJ228</f>
        <v>4.42</v>
      </c>
      <c r="D134" s="183">
        <f>HLOOKUP(Troupeau!$J$17,[1]Anx!$D$170:$CN$186,'Calcul éco'!O134)</f>
        <v>55.7</v>
      </c>
      <c r="E134" s="229"/>
      <c r="F134" s="229"/>
      <c r="G134" s="18"/>
      <c r="J134" s="168">
        <f t="shared" si="61"/>
        <v>246.19400000000002</v>
      </c>
      <c r="K134" s="166"/>
      <c r="L134" s="166"/>
      <c r="M134" s="166"/>
      <c r="N134" s="166"/>
      <c r="O134" s="227">
        <v>12</v>
      </c>
      <c r="S134" s="14" t="s">
        <v>1004</v>
      </c>
      <c r="T134" s="166">
        <f>B6</f>
        <v>0</v>
      </c>
      <c r="U134" s="183">
        <f>HLOOKUP($T$123,[1]Anx!$D$170:$CN$1177,$AB134)</f>
        <v>0</v>
      </c>
      <c r="V134" s="166"/>
      <c r="W134" s="183">
        <f>IF(V134=0,0,HLOOKUP(U$123,[1]Anx!$D$170:$CN$1177,$AB134))</f>
        <v>0</v>
      </c>
      <c r="X134" s="166"/>
      <c r="Y134" s="183">
        <f>IF(X134=0,0,HLOOKUP(V$123,[1]Anx!$D$170:$CN$1177,$AB134))</f>
        <v>0</v>
      </c>
      <c r="Z134" s="166"/>
      <c r="AA134" s="230">
        <f>IF(Z134=0,0,HLOOKUP(W$123,[1]Anx!$D$170:$CN$1177,$AB134))</f>
        <v>0</v>
      </c>
      <c r="AB134" s="227">
        <v>5</v>
      </c>
      <c r="AE134" t="s">
        <v>1026</v>
      </c>
      <c r="AF134" s="30">
        <f>AF132*AF133</f>
        <v>0</v>
      </c>
      <c r="AG134" s="30">
        <f t="shared" ref="AG134:AI134" si="62">AG132*AG133</f>
        <v>0</v>
      </c>
      <c r="AH134" s="30">
        <f t="shared" si="62"/>
        <v>0</v>
      </c>
      <c r="AI134" s="30">
        <f t="shared" si="62"/>
        <v>0</v>
      </c>
      <c r="AJ134" s="205"/>
      <c r="AL134"/>
      <c r="AM134" s="5"/>
      <c r="BG134"/>
      <c r="BH134" s="14"/>
    </row>
    <row r="135" spans="1:60" x14ac:dyDescent="0.25">
      <c r="A135" s="182" t="s">
        <v>1035</v>
      </c>
      <c r="C135" s="168">
        <f>AE228</f>
        <v>0</v>
      </c>
      <c r="D135" s="183">
        <f>HLOOKUP(Troupeau!$J$17,[1]Anx!$D$170:$CN$186,'Calcul éco'!O135)</f>
        <v>0</v>
      </c>
      <c r="E135" s="5"/>
      <c r="F135" s="5"/>
      <c r="G135" s="18"/>
      <c r="J135" s="168">
        <f t="shared" si="61"/>
        <v>0</v>
      </c>
      <c r="K135" s="166"/>
      <c r="L135" s="166"/>
      <c r="M135" s="166"/>
      <c r="N135" s="166"/>
      <c r="O135" s="227">
        <v>13</v>
      </c>
      <c r="S135" s="14" t="s">
        <v>1005</v>
      </c>
      <c r="T135" s="165">
        <f>$T$127</f>
        <v>40</v>
      </c>
      <c r="U135" s="183">
        <f>HLOOKUP($T$123,[1]Anx!$D$170:$CN$1177,$AB135)</f>
        <v>19</v>
      </c>
      <c r="V135" s="165">
        <f>$U$127</f>
        <v>0</v>
      </c>
      <c r="W135" s="183">
        <f>IF(V135=0,0,HLOOKUP(U$123,[1]Anx!$D$170:$CN$1177,$AB135))</f>
        <v>0</v>
      </c>
      <c r="X135" s="165">
        <f>$V$127</f>
        <v>0</v>
      </c>
      <c r="Y135" s="183">
        <f>IF(X135=0,0,HLOOKUP(V$123,[1]Anx!$D$170:$CN$1177,$AB135))</f>
        <v>0</v>
      </c>
      <c r="Z135" s="165">
        <f>$W$127</f>
        <v>0</v>
      </c>
      <c r="AA135" s="230">
        <f>IF(Z135=0,0,HLOOKUP(W$123,[1]Anx!$D$170:$CN$1177,$AB135))</f>
        <v>0</v>
      </c>
      <c r="AB135" s="227">
        <v>6</v>
      </c>
      <c r="AD135" s="14" t="s">
        <v>1036</v>
      </c>
      <c r="AE135" t="s">
        <v>1022</v>
      </c>
      <c r="AF135" s="30">
        <f>B12</f>
        <v>0</v>
      </c>
      <c r="AG135" s="30">
        <f>C12</f>
        <v>0</v>
      </c>
      <c r="AH135" s="30">
        <f>D12</f>
        <v>0</v>
      </c>
      <c r="AI135" s="30">
        <f>E12</f>
        <v>0</v>
      </c>
      <c r="AJ135" s="205"/>
      <c r="AL135"/>
      <c r="AM135" s="5"/>
      <c r="BG135"/>
      <c r="BH135" s="14"/>
    </row>
    <row r="136" spans="1:60" x14ac:dyDescent="0.25">
      <c r="A136" s="182" t="s">
        <v>1037</v>
      </c>
      <c r="B136" s="5"/>
      <c r="C136" s="168">
        <f>AF228</f>
        <v>5</v>
      </c>
      <c r="D136" s="183">
        <f>HLOOKUP(Troupeau!$J$17,[1]Anx!$D$170:$CN$186,'Calcul éco'!O136)</f>
        <v>98.8</v>
      </c>
      <c r="E136" s="5"/>
      <c r="F136" s="5"/>
      <c r="G136" s="18"/>
      <c r="J136" s="168">
        <f t="shared" si="61"/>
        <v>494</v>
      </c>
      <c r="K136" s="166"/>
      <c r="L136" s="166"/>
      <c r="M136" s="166"/>
      <c r="N136" s="166"/>
      <c r="O136" s="227">
        <v>14</v>
      </c>
      <c r="S136" s="14" t="s">
        <v>1038</v>
      </c>
      <c r="T136" s="165">
        <f>$T$127</f>
        <v>40</v>
      </c>
      <c r="U136" s="183">
        <f>HLOOKUP($T$123,[1]Anx!$D$170:$CN$1177,$AB136)</f>
        <v>0</v>
      </c>
      <c r="V136" s="165">
        <f>$U$127</f>
        <v>0</v>
      </c>
      <c r="W136" s="183">
        <f>IF(V136=0,0,HLOOKUP(U$123,[1]Anx!$D$170:$CN$1177,$AB136))</f>
        <v>0</v>
      </c>
      <c r="X136" s="165">
        <f>$V$127</f>
        <v>0</v>
      </c>
      <c r="Y136" s="183">
        <f>IF(X136=0,0,HLOOKUP(V$123,[1]Anx!$D$170:$CN$1177,$AB136))</f>
        <v>0</v>
      </c>
      <c r="Z136" s="165">
        <f>$W$127</f>
        <v>0</v>
      </c>
      <c r="AA136" s="230">
        <f>IF(Z136=0,0,HLOOKUP(W$123,[1]Anx!$D$170:$CN$1177,$AB136))</f>
        <v>0</v>
      </c>
      <c r="AB136" s="227">
        <v>7</v>
      </c>
      <c r="AE136" t="s">
        <v>1024</v>
      </c>
      <c r="AF136" s="30">
        <f>HLOOKUP(AF$125,[1]Anx!$A$122:$CO$162,$AJ136)</f>
        <v>0</v>
      </c>
      <c r="AG136" s="30">
        <f>HLOOKUP(AG$125,[1]Anx!$A$122:$CO$162,$AJ136)</f>
        <v>19</v>
      </c>
      <c r="AH136" s="30">
        <f>HLOOKUP(AH$125,[1]Anx!$A$122:$CO$162,$AJ136)</f>
        <v>19</v>
      </c>
      <c r="AI136" s="30">
        <f>HLOOKUP(AI$125,[1]Anx!$A$122:$CO$162,$AJ136)</f>
        <v>19</v>
      </c>
      <c r="AJ136" s="205">
        <v>19</v>
      </c>
      <c r="AL136"/>
      <c r="AM136" s="5"/>
      <c r="BG136"/>
      <c r="BH136" s="14"/>
    </row>
    <row r="137" spans="1:60" x14ac:dyDescent="0.25">
      <c r="A137" s="182" t="s">
        <v>1039</v>
      </c>
      <c r="B137" s="5"/>
      <c r="C137" s="168">
        <f>AG228</f>
        <v>0</v>
      </c>
      <c r="D137" s="183">
        <f>HLOOKUP(Troupeau!$J$17,[1]Anx!$D$170:$CN$186,'Calcul éco'!O137)</f>
        <v>125.2</v>
      </c>
      <c r="E137" s="5"/>
      <c r="F137" s="5"/>
      <c r="G137" s="18"/>
      <c r="J137" s="168">
        <f t="shared" si="61"/>
        <v>0</v>
      </c>
      <c r="K137" s="166"/>
      <c r="L137" s="166"/>
      <c r="M137" s="166"/>
      <c r="N137" s="166"/>
      <c r="O137" s="227">
        <v>15</v>
      </c>
      <c r="S137" s="32" t="s">
        <v>1040</v>
      </c>
      <c r="T137" s="165">
        <f>Troupeau!B22</f>
        <v>6</v>
      </c>
      <c r="U137" s="183">
        <f>HLOOKUP($T$123,[1]Anx!$D$170:$CN$1177,$AB137)</f>
        <v>0</v>
      </c>
      <c r="V137" s="165">
        <f>Troupeau!C22</f>
        <v>0</v>
      </c>
      <c r="W137" s="183">
        <f>IF(V137=0,0,HLOOKUP(U$123,[1]Anx!$D$170:$CN$1177,$AB137))</f>
        <v>0</v>
      </c>
      <c r="X137" s="165">
        <f>Troupeau!D22</f>
        <v>0</v>
      </c>
      <c r="Y137" s="183">
        <f>IF(X137=0,0,HLOOKUP(V$123,[1]Anx!$D$170:$CN$1177,$AB137))</f>
        <v>0</v>
      </c>
      <c r="Z137" s="165">
        <f>Troupeau!E22</f>
        <v>0</v>
      </c>
      <c r="AA137" s="230">
        <f>IF(Z137=0,0,HLOOKUP(W$123,[1]Anx!$D$170:$CN$1177,$AB137))</f>
        <v>0</v>
      </c>
      <c r="AB137" s="227">
        <v>8</v>
      </c>
      <c r="AE137" t="s">
        <v>1026</v>
      </c>
      <c r="AF137" s="30">
        <f>AF135*AF136</f>
        <v>0</v>
      </c>
      <c r="AG137" s="30">
        <f t="shared" ref="AG137:AI137" si="63">AG135*AG136</f>
        <v>0</v>
      </c>
      <c r="AH137" s="30">
        <f t="shared" si="63"/>
        <v>0</v>
      </c>
      <c r="AI137" s="30">
        <f t="shared" si="63"/>
        <v>0</v>
      </c>
      <c r="AJ137" s="205"/>
      <c r="AL137"/>
      <c r="AM137" s="5"/>
      <c r="BG137"/>
      <c r="BH137" s="14"/>
    </row>
    <row r="138" spans="1:60" x14ac:dyDescent="0.25">
      <c r="A138" s="182" t="s">
        <v>1041</v>
      </c>
      <c r="B138" s="5"/>
      <c r="C138" s="168">
        <f>AA228</f>
        <v>0</v>
      </c>
      <c r="D138" s="183">
        <f>HLOOKUP(Troupeau!$J$17,[1]Anx!$D$170:$CN$186,'Calcul éco'!O138)</f>
        <v>122.5</v>
      </c>
      <c r="E138" s="5"/>
      <c r="F138" s="5"/>
      <c r="G138" s="18"/>
      <c r="J138" s="168">
        <f t="shared" si="61"/>
        <v>0</v>
      </c>
      <c r="K138" s="166"/>
      <c r="L138" s="166"/>
      <c r="M138" s="166"/>
      <c r="N138" s="166"/>
      <c r="O138" s="227">
        <v>16</v>
      </c>
      <c r="AD138" s="14" t="s">
        <v>1042</v>
      </c>
      <c r="AE138" t="s">
        <v>1022</v>
      </c>
      <c r="AF138" s="30">
        <f>B13</f>
        <v>3</v>
      </c>
      <c r="AG138" s="30">
        <f>C13</f>
        <v>0</v>
      </c>
      <c r="AH138" s="30">
        <f>D13</f>
        <v>0</v>
      </c>
      <c r="AI138" s="30">
        <f>E13</f>
        <v>0</v>
      </c>
      <c r="AJ138" s="205"/>
      <c r="AL138"/>
      <c r="AM138" s="5"/>
    </row>
    <row r="139" spans="1:60" x14ac:dyDescent="0.25">
      <c r="A139" s="5"/>
      <c r="B139" s="5"/>
      <c r="C139" s="5"/>
      <c r="D139" s="5"/>
      <c r="E139" s="5"/>
      <c r="F139" s="5"/>
      <c r="G139" s="18"/>
      <c r="O139" s="227"/>
      <c r="AE139" t="s">
        <v>1024</v>
      </c>
      <c r="AF139" s="30">
        <f>HLOOKUP(AF$125,[1]Anx!$A$122:$CO$162,$AJ139)</f>
        <v>680</v>
      </c>
      <c r="AG139" s="30">
        <f>HLOOKUP(AG$125,[1]Anx!$A$122:$CO$162,$AJ139)</f>
        <v>24</v>
      </c>
      <c r="AH139" s="30">
        <f>HLOOKUP(AH$125,[1]Anx!$A$122:$CO$162,$AJ139)</f>
        <v>24</v>
      </c>
      <c r="AI139" s="30">
        <f>HLOOKUP(AI$125,[1]Anx!$A$122:$CO$162,$AJ139)</f>
        <v>24</v>
      </c>
      <c r="AJ139" s="205">
        <v>24</v>
      </c>
      <c r="AL139"/>
      <c r="AM139" s="5"/>
    </row>
    <row r="140" spans="1:60" x14ac:dyDescent="0.25">
      <c r="A140" s="2" t="s">
        <v>1043</v>
      </c>
      <c r="J140" s="166"/>
      <c r="K140" s="166"/>
      <c r="L140" s="166"/>
      <c r="M140" s="166"/>
      <c r="N140" s="166"/>
      <c r="Y140" s="165"/>
      <c r="AE140" t="s">
        <v>1026</v>
      </c>
      <c r="AF140" s="30">
        <f>AF138*AF139</f>
        <v>2040</v>
      </c>
      <c r="AG140" s="30">
        <f t="shared" ref="AG140:AI140" si="64">AG138*AG139</f>
        <v>0</v>
      </c>
      <c r="AH140" s="30">
        <f t="shared" si="64"/>
        <v>0</v>
      </c>
      <c r="AI140" s="30">
        <f t="shared" si="64"/>
        <v>0</v>
      </c>
      <c r="AJ140" s="205"/>
      <c r="AL140"/>
      <c r="AM140" s="5"/>
    </row>
    <row r="141" spans="1:60" x14ac:dyDescent="0.25">
      <c r="A141" t="s">
        <v>1044</v>
      </c>
      <c r="J141" s="168">
        <f>X245</f>
        <v>0</v>
      </c>
      <c r="K141" s="166"/>
      <c r="L141" s="166"/>
      <c r="M141" s="166"/>
      <c r="N141" s="166"/>
      <c r="Y141" s="165"/>
      <c r="AD141" s="14" t="s">
        <v>1045</v>
      </c>
      <c r="AE141" t="s">
        <v>1022</v>
      </c>
      <c r="AF141" s="30">
        <f>B14</f>
        <v>3</v>
      </c>
      <c r="AG141" s="30">
        <f>C14</f>
        <v>0</v>
      </c>
      <c r="AH141" s="30">
        <f>D14</f>
        <v>0</v>
      </c>
      <c r="AI141" s="30">
        <f>E14</f>
        <v>0</v>
      </c>
      <c r="AJ141" s="205"/>
      <c r="AL141"/>
      <c r="AM141" s="5"/>
    </row>
    <row r="142" spans="1:60" x14ac:dyDescent="0.25">
      <c r="A142" t="s">
        <v>1046</v>
      </c>
      <c r="J142" s="168">
        <f>SUM(X271:X275)</f>
        <v>0</v>
      </c>
      <c r="K142" s="166"/>
      <c r="L142" s="166"/>
      <c r="M142" s="166"/>
      <c r="N142" s="166"/>
      <c r="Y142" s="165"/>
      <c r="AE142" t="s">
        <v>1024</v>
      </c>
      <c r="AF142" s="30">
        <f>HLOOKUP(AF$125,[1]Anx!$A$122:$CO$162,$AJ142)</f>
        <v>0</v>
      </c>
      <c r="AG142" s="30">
        <f>HLOOKUP(AG$125,[1]Anx!$A$122:$CO$162,$AJ142)</f>
        <v>29</v>
      </c>
      <c r="AH142" s="30">
        <f>HLOOKUP(AH$125,[1]Anx!$A$122:$CO$162,$AJ142)</f>
        <v>29</v>
      </c>
      <c r="AI142" s="30">
        <f>HLOOKUP(AI$125,[1]Anx!$A$122:$CO$162,$AJ142)</f>
        <v>29</v>
      </c>
      <c r="AJ142" s="205">
        <v>29</v>
      </c>
      <c r="AL142"/>
      <c r="AM142" s="5"/>
    </row>
    <row r="143" spans="1:60" x14ac:dyDescent="0.25">
      <c r="Y143" s="165"/>
      <c r="AE143" t="s">
        <v>1026</v>
      </c>
      <c r="AF143" s="30">
        <f>AF141*AF142</f>
        <v>0</v>
      </c>
      <c r="AG143" s="30">
        <f t="shared" ref="AG143:AI143" si="65">AG141*AG142</f>
        <v>0</v>
      </c>
      <c r="AH143" s="30">
        <f t="shared" si="65"/>
        <v>0</v>
      </c>
      <c r="AI143" s="30">
        <f t="shared" si="65"/>
        <v>0</v>
      </c>
      <c r="AJ143" s="205"/>
      <c r="AL143"/>
      <c r="AM143" s="5"/>
    </row>
    <row r="144" spans="1:60" x14ac:dyDescent="0.25">
      <c r="C144" s="18"/>
      <c r="D144" s="18"/>
      <c r="E144" s="18"/>
      <c r="F144" s="5"/>
      <c r="G144" s="18"/>
      <c r="Y144" s="165"/>
      <c r="AD144" s="14" t="s">
        <v>1047</v>
      </c>
      <c r="AE144" t="s">
        <v>1022</v>
      </c>
      <c r="AF144" s="30">
        <f>B15</f>
        <v>0.66666666666666652</v>
      </c>
      <c r="AG144" s="30">
        <f>C15</f>
        <v>0</v>
      </c>
      <c r="AH144" s="30">
        <f>D15</f>
        <v>0</v>
      </c>
      <c r="AI144" s="30">
        <f>E15</f>
        <v>0</v>
      </c>
      <c r="AJ144" s="205"/>
      <c r="AL144"/>
      <c r="AM144" s="5"/>
    </row>
    <row r="145" spans="1:39" x14ac:dyDescent="0.25">
      <c r="A145" s="218" t="s">
        <v>1048</v>
      </c>
      <c r="B145" s="218"/>
      <c r="C145" s="218"/>
      <c r="D145" s="218"/>
      <c r="E145" s="218"/>
      <c r="F145" s="231"/>
      <c r="G145" s="231"/>
      <c r="H145" s="231"/>
      <c r="I145" s="231"/>
      <c r="J145" s="219">
        <f>SUM(J82:J144)</f>
        <v>16147.634941176471</v>
      </c>
      <c r="K145" s="219"/>
      <c r="L145" s="219"/>
      <c r="M145" s="219"/>
      <c r="N145" s="219"/>
      <c r="Y145" s="165"/>
      <c r="AE145" t="s">
        <v>1024</v>
      </c>
      <c r="AF145" s="30">
        <f>HLOOKUP(AF$125,[1]Anx!$A$122:$CO$162,$AJ145)</f>
        <v>0</v>
      </c>
      <c r="AG145" s="30">
        <f>HLOOKUP(AG$125,[1]Anx!$A$122:$CO$162,$AJ145)</f>
        <v>34</v>
      </c>
      <c r="AH145" s="30">
        <f>HLOOKUP(AH$125,[1]Anx!$A$122:$CO$162,$AJ145)</f>
        <v>34</v>
      </c>
      <c r="AI145" s="30">
        <f>HLOOKUP(AI$125,[1]Anx!$A$122:$CO$162,$AJ145)</f>
        <v>34</v>
      </c>
      <c r="AJ145" s="205">
        <v>34</v>
      </c>
      <c r="AL145"/>
      <c r="AM145" s="5"/>
    </row>
    <row r="146" spans="1:39" x14ac:dyDescent="0.25">
      <c r="D146" s="5"/>
      <c r="E146" s="18"/>
      <c r="F146" s="5"/>
      <c r="G146" s="18"/>
      <c r="AE146" t="s">
        <v>1026</v>
      </c>
      <c r="AF146" s="30">
        <f>AF144*AF145</f>
        <v>0</v>
      </c>
      <c r="AG146" s="30">
        <f t="shared" ref="AG146:AI146" si="66">AG144*AG145</f>
        <v>0</v>
      </c>
      <c r="AH146" s="30">
        <f t="shared" si="66"/>
        <v>0</v>
      </c>
      <c r="AI146" s="30">
        <f t="shared" si="66"/>
        <v>0</v>
      </c>
      <c r="AJ146" s="205"/>
      <c r="AL146"/>
      <c r="AM146" s="5"/>
    </row>
    <row r="147" spans="1:39" x14ac:dyDescent="0.25">
      <c r="D147" s="5"/>
      <c r="E147" s="18"/>
      <c r="F147" s="5"/>
      <c r="G147" s="18"/>
      <c r="AD147" s="2"/>
      <c r="AE147" s="40" t="s">
        <v>1049</v>
      </c>
      <c r="AF147" s="46">
        <f>AF128+AF131+AF134+AF137+AF140+AF143+AF146</f>
        <v>8520</v>
      </c>
      <c r="AG147" s="46">
        <f>AG128+AG131+AG134+AG137+AG140+AG143+AG146</f>
        <v>0</v>
      </c>
      <c r="AH147" s="46">
        <f>AH128+AH131+AH134+AH137+AH140+AH143+AH146</f>
        <v>0</v>
      </c>
      <c r="AI147" s="46">
        <f>AI128+AI131+AI134+AI137+AI140+AI143+AI146</f>
        <v>0</v>
      </c>
      <c r="AJ147" s="205"/>
      <c r="AL147"/>
      <c r="AM147" s="5"/>
    </row>
    <row r="148" spans="1:39" x14ac:dyDescent="0.25">
      <c r="A148" s="2" t="s">
        <v>1050</v>
      </c>
      <c r="D148" s="5"/>
      <c r="E148" s="18"/>
      <c r="F148" s="5"/>
      <c r="G148" s="18"/>
      <c r="O148" s="227"/>
      <c r="AL148"/>
      <c r="AM148" s="5"/>
    </row>
    <row r="149" spans="1:39" x14ac:dyDescent="0.25">
      <c r="A149" t="s">
        <v>1051</v>
      </c>
      <c r="B149" s="168">
        <f>B$154</f>
        <v>35.33</v>
      </c>
      <c r="C149" s="183">
        <f>HLOOKUP(Troupeau!J$17,[1]Anx!$A$170:$CN$220,'Calcul éco'!O149)</f>
        <v>107</v>
      </c>
      <c r="D149" s="5"/>
      <c r="G149" s="165"/>
      <c r="J149" s="168">
        <f t="shared" ref="J149:J154" si="67">B149*C149</f>
        <v>3780.31</v>
      </c>
      <c r="K149" s="168"/>
      <c r="L149" s="168"/>
      <c r="M149" s="168"/>
      <c r="N149" s="168"/>
      <c r="O149" s="227">
        <v>19</v>
      </c>
      <c r="AL149"/>
      <c r="AM149" s="5"/>
    </row>
    <row r="150" spans="1:39" x14ac:dyDescent="0.25">
      <c r="A150" t="s">
        <v>1052</v>
      </c>
      <c r="B150" s="166">
        <v>1</v>
      </c>
      <c r="C150" s="183">
        <f>HLOOKUP(Troupeau!J$17,[1]Anx!$A$170:$CN$220,'Calcul éco'!O150)</f>
        <v>1085</v>
      </c>
      <c r="D150" s="5"/>
      <c r="G150" s="165"/>
      <c r="J150" s="168">
        <f t="shared" si="67"/>
        <v>1085</v>
      </c>
      <c r="K150" s="168"/>
      <c r="L150" s="168"/>
      <c r="M150" s="168"/>
      <c r="N150" s="168"/>
      <c r="O150" s="227">
        <v>20</v>
      </c>
      <c r="AL150"/>
      <c r="AM150" s="5"/>
    </row>
    <row r="151" spans="1:39" x14ac:dyDescent="0.25">
      <c r="A151" t="s">
        <v>1053</v>
      </c>
      <c r="B151" s="166">
        <v>1</v>
      </c>
      <c r="C151" s="183">
        <f>HLOOKUP(Troupeau!J$17,[1]Anx!$A$170:$CN$220,'Calcul éco'!O151)</f>
        <v>2880</v>
      </c>
      <c r="D151" s="5"/>
      <c r="G151" s="165"/>
      <c r="J151" s="168">
        <f t="shared" si="67"/>
        <v>2880</v>
      </c>
      <c r="K151" s="168"/>
      <c r="L151" s="168"/>
      <c r="M151" s="168"/>
      <c r="N151" s="168"/>
      <c r="O151" s="227">
        <v>21</v>
      </c>
      <c r="Y151" t="s">
        <v>1054</v>
      </c>
    </row>
    <row r="152" spans="1:39" x14ac:dyDescent="0.25">
      <c r="A152" t="s">
        <v>1055</v>
      </c>
      <c r="B152" s="168">
        <f>+Scénario!K6</f>
        <v>0</v>
      </c>
      <c r="C152" s="183">
        <f>HLOOKUP(Troupeau!J$17,[1]Anx!$A$170:$CN$220,'Calcul éco'!O152)</f>
        <v>0</v>
      </c>
      <c r="D152" s="5"/>
      <c r="G152" s="165"/>
      <c r="J152" s="168">
        <f t="shared" si="67"/>
        <v>0</v>
      </c>
      <c r="K152" s="168"/>
      <c r="L152" s="168"/>
      <c r="M152" s="168"/>
      <c r="N152" s="168"/>
      <c r="O152" s="227">
        <v>22</v>
      </c>
      <c r="Z152" t="s">
        <v>1056</v>
      </c>
    </row>
    <row r="153" spans="1:39" x14ac:dyDescent="0.25">
      <c r="A153" s="5" t="s">
        <v>1057</v>
      </c>
      <c r="B153" s="166">
        <v>1</v>
      </c>
      <c r="C153" s="183">
        <f>HLOOKUP(Troupeau!J$17,[1]Anx!$A$170:$CN$220,'Calcul éco'!O153)</f>
        <v>10873</v>
      </c>
      <c r="D153" s="5"/>
      <c r="E153" s="5"/>
      <c r="G153" s="165"/>
      <c r="J153" s="168">
        <f t="shared" si="67"/>
        <v>10873</v>
      </c>
      <c r="K153" s="168"/>
      <c r="L153" s="168"/>
      <c r="M153" s="168"/>
      <c r="N153" s="168"/>
      <c r="O153" s="227">
        <v>23</v>
      </c>
      <c r="V153" s="14" t="s">
        <v>1058</v>
      </c>
      <c r="W153" s="168">
        <f>U$228</f>
        <v>21.58</v>
      </c>
      <c r="X153" t="s">
        <v>52</v>
      </c>
      <c r="Y153" s="168">
        <f>W153-Scénario!K28</f>
        <v>0.5</v>
      </c>
      <c r="Z153" s="168">
        <f>Y153-Y156</f>
        <v>0.45</v>
      </c>
    </row>
    <row r="154" spans="1:39" x14ac:dyDescent="0.25">
      <c r="A154" t="s">
        <v>1059</v>
      </c>
      <c r="B154" s="168">
        <f>Scénario!K48</f>
        <v>35.33</v>
      </c>
      <c r="C154" s="183">
        <f>HLOOKUP(Troupeau!J$17,[1]Anx!$A$170:$CN$220,'Calcul éco'!O154)</f>
        <v>142</v>
      </c>
      <c r="D154" s="5"/>
      <c r="G154" s="165"/>
      <c r="J154" s="168">
        <f t="shared" si="67"/>
        <v>5016.8599999999997</v>
      </c>
      <c r="K154" s="168"/>
      <c r="L154" s="168"/>
      <c r="M154" s="168"/>
      <c r="N154" s="168"/>
      <c r="O154" s="227">
        <v>24</v>
      </c>
      <c r="V154" s="14" t="s">
        <v>1060</v>
      </c>
      <c r="W154" s="168">
        <f>V$228</f>
        <v>4.42</v>
      </c>
      <c r="X154" t="s">
        <v>52</v>
      </c>
      <c r="Y154" s="168">
        <f>W154-Scénario!K29</f>
        <v>1</v>
      </c>
      <c r="Z154" s="168">
        <f>Y154</f>
        <v>1</v>
      </c>
    </row>
    <row r="155" spans="1:39" x14ac:dyDescent="0.25">
      <c r="A155" s="17" t="s">
        <v>1061</v>
      </c>
      <c r="B155" s="232">
        <f>B154</f>
        <v>35.33</v>
      </c>
      <c r="C155" s="183">
        <f>HLOOKUP(Troupeau!J$17,[1]Anx!$A$170:$CN$220,'Calcul éco'!O155)</f>
        <v>66</v>
      </c>
      <c r="D155" s="86"/>
      <c r="E155" s="17"/>
      <c r="G155" s="165"/>
      <c r="H155" s="17"/>
      <c r="I155" s="232">
        <f>B155*C155</f>
        <v>2331.7799999999997</v>
      </c>
      <c r="O155" s="227">
        <v>25</v>
      </c>
      <c r="V155" s="14" t="s">
        <v>1062</v>
      </c>
      <c r="W155" s="168">
        <f>W$228</f>
        <v>0</v>
      </c>
      <c r="X155" t="s">
        <v>52</v>
      </c>
      <c r="Y155" s="168">
        <f>W155-Scénario!K30</f>
        <v>0</v>
      </c>
      <c r="Z155" s="168">
        <f t="shared" ref="Z155:Z156" si="68">Y155</f>
        <v>0</v>
      </c>
    </row>
    <row r="156" spans="1:39" x14ac:dyDescent="0.25">
      <c r="C156" s="5"/>
      <c r="D156" s="5"/>
      <c r="O156" s="227"/>
      <c r="U156" t="s">
        <v>1063</v>
      </c>
      <c r="V156" s="14"/>
      <c r="W156" s="14"/>
      <c r="X156" s="14"/>
      <c r="Y156" s="168">
        <f>Y153*Scénario!K31/100</f>
        <v>0.05</v>
      </c>
      <c r="Z156" s="168">
        <f t="shared" si="68"/>
        <v>0.05</v>
      </c>
    </row>
    <row r="157" spans="1:39" x14ac:dyDescent="0.25">
      <c r="A157" s="5" t="s">
        <v>1064</v>
      </c>
      <c r="B157" s="5"/>
      <c r="C157" s="5"/>
      <c r="D157" s="5"/>
      <c r="E157" s="5"/>
      <c r="F157" s="18"/>
      <c r="G157" s="18"/>
      <c r="J157" s="5"/>
      <c r="K157" s="5"/>
      <c r="L157" s="5"/>
      <c r="M157" s="5"/>
      <c r="N157" s="5"/>
      <c r="V157" s="14"/>
      <c r="W157" s="14"/>
      <c r="X157" s="14"/>
    </row>
    <row r="158" spans="1:39" x14ac:dyDescent="0.25">
      <c r="A158" s="5" t="s">
        <v>1065</v>
      </c>
      <c r="B158" s="168">
        <f>Z153</f>
        <v>0.45</v>
      </c>
      <c r="C158" s="183">
        <f>HLOOKUP(Scénario!$K$11,[1]Eco!$A$91:$C$94,'Calcul éco'!O158)</f>
        <v>36.200000000000003</v>
      </c>
      <c r="E158" s="5"/>
      <c r="F158" s="5"/>
      <c r="G158" s="18"/>
      <c r="H158" s="5"/>
      <c r="I158" s="5"/>
      <c r="J158" s="168">
        <f>B158*C158</f>
        <v>16.290000000000003</v>
      </c>
      <c r="K158" s="168"/>
      <c r="L158" s="168"/>
      <c r="M158" s="168"/>
      <c r="N158" s="168"/>
      <c r="O158" s="227">
        <v>2</v>
      </c>
    </row>
    <row r="159" spans="1:39" x14ac:dyDescent="0.25">
      <c r="A159" s="5" t="s">
        <v>1066</v>
      </c>
      <c r="B159" s="168">
        <f t="shared" ref="B159:B161" si="69">Z154</f>
        <v>1</v>
      </c>
      <c r="C159" s="183">
        <f>HLOOKUP(Scénario!$K$11,[1]Eco!$A$91:$C$94,'Calcul éco'!O159)</f>
        <v>30</v>
      </c>
      <c r="D159" s="5"/>
      <c r="E159" s="5"/>
      <c r="F159" s="5"/>
      <c r="G159" s="18"/>
      <c r="H159" s="5"/>
      <c r="I159" s="5"/>
      <c r="J159" s="168">
        <f>B159*C159</f>
        <v>30</v>
      </c>
      <c r="K159" s="168"/>
      <c r="L159" s="168"/>
      <c r="M159" s="168"/>
      <c r="N159" s="168"/>
      <c r="O159" s="227">
        <v>3</v>
      </c>
    </row>
    <row r="160" spans="1:39" x14ac:dyDescent="0.25">
      <c r="A160" s="5" t="s">
        <v>1067</v>
      </c>
      <c r="B160" s="168">
        <f t="shared" si="69"/>
        <v>0</v>
      </c>
      <c r="C160" s="183">
        <f>HLOOKUP(Scénario!$K$11,[1]Eco!$A$91:$C$94,'Calcul éco'!O160)</f>
        <v>30</v>
      </c>
      <c r="D160" s="5"/>
      <c r="E160" s="5"/>
      <c r="F160" s="5"/>
      <c r="G160" s="18"/>
      <c r="H160" s="5"/>
      <c r="I160" s="5"/>
      <c r="J160" s="168">
        <f>B160*C160</f>
        <v>0</v>
      </c>
      <c r="K160" s="168"/>
      <c r="L160" s="168"/>
      <c r="M160" s="168"/>
      <c r="N160" s="168"/>
      <c r="O160" s="227">
        <v>3</v>
      </c>
      <c r="X160" s="5"/>
      <c r="Y160" s="5"/>
    </row>
    <row r="161" spans="1:41" x14ac:dyDescent="0.25">
      <c r="A161" s="5" t="s">
        <v>1068</v>
      </c>
      <c r="B161" s="168">
        <f t="shared" si="69"/>
        <v>0.05</v>
      </c>
      <c r="C161" s="183">
        <f>HLOOKUP(Scénario!$K$11,[1]Eco!$A$91:$C$94,'Calcul éco'!O161)</f>
        <v>155.4</v>
      </c>
      <c r="D161" s="5"/>
      <c r="E161" s="5"/>
      <c r="F161" s="5"/>
      <c r="G161" s="18"/>
      <c r="H161" s="5"/>
      <c r="I161" s="5"/>
      <c r="J161" s="168">
        <f>B161*C161</f>
        <v>7.7700000000000005</v>
      </c>
      <c r="K161" s="168"/>
      <c r="L161" s="168"/>
      <c r="M161" s="168"/>
      <c r="N161" s="168"/>
      <c r="O161" s="227">
        <v>4</v>
      </c>
      <c r="R161" s="2" t="s">
        <v>627</v>
      </c>
      <c r="X161" s="166"/>
      <c r="Y161" s="166"/>
    </row>
    <row r="162" spans="1:41" x14ac:dyDescent="0.25">
      <c r="C162" s="5"/>
      <c r="D162" s="5"/>
      <c r="E162" s="5"/>
      <c r="F162" s="5"/>
      <c r="G162" s="18"/>
      <c r="H162" s="5"/>
      <c r="I162" s="5"/>
      <c r="J162" s="5"/>
      <c r="K162" s="5"/>
      <c r="L162" s="5"/>
      <c r="M162" s="5"/>
      <c r="N162" s="5"/>
      <c r="R162" s="33" t="str">
        <f>'Alim -Surf'!Q5</f>
        <v>n°</v>
      </c>
      <c r="S162" s="33"/>
      <c r="T162" s="33"/>
      <c r="V162" s="165"/>
      <c r="W162" s="165"/>
      <c r="X162" s="166"/>
      <c r="Y162" s="166"/>
    </row>
    <row r="163" spans="1:41" x14ac:dyDescent="0.25">
      <c r="E163" s="5"/>
      <c r="F163" s="18"/>
      <c r="G163" s="5"/>
      <c r="H163" s="5"/>
      <c r="I163" s="5"/>
      <c r="J163" s="5"/>
      <c r="K163" s="5"/>
      <c r="L163" s="5"/>
      <c r="M163" s="5"/>
      <c r="N163" s="5"/>
      <c r="R163" s="33" t="str">
        <f>'Alim -Surf'!Q6</f>
        <v>MEP</v>
      </c>
      <c r="S163" s="33" t="s">
        <v>37</v>
      </c>
      <c r="T163" s="33" t="s">
        <v>628</v>
      </c>
      <c r="U163" t="s">
        <v>629</v>
      </c>
      <c r="V163" s="165" t="s">
        <v>630</v>
      </c>
      <c r="W163" s="165" t="s">
        <v>631</v>
      </c>
      <c r="X163" s="166" t="s">
        <v>632</v>
      </c>
      <c r="Y163" s="166" t="s">
        <v>633</v>
      </c>
      <c r="Z163" s="166" t="s">
        <v>634</v>
      </c>
      <c r="AA163" s="166" t="s">
        <v>635</v>
      </c>
      <c r="AB163" s="166" t="s">
        <v>636</v>
      </c>
      <c r="AC163" s="166" t="s">
        <v>637</v>
      </c>
      <c r="AD163" s="166" t="s">
        <v>638</v>
      </c>
      <c r="AE163" s="166" t="s">
        <v>639</v>
      </c>
      <c r="AF163" s="166" t="s">
        <v>640</v>
      </c>
      <c r="AG163" s="166" t="s">
        <v>641</v>
      </c>
      <c r="AH163" s="166" t="s">
        <v>642</v>
      </c>
      <c r="AI163" s="166" t="s">
        <v>643</v>
      </c>
      <c r="AJ163" s="166" t="s">
        <v>644</v>
      </c>
    </row>
    <row r="164" spans="1:41" x14ac:dyDescent="0.25">
      <c r="E164" s="5"/>
      <c r="F164" s="5"/>
      <c r="G164" s="5"/>
      <c r="H164" s="5"/>
      <c r="I164" s="5"/>
      <c r="J164" s="5"/>
      <c r="K164" s="5"/>
      <c r="L164" s="5"/>
      <c r="M164" s="5"/>
      <c r="N164" s="5"/>
      <c r="Q164">
        <v>1</v>
      </c>
      <c r="R164" s="168">
        <f>'Alim -Surf'!Q7</f>
        <v>88</v>
      </c>
      <c r="S164" s="168">
        <f>'Alim -Surf'!R7</f>
        <v>5</v>
      </c>
      <c r="T164" s="168">
        <f>VLOOKUP($R164,[1]MEP!$A$4:$M$300,13)</f>
        <v>1</v>
      </c>
      <c r="U164" s="168">
        <f>IF($T164&gt;0,$S164,0)</f>
        <v>5</v>
      </c>
      <c r="V164" s="168">
        <f>IF($T164&gt;1,$S164,0)</f>
        <v>0</v>
      </c>
      <c r="W164" s="168">
        <f>IF($T164&gt;2,$S164,0)</f>
        <v>0</v>
      </c>
      <c r="X164" s="168">
        <f>VLOOKUP(R164,[1]MEP!$A$4:$Q$300,14)</f>
        <v>0</v>
      </c>
      <c r="Y164" s="168">
        <f>VLOOKUP(R164,[1]MEP!$A$4:$R$300,15)</f>
        <v>0</v>
      </c>
      <c r="Z164" s="168">
        <f>VLOOKUP(R164,[1]MEP!$A$4:$R$300,16)</f>
        <v>1</v>
      </c>
      <c r="AA164" s="168">
        <f t="shared" ref="AA164:AA227" si="70">S164*X164</f>
        <v>0</v>
      </c>
      <c r="AB164" s="168">
        <f t="shared" ref="AB164:AB227" si="71">S164*Y164</f>
        <v>0</v>
      </c>
      <c r="AC164" s="168">
        <f>Z164*S164</f>
        <v>5</v>
      </c>
      <c r="AD164" s="168">
        <f>S164-AC164-AA164</f>
        <v>0</v>
      </c>
      <c r="AE164" s="168">
        <f>IF(T164=0,AC164,0)</f>
        <v>0</v>
      </c>
      <c r="AF164" s="168">
        <f>IF(T164=1,AC164,0)</f>
        <v>5</v>
      </c>
      <c r="AG164" s="168">
        <f>IF(T164&gt;1,AC164,0)</f>
        <v>0</v>
      </c>
      <c r="AH164" s="168">
        <f>IF(T164=0,AD164,0)</f>
        <v>0</v>
      </c>
      <c r="AI164" s="168">
        <f>IF(T164=1,AD164,0)</f>
        <v>0</v>
      </c>
      <c r="AJ164" s="168">
        <f>IF(T164&gt;1,AD164,0)</f>
        <v>0</v>
      </c>
      <c r="AO164" s="165" t="s">
        <v>52</v>
      </c>
    </row>
    <row r="165" spans="1:41" x14ac:dyDescent="0.25">
      <c r="A165" s="5" t="s">
        <v>1069</v>
      </c>
      <c r="B165" s="5"/>
      <c r="C165" s="190" t="s">
        <v>1070</v>
      </c>
      <c r="D165" s="5"/>
      <c r="E165" s="5"/>
      <c r="F165" s="5"/>
      <c r="G165" s="18"/>
      <c r="H165" s="5"/>
      <c r="I165" s="5"/>
      <c r="J165" s="5"/>
      <c r="K165" s="5"/>
      <c r="L165" s="5"/>
      <c r="M165" s="5"/>
      <c r="N165" s="5"/>
      <c r="Q165">
        <v>2</v>
      </c>
      <c r="R165" s="168">
        <f>'Alim -Surf'!Q8</f>
        <v>78</v>
      </c>
      <c r="S165" s="168">
        <f>'Alim -Surf'!R8</f>
        <v>5.66</v>
      </c>
      <c r="T165" s="168">
        <f>VLOOKUP(R165,[1]MEP!$A$4:$M$300,13)</f>
        <v>1</v>
      </c>
      <c r="U165" s="168">
        <f t="shared" ref="U165:U227" si="72">IF($T165&gt;0,$S165,0)</f>
        <v>5.66</v>
      </c>
      <c r="V165" s="168">
        <f t="shared" ref="V165:V227" si="73">IF($T165&gt;1,$S165,0)</f>
        <v>0</v>
      </c>
      <c r="W165" s="168">
        <f t="shared" ref="W165:W227" si="74">IF($T165&gt;2,$S165,0)</f>
        <v>0</v>
      </c>
      <c r="X165" s="168">
        <f>VLOOKUP(R165,[1]MEP!$A$4:$Q$300,14)</f>
        <v>0</v>
      </c>
      <c r="Y165" s="168">
        <f>VLOOKUP(R165,[1]MEP!$A$4:$R$300,15)</f>
        <v>0</v>
      </c>
      <c r="Z165" s="168">
        <f>VLOOKUP(R165,[1]MEP!$A$4:$R$300,16)</f>
        <v>0</v>
      </c>
      <c r="AA165" s="168">
        <f t="shared" si="70"/>
        <v>0</v>
      </c>
      <c r="AB165" s="168">
        <f t="shared" si="71"/>
        <v>0</v>
      </c>
      <c r="AC165" s="168">
        <f t="shared" ref="AC165:AC227" si="75">Z165*S165</f>
        <v>0</v>
      </c>
      <c r="AD165" s="168">
        <f t="shared" ref="AD165:AD227" si="76">S165-AC165-AA165</f>
        <v>5.66</v>
      </c>
      <c r="AE165" s="168">
        <f t="shared" ref="AE165:AE227" si="77">IF(T165=0,AC165,0)</f>
        <v>0</v>
      </c>
      <c r="AF165" s="168">
        <f t="shared" ref="AF165:AF227" si="78">IF(T165=1,AC165,0)</f>
        <v>0</v>
      </c>
      <c r="AG165" s="168">
        <f t="shared" ref="AG165:AG227" si="79">IF(T165&gt;1,AC165,0)</f>
        <v>0</v>
      </c>
      <c r="AH165" s="168">
        <f t="shared" ref="AH165:AH227" si="80">IF(T165=0,AD165,0)</f>
        <v>0</v>
      </c>
      <c r="AI165" s="168">
        <f t="shared" ref="AI165:AI227" si="81">IF(T165=1,AD165,0)</f>
        <v>5.66</v>
      </c>
      <c r="AJ165" s="168">
        <f t="shared" ref="AJ165:AJ227" si="82">IF(T165&gt;1,AD165,0)</f>
        <v>0</v>
      </c>
      <c r="AN165" s="32" t="s">
        <v>645</v>
      </c>
      <c r="AO165" s="168">
        <f>SUM(AD164:AD183)</f>
        <v>27.63</v>
      </c>
    </row>
    <row r="166" spans="1:41" x14ac:dyDescent="0.25">
      <c r="A166" s="5" t="s">
        <v>1419</v>
      </c>
      <c r="B166" s="30">
        <f>T246*[1]Eco!$B$108*[1]Eco!$B$109</f>
        <v>0</v>
      </c>
      <c r="C166" s="183">
        <f>[1]Eco!$B$106</f>
        <v>10.63</v>
      </c>
      <c r="D166" s="5"/>
      <c r="E166" s="5"/>
      <c r="F166" s="5"/>
      <c r="G166" s="5"/>
      <c r="H166" s="5"/>
      <c r="I166" s="5"/>
      <c r="J166" s="168">
        <f>B166*C166</f>
        <v>0</v>
      </c>
      <c r="K166" s="168"/>
      <c r="L166" s="168"/>
      <c r="M166" s="168"/>
      <c r="N166" s="168"/>
      <c r="Q166">
        <v>3</v>
      </c>
      <c r="R166" s="168">
        <f>'Alim -Surf'!Q9</f>
        <v>13</v>
      </c>
      <c r="S166" s="168">
        <f>'Alim -Surf'!R9</f>
        <v>4.42</v>
      </c>
      <c r="T166" s="168">
        <f>VLOOKUP(R166,[1]MEP!$A$4:$M$300,13)</f>
        <v>2</v>
      </c>
      <c r="U166" s="168">
        <f t="shared" si="72"/>
        <v>4.42</v>
      </c>
      <c r="V166" s="168">
        <f t="shared" si="73"/>
        <v>4.42</v>
      </c>
      <c r="W166" s="168">
        <f t="shared" si="74"/>
        <v>0</v>
      </c>
      <c r="X166" s="168">
        <f>VLOOKUP(R166,[1]MEP!$A$4:$Q$300,14)</f>
        <v>0</v>
      </c>
      <c r="Y166" s="168">
        <f>VLOOKUP(R166,[1]MEP!$A$4:$R$300,15)</f>
        <v>0</v>
      </c>
      <c r="Z166" s="168">
        <f>VLOOKUP(R166,[1]MEP!$A$4:$R$300,16)</f>
        <v>0</v>
      </c>
      <c r="AA166" s="168">
        <f t="shared" si="70"/>
        <v>0</v>
      </c>
      <c r="AB166" s="168">
        <f t="shared" si="71"/>
        <v>0</v>
      </c>
      <c r="AC166" s="168">
        <f t="shared" si="75"/>
        <v>0</v>
      </c>
      <c r="AD166" s="168">
        <f t="shared" si="76"/>
        <v>4.42</v>
      </c>
      <c r="AE166" s="168">
        <f t="shared" si="77"/>
        <v>0</v>
      </c>
      <c r="AF166" s="168">
        <f t="shared" si="78"/>
        <v>0</v>
      </c>
      <c r="AG166" s="168">
        <f t="shared" si="79"/>
        <v>0</v>
      </c>
      <c r="AH166" s="168">
        <f t="shared" si="80"/>
        <v>0</v>
      </c>
      <c r="AI166" s="168">
        <f t="shared" si="81"/>
        <v>0</v>
      </c>
      <c r="AJ166" s="168">
        <f t="shared" si="82"/>
        <v>4.42</v>
      </c>
      <c r="AN166" s="32" t="s">
        <v>646</v>
      </c>
      <c r="AO166" s="168">
        <f>SUM(AC164:AC183)</f>
        <v>5</v>
      </c>
    </row>
    <row r="167" spans="1:41" x14ac:dyDescent="0.25">
      <c r="A167" s="5" t="s">
        <v>1420</v>
      </c>
      <c r="B167" s="30">
        <f>IF(Scénario!K129=1,SUM(Travail!F69:F75)+Travail!F81+Travail!F83+Travail!F84,0)</f>
        <v>0</v>
      </c>
      <c r="C167" s="183">
        <f>[1]Eco!$B$106</f>
        <v>10.63</v>
      </c>
      <c r="D167" s="5"/>
      <c r="E167" s="5"/>
      <c r="F167" s="5"/>
      <c r="G167" s="18"/>
      <c r="H167" s="5"/>
      <c r="I167" s="5"/>
      <c r="J167" s="168">
        <f>B167*C167</f>
        <v>0</v>
      </c>
      <c r="K167" s="168"/>
      <c r="L167" s="168"/>
      <c r="M167" s="168"/>
      <c r="N167" s="168"/>
      <c r="Q167">
        <v>4</v>
      </c>
      <c r="R167" s="168">
        <f>'Alim -Surf'!Q10</f>
        <v>187</v>
      </c>
      <c r="S167" s="168">
        <f>'Alim -Surf'!R10</f>
        <v>6</v>
      </c>
      <c r="T167" s="168">
        <f>VLOOKUP(R167,[1]MEP!$A$4:$M$300,13)</f>
        <v>1</v>
      </c>
      <c r="U167" s="168">
        <f t="shared" si="72"/>
        <v>6</v>
      </c>
      <c r="V167" s="168">
        <f t="shared" si="73"/>
        <v>0</v>
      </c>
      <c r="W167" s="168">
        <f t="shared" si="74"/>
        <v>0</v>
      </c>
      <c r="X167" s="168">
        <f>VLOOKUP(R167,[1]MEP!$A$4:$Q$300,14)</f>
        <v>0</v>
      </c>
      <c r="Y167" s="168">
        <f>VLOOKUP(R167,[1]MEP!$A$4:$R$300,15)</f>
        <v>0</v>
      </c>
      <c r="Z167" s="168">
        <f>VLOOKUP(R167,[1]MEP!$A$4:$R$300,16)</f>
        <v>0</v>
      </c>
      <c r="AA167" s="168">
        <f t="shared" si="70"/>
        <v>0</v>
      </c>
      <c r="AB167" s="168">
        <f t="shared" si="71"/>
        <v>0</v>
      </c>
      <c r="AC167" s="168">
        <f t="shared" si="75"/>
        <v>0</v>
      </c>
      <c r="AD167" s="168">
        <f t="shared" si="76"/>
        <v>6</v>
      </c>
      <c r="AE167" s="168">
        <f t="shared" si="77"/>
        <v>0</v>
      </c>
      <c r="AF167" s="168">
        <f t="shared" si="78"/>
        <v>0</v>
      </c>
      <c r="AG167" s="168">
        <f t="shared" si="79"/>
        <v>0</v>
      </c>
      <c r="AH167" s="168">
        <f t="shared" si="80"/>
        <v>0</v>
      </c>
      <c r="AI167" s="168">
        <f t="shared" si="81"/>
        <v>6</v>
      </c>
      <c r="AJ167" s="168">
        <f t="shared" si="82"/>
        <v>0</v>
      </c>
      <c r="AN167" s="32" t="s">
        <v>647</v>
      </c>
      <c r="AO167" s="168">
        <f>SUM(AA164:AA183)</f>
        <v>0</v>
      </c>
    </row>
    <row r="168" spans="1:41" x14ac:dyDescent="0.25">
      <c r="A168" s="32"/>
      <c r="B168" s="5"/>
      <c r="C168" s="5"/>
      <c r="D168" s="5"/>
      <c r="E168" s="5"/>
      <c r="F168" s="18"/>
      <c r="G168" s="18"/>
      <c r="H168" s="5"/>
      <c r="I168" s="5"/>
      <c r="J168" s="5"/>
      <c r="K168" s="5"/>
      <c r="L168" s="5"/>
      <c r="M168" s="5"/>
      <c r="N168" s="5"/>
      <c r="Q168">
        <v>5</v>
      </c>
      <c r="R168" s="168">
        <f>'Alim -Surf'!Q11</f>
        <v>185</v>
      </c>
      <c r="S168" s="168">
        <f>'Alim -Surf'!R11</f>
        <v>9.11</v>
      </c>
      <c r="T168" s="168">
        <f>VLOOKUP(R168,[1]MEP!$A$4:$M$300,13)</f>
        <v>0</v>
      </c>
      <c r="U168" s="168">
        <f t="shared" si="72"/>
        <v>0</v>
      </c>
      <c r="V168" s="168">
        <f t="shared" si="73"/>
        <v>0</v>
      </c>
      <c r="W168" s="168">
        <f t="shared" si="74"/>
        <v>0</v>
      </c>
      <c r="X168" s="168">
        <f>VLOOKUP(R168,[1]MEP!$A$4:$Q$300,14)</f>
        <v>0</v>
      </c>
      <c r="Y168" s="168">
        <f>VLOOKUP(R168,[1]MEP!$A$4:$R$300,15)</f>
        <v>0</v>
      </c>
      <c r="Z168" s="168">
        <f>VLOOKUP(R168,[1]MEP!$A$4:$R$300,16)</f>
        <v>0</v>
      </c>
      <c r="AA168" s="168">
        <f t="shared" si="70"/>
        <v>0</v>
      </c>
      <c r="AB168" s="168">
        <f t="shared" si="71"/>
        <v>0</v>
      </c>
      <c r="AC168" s="168">
        <f t="shared" si="75"/>
        <v>0</v>
      </c>
      <c r="AD168" s="168">
        <f t="shared" si="76"/>
        <v>9.11</v>
      </c>
      <c r="AE168" s="168">
        <f t="shared" si="77"/>
        <v>0</v>
      </c>
      <c r="AF168" s="168">
        <f t="shared" si="78"/>
        <v>0</v>
      </c>
      <c r="AG168" s="168">
        <f t="shared" si="79"/>
        <v>0</v>
      </c>
      <c r="AH168" s="168">
        <f t="shared" si="80"/>
        <v>9.11</v>
      </c>
      <c r="AI168" s="168">
        <f t="shared" si="81"/>
        <v>0</v>
      </c>
      <c r="AJ168" s="168">
        <f t="shared" si="82"/>
        <v>0</v>
      </c>
      <c r="AN168" s="32" t="s">
        <v>648</v>
      </c>
      <c r="AO168" s="168">
        <f>SUM(AD186:AD205)</f>
        <v>0</v>
      </c>
    </row>
    <row r="169" spans="1:41" x14ac:dyDescent="0.25">
      <c r="E169" s="5"/>
      <c r="F169" s="18"/>
      <c r="G169" s="5"/>
      <c r="H169" s="5"/>
      <c r="I169" s="5"/>
      <c r="J169" s="5"/>
      <c r="K169" s="5"/>
      <c r="L169" s="5"/>
      <c r="M169" s="5"/>
      <c r="N169" s="5"/>
      <c r="Q169">
        <v>6</v>
      </c>
      <c r="R169" s="168">
        <f>'Alim -Surf'!Q12</f>
        <v>14</v>
      </c>
      <c r="S169" s="168">
        <f>'Alim -Surf'!R12</f>
        <v>1.94</v>
      </c>
      <c r="T169" s="168">
        <f>VLOOKUP(R169,[1]MEP!$A$4:$M$300,13)</f>
        <v>0</v>
      </c>
      <c r="U169" s="168">
        <f t="shared" si="72"/>
        <v>0</v>
      </c>
      <c r="V169" s="168">
        <f t="shared" si="73"/>
        <v>0</v>
      </c>
      <c r="W169" s="168">
        <f t="shared" si="74"/>
        <v>0</v>
      </c>
      <c r="X169" s="168">
        <f>VLOOKUP(R169,[1]MEP!$A$4:$Q$300,14)</f>
        <v>0</v>
      </c>
      <c r="Y169" s="168">
        <f>VLOOKUP(R169,[1]MEP!$A$4:$R$300,15)</f>
        <v>0</v>
      </c>
      <c r="Z169" s="168">
        <f>VLOOKUP(R169,[1]MEP!$A$4:$R$300,16)</f>
        <v>0</v>
      </c>
      <c r="AA169" s="168">
        <f t="shared" si="70"/>
        <v>0</v>
      </c>
      <c r="AB169" s="168">
        <f t="shared" si="71"/>
        <v>0</v>
      </c>
      <c r="AC169" s="168">
        <f t="shared" si="75"/>
        <v>0</v>
      </c>
      <c r="AD169" s="168">
        <f t="shared" si="76"/>
        <v>1.94</v>
      </c>
      <c r="AE169" s="168">
        <f t="shared" si="77"/>
        <v>0</v>
      </c>
      <c r="AF169" s="168">
        <f t="shared" si="78"/>
        <v>0</v>
      </c>
      <c r="AG169" s="168">
        <f t="shared" si="79"/>
        <v>0</v>
      </c>
      <c r="AH169" s="168">
        <f t="shared" si="80"/>
        <v>1.94</v>
      </c>
      <c r="AI169" s="168">
        <f t="shared" si="81"/>
        <v>0</v>
      </c>
      <c r="AJ169" s="168">
        <f t="shared" si="82"/>
        <v>0</v>
      </c>
      <c r="AN169" s="32" t="s">
        <v>649</v>
      </c>
      <c r="AO169" s="168">
        <f>SUM(AC186:AC205)</f>
        <v>0</v>
      </c>
    </row>
    <row r="170" spans="1:41" x14ac:dyDescent="0.25">
      <c r="A170" s="218" t="s">
        <v>1071</v>
      </c>
      <c r="B170" s="218"/>
      <c r="C170" s="218"/>
      <c r="D170" s="218"/>
      <c r="E170" s="218"/>
      <c r="F170" s="231"/>
      <c r="G170" s="231"/>
      <c r="H170" s="231"/>
      <c r="I170" s="231"/>
      <c r="J170" s="62">
        <f>SUM(J149:J169)</f>
        <v>23689.23</v>
      </c>
      <c r="K170" s="62"/>
      <c r="L170" s="62"/>
      <c r="M170" s="62"/>
      <c r="N170" s="62"/>
      <c r="Q170">
        <v>7</v>
      </c>
      <c r="R170" s="168">
        <f>'Alim -Surf'!Q13</f>
        <v>187</v>
      </c>
      <c r="S170" s="168">
        <f>'Alim -Surf'!R13</f>
        <v>0.5</v>
      </c>
      <c r="T170" s="168">
        <f>VLOOKUP(R170,[1]MEP!$A$4:$M$300,13)</f>
        <v>1</v>
      </c>
      <c r="U170" s="168">
        <f t="shared" si="72"/>
        <v>0.5</v>
      </c>
      <c r="V170" s="168">
        <f t="shared" si="73"/>
        <v>0</v>
      </c>
      <c r="W170" s="168">
        <f t="shared" si="74"/>
        <v>0</v>
      </c>
      <c r="X170" s="168">
        <f>VLOOKUP(R170,[1]MEP!$A$4:$Q$300,14)</f>
        <v>0</v>
      </c>
      <c r="Y170" s="168">
        <f>VLOOKUP(R170,[1]MEP!$A$4:$R$300,15)</f>
        <v>0</v>
      </c>
      <c r="Z170" s="168">
        <f>VLOOKUP(R170,[1]MEP!$A$4:$R$300,16)</f>
        <v>0</v>
      </c>
      <c r="AA170" s="168">
        <f t="shared" si="70"/>
        <v>0</v>
      </c>
      <c r="AB170" s="168">
        <f t="shared" si="71"/>
        <v>0</v>
      </c>
      <c r="AC170" s="168">
        <f t="shared" si="75"/>
        <v>0</v>
      </c>
      <c r="AD170" s="168">
        <f t="shared" si="76"/>
        <v>0.5</v>
      </c>
      <c r="AE170" s="168">
        <f t="shared" si="77"/>
        <v>0</v>
      </c>
      <c r="AF170" s="168">
        <f t="shared" si="78"/>
        <v>0</v>
      </c>
      <c r="AG170" s="168">
        <f t="shared" si="79"/>
        <v>0</v>
      </c>
      <c r="AH170" s="168">
        <f t="shared" si="80"/>
        <v>0</v>
      </c>
      <c r="AI170" s="168">
        <f t="shared" si="81"/>
        <v>0.5</v>
      </c>
      <c r="AJ170" s="168">
        <f t="shared" si="82"/>
        <v>0</v>
      </c>
      <c r="AN170" s="32" t="s">
        <v>650</v>
      </c>
      <c r="AO170" s="168">
        <f>SUM(AA186:AA205)</f>
        <v>0</v>
      </c>
    </row>
    <row r="171" spans="1:41" x14ac:dyDescent="0.25">
      <c r="F171" s="4"/>
      <c r="G171" s="4"/>
      <c r="Q171">
        <v>8</v>
      </c>
      <c r="R171" s="168">
        <f>'Alim -Surf'!Q14</f>
        <v>0</v>
      </c>
      <c r="S171" s="168">
        <f>'Alim -Surf'!R14</f>
        <v>0</v>
      </c>
      <c r="T171" s="168">
        <f>VLOOKUP(R171,[1]MEP!$A$4:$M$300,13)</f>
        <v>0</v>
      </c>
      <c r="U171" s="168">
        <f t="shared" si="72"/>
        <v>0</v>
      </c>
      <c r="V171" s="168">
        <f t="shared" si="73"/>
        <v>0</v>
      </c>
      <c r="W171" s="168">
        <f t="shared" si="74"/>
        <v>0</v>
      </c>
      <c r="X171" s="168">
        <f>VLOOKUP(R171,[1]MEP!$A$4:$Q$300,14)</f>
        <v>0</v>
      </c>
      <c r="Y171" s="168">
        <f>VLOOKUP(R171,[1]MEP!$A$4:$R$300,15)</f>
        <v>0</v>
      </c>
      <c r="Z171" s="168">
        <f>VLOOKUP(R171,[1]MEP!$A$4:$R$300,16)</f>
        <v>0</v>
      </c>
      <c r="AA171" s="168">
        <f t="shared" si="70"/>
        <v>0</v>
      </c>
      <c r="AB171" s="168">
        <f t="shared" si="71"/>
        <v>0</v>
      </c>
      <c r="AC171" s="168">
        <f t="shared" si="75"/>
        <v>0</v>
      </c>
      <c r="AD171" s="168">
        <f t="shared" si="76"/>
        <v>0</v>
      </c>
      <c r="AE171" s="168">
        <f t="shared" si="77"/>
        <v>0</v>
      </c>
      <c r="AF171" s="168">
        <f t="shared" si="78"/>
        <v>0</v>
      </c>
      <c r="AG171" s="168">
        <f t="shared" si="79"/>
        <v>0</v>
      </c>
      <c r="AH171" s="168">
        <f t="shared" si="80"/>
        <v>0</v>
      </c>
      <c r="AI171" s="168">
        <f t="shared" si="81"/>
        <v>0</v>
      </c>
      <c r="AJ171" s="168">
        <f t="shared" si="82"/>
        <v>0</v>
      </c>
      <c r="AN171" s="32" t="s">
        <v>651</v>
      </c>
      <c r="AO171" s="168">
        <f>'Alim -Surf'!O51</f>
        <v>0</v>
      </c>
    </row>
    <row r="172" spans="1:41" x14ac:dyDescent="0.25">
      <c r="A172" s="23"/>
      <c r="B172" s="5"/>
      <c r="C172" s="5"/>
      <c r="D172" s="5"/>
      <c r="E172" s="5"/>
      <c r="F172" s="18"/>
      <c r="G172" s="18"/>
      <c r="Q172">
        <v>9</v>
      </c>
      <c r="R172" s="168">
        <f>'Alim -Surf'!Q15</f>
        <v>0</v>
      </c>
      <c r="S172" s="168">
        <f>'Alim -Surf'!R15</f>
        <v>0</v>
      </c>
      <c r="T172" s="168">
        <f>VLOOKUP(R172,[1]MEP!$A$4:$M$300,13)</f>
        <v>0</v>
      </c>
      <c r="U172" s="168">
        <f t="shared" si="72"/>
        <v>0</v>
      </c>
      <c r="V172" s="168">
        <f t="shared" si="73"/>
        <v>0</v>
      </c>
      <c r="W172" s="168">
        <f t="shared" si="74"/>
        <v>0</v>
      </c>
      <c r="X172" s="168">
        <f>VLOOKUP(R172,[1]MEP!$A$4:$Q$300,14)</f>
        <v>0</v>
      </c>
      <c r="Y172" s="168">
        <f>VLOOKUP(R172,[1]MEP!$A$4:$R$300,15)</f>
        <v>0</v>
      </c>
      <c r="Z172" s="168">
        <f>VLOOKUP(R172,[1]MEP!$A$4:$R$300,16)</f>
        <v>0</v>
      </c>
      <c r="AA172" s="168">
        <f t="shared" si="70"/>
        <v>0</v>
      </c>
      <c r="AB172" s="168">
        <f t="shared" si="71"/>
        <v>0</v>
      </c>
      <c r="AC172" s="168">
        <f t="shared" si="75"/>
        <v>0</v>
      </c>
      <c r="AD172" s="168">
        <f t="shared" si="76"/>
        <v>0</v>
      </c>
      <c r="AE172" s="168">
        <f t="shared" si="77"/>
        <v>0</v>
      </c>
      <c r="AF172" s="168">
        <f t="shared" si="78"/>
        <v>0</v>
      </c>
      <c r="AG172" s="168">
        <f t="shared" si="79"/>
        <v>0</v>
      </c>
      <c r="AH172" s="168">
        <f t="shared" si="80"/>
        <v>0</v>
      </c>
      <c r="AI172" s="168">
        <f t="shared" si="81"/>
        <v>0</v>
      </c>
      <c r="AJ172" s="168">
        <f t="shared" si="82"/>
        <v>0</v>
      </c>
    </row>
    <row r="173" spans="1:41" x14ac:dyDescent="0.25">
      <c r="C173" s="5"/>
      <c r="D173" s="5"/>
      <c r="E173" s="5"/>
      <c r="F173" s="18"/>
      <c r="G173" s="18"/>
      <c r="Q173">
        <v>10</v>
      </c>
      <c r="R173" s="168">
        <f>'Alim -Surf'!Q16</f>
        <v>0</v>
      </c>
      <c r="S173" s="168">
        <f>'Alim -Surf'!R16</f>
        <v>0</v>
      </c>
      <c r="T173" s="168">
        <f>VLOOKUP(R173,[1]MEP!$A$4:$M$300,13)</f>
        <v>0</v>
      </c>
      <c r="U173" s="168">
        <f t="shared" si="72"/>
        <v>0</v>
      </c>
      <c r="V173" s="168">
        <f t="shared" si="73"/>
        <v>0</v>
      </c>
      <c r="W173" s="168">
        <f t="shared" si="74"/>
        <v>0</v>
      </c>
      <c r="X173" s="168">
        <f>VLOOKUP(R173,[1]MEP!$A$4:$Q$300,14)</f>
        <v>0</v>
      </c>
      <c r="Y173" s="168">
        <f>VLOOKUP(R173,[1]MEP!$A$4:$R$300,15)</f>
        <v>0</v>
      </c>
      <c r="Z173" s="168">
        <f>VLOOKUP(R173,[1]MEP!$A$4:$R$300,16)</f>
        <v>0</v>
      </c>
      <c r="AA173" s="168">
        <f t="shared" si="70"/>
        <v>0</v>
      </c>
      <c r="AB173" s="168">
        <f t="shared" si="71"/>
        <v>0</v>
      </c>
      <c r="AC173" s="168">
        <f t="shared" si="75"/>
        <v>0</v>
      </c>
      <c r="AD173" s="168">
        <f t="shared" si="76"/>
        <v>0</v>
      </c>
      <c r="AE173" s="168">
        <f t="shared" si="77"/>
        <v>0</v>
      </c>
      <c r="AF173" s="168">
        <f t="shared" si="78"/>
        <v>0</v>
      </c>
      <c r="AG173" s="168">
        <f t="shared" si="79"/>
        <v>0</v>
      </c>
      <c r="AH173" s="168">
        <f t="shared" si="80"/>
        <v>0</v>
      </c>
      <c r="AI173" s="168">
        <f t="shared" si="81"/>
        <v>0</v>
      </c>
      <c r="AJ173" s="168">
        <f t="shared" si="82"/>
        <v>0</v>
      </c>
    </row>
    <row r="174" spans="1:41" x14ac:dyDescent="0.25">
      <c r="A174" s="23" t="s">
        <v>1072</v>
      </c>
      <c r="B174" s="219">
        <f>J48-J145-J170</f>
        <v>17537.723988823531</v>
      </c>
      <c r="C174" s="233"/>
      <c r="D174" s="233"/>
      <c r="E174" s="233"/>
      <c r="F174" s="233"/>
      <c r="G174" s="18"/>
      <c r="Q174">
        <v>11</v>
      </c>
      <c r="R174" s="168">
        <f>'Alim -Surf'!Q17</f>
        <v>0</v>
      </c>
      <c r="S174" s="168">
        <f>'Alim -Surf'!R17</f>
        <v>0</v>
      </c>
      <c r="T174" s="168">
        <f>VLOOKUP(R174,[1]MEP!$A$4:$M$300,13)</f>
        <v>0</v>
      </c>
      <c r="U174" s="168">
        <f t="shared" si="72"/>
        <v>0</v>
      </c>
      <c r="V174" s="168">
        <f t="shared" si="73"/>
        <v>0</v>
      </c>
      <c r="W174" s="168">
        <f t="shared" si="74"/>
        <v>0</v>
      </c>
      <c r="X174" s="168">
        <f>VLOOKUP(R174,[1]MEP!$A$4:$Q$300,14)</f>
        <v>0</v>
      </c>
      <c r="Y174" s="168">
        <f>VLOOKUP(R174,[1]MEP!$A$4:$R$300,15)</f>
        <v>0</v>
      </c>
      <c r="Z174" s="168">
        <f>VLOOKUP(R174,[1]MEP!$A$4:$R$300,16)</f>
        <v>0</v>
      </c>
      <c r="AA174" s="168">
        <f t="shared" si="70"/>
        <v>0</v>
      </c>
      <c r="AB174" s="168">
        <f t="shared" si="71"/>
        <v>0</v>
      </c>
      <c r="AC174" s="168">
        <f t="shared" si="75"/>
        <v>0</v>
      </c>
      <c r="AD174" s="168">
        <f t="shared" si="76"/>
        <v>0</v>
      </c>
      <c r="AE174" s="168">
        <f t="shared" si="77"/>
        <v>0</v>
      </c>
      <c r="AF174" s="168">
        <f t="shared" si="78"/>
        <v>0</v>
      </c>
      <c r="AG174" s="168">
        <f t="shared" si="79"/>
        <v>0</v>
      </c>
      <c r="AH174" s="168">
        <f t="shared" si="80"/>
        <v>0</v>
      </c>
      <c r="AI174" s="168">
        <f t="shared" si="81"/>
        <v>0</v>
      </c>
      <c r="AJ174" s="168">
        <f t="shared" si="82"/>
        <v>0</v>
      </c>
    </row>
    <row r="175" spans="1:41" x14ac:dyDescent="0.25">
      <c r="A175" s="23" t="s">
        <v>1073</v>
      </c>
      <c r="B175" s="219">
        <f>ROUND(B174/Scénario!K4,0)</f>
        <v>17538</v>
      </c>
      <c r="C175" s="187"/>
      <c r="D175" s="233"/>
      <c r="E175" s="233"/>
      <c r="F175" s="187"/>
      <c r="G175" s="18"/>
      <c r="Q175">
        <v>12</v>
      </c>
      <c r="R175" s="168">
        <f>'Alim -Surf'!Q18</f>
        <v>0</v>
      </c>
      <c r="S175" s="168">
        <f>'Alim -Surf'!R18</f>
        <v>0</v>
      </c>
      <c r="T175" s="168">
        <f>VLOOKUP(R175,[1]MEP!$A$4:$M$300,13)</f>
        <v>0</v>
      </c>
      <c r="U175" s="168">
        <f t="shared" si="72"/>
        <v>0</v>
      </c>
      <c r="V175" s="168">
        <f t="shared" si="73"/>
        <v>0</v>
      </c>
      <c r="W175" s="168">
        <f t="shared" si="74"/>
        <v>0</v>
      </c>
      <c r="X175" s="168">
        <f>VLOOKUP(R175,[1]MEP!$A$4:$Q$300,14)</f>
        <v>0</v>
      </c>
      <c r="Y175" s="168">
        <f>VLOOKUP(R175,[1]MEP!$A$4:$R$300,15)</f>
        <v>0</v>
      </c>
      <c r="Z175" s="168">
        <f>VLOOKUP(R175,[1]MEP!$A$4:$R$300,16)</f>
        <v>0</v>
      </c>
      <c r="AA175" s="168">
        <f t="shared" si="70"/>
        <v>0</v>
      </c>
      <c r="AB175" s="168">
        <f t="shared" si="71"/>
        <v>0</v>
      </c>
      <c r="AC175" s="168">
        <f t="shared" si="75"/>
        <v>0</v>
      </c>
      <c r="AD175" s="168">
        <f t="shared" si="76"/>
        <v>0</v>
      </c>
      <c r="AE175" s="168">
        <f t="shared" si="77"/>
        <v>0</v>
      </c>
      <c r="AF175" s="168">
        <f t="shared" si="78"/>
        <v>0</v>
      </c>
      <c r="AG175" s="168">
        <f t="shared" si="79"/>
        <v>0</v>
      </c>
      <c r="AH175" s="168">
        <f t="shared" si="80"/>
        <v>0</v>
      </c>
      <c r="AI175" s="168">
        <f t="shared" si="81"/>
        <v>0</v>
      </c>
      <c r="AJ175" s="168">
        <f t="shared" si="82"/>
        <v>0</v>
      </c>
    </row>
    <row r="176" spans="1:41" x14ac:dyDescent="0.25">
      <c r="C176" s="5"/>
      <c r="D176" s="5"/>
      <c r="E176" s="5"/>
      <c r="F176" s="5"/>
      <c r="G176" s="5"/>
      <c r="Q176">
        <v>13</v>
      </c>
      <c r="R176" s="168">
        <f>'Alim -Surf'!Q19</f>
        <v>0</v>
      </c>
      <c r="S176" s="168">
        <f>'Alim -Surf'!R19</f>
        <v>0</v>
      </c>
      <c r="T176" s="168">
        <f>VLOOKUP(R176,[1]MEP!$A$4:$M$300,13)</f>
        <v>0</v>
      </c>
      <c r="U176" s="168">
        <f t="shared" si="72"/>
        <v>0</v>
      </c>
      <c r="V176" s="168">
        <f t="shared" si="73"/>
        <v>0</v>
      </c>
      <c r="W176" s="168">
        <f t="shared" si="74"/>
        <v>0</v>
      </c>
      <c r="X176" s="168">
        <f>VLOOKUP(R176,[1]MEP!$A$4:$Q$300,14)</f>
        <v>0</v>
      </c>
      <c r="Y176" s="168">
        <f>VLOOKUP(R176,[1]MEP!$A$4:$R$300,15)</f>
        <v>0</v>
      </c>
      <c r="Z176" s="168">
        <f>VLOOKUP(R176,[1]MEP!$A$4:$R$300,16)</f>
        <v>0</v>
      </c>
      <c r="AA176" s="168">
        <f t="shared" si="70"/>
        <v>0</v>
      </c>
      <c r="AB176" s="168">
        <f t="shared" si="71"/>
        <v>0</v>
      </c>
      <c r="AC176" s="168">
        <f t="shared" si="75"/>
        <v>0</v>
      </c>
      <c r="AD176" s="168">
        <f t="shared" si="76"/>
        <v>0</v>
      </c>
      <c r="AE176" s="168">
        <f t="shared" si="77"/>
        <v>0</v>
      </c>
      <c r="AF176" s="168">
        <f t="shared" si="78"/>
        <v>0</v>
      </c>
      <c r="AG176" s="168">
        <f t="shared" si="79"/>
        <v>0</v>
      </c>
      <c r="AH176" s="168">
        <f t="shared" si="80"/>
        <v>0</v>
      </c>
      <c r="AI176" s="168">
        <f t="shared" si="81"/>
        <v>0</v>
      </c>
      <c r="AJ176" s="168">
        <f t="shared" si="82"/>
        <v>0</v>
      </c>
    </row>
    <row r="177" spans="1:36" x14ac:dyDescent="0.25">
      <c r="A177" s="23" t="s">
        <v>1074</v>
      </c>
      <c r="B177" s="30">
        <f>HLOOKUP(Troupeau!J17,[1]Anx!$D$170:$CO$196,27)</f>
        <v>4750</v>
      </c>
      <c r="C177" s="5"/>
      <c r="D177" s="5"/>
      <c r="F177" s="5"/>
      <c r="G177" s="5"/>
      <c r="O177" s="227"/>
      <c r="Q177">
        <v>14</v>
      </c>
      <c r="R177" s="168">
        <f>'Alim -Surf'!Q20</f>
        <v>0</v>
      </c>
      <c r="S177" s="168">
        <f>'Alim -Surf'!R20</f>
        <v>0</v>
      </c>
      <c r="T177" s="168">
        <f>VLOOKUP(R177,[1]MEP!$A$4:$M$300,13)</f>
        <v>0</v>
      </c>
      <c r="U177" s="168">
        <f t="shared" si="72"/>
        <v>0</v>
      </c>
      <c r="V177" s="168">
        <f t="shared" si="73"/>
        <v>0</v>
      </c>
      <c r="W177" s="168">
        <f t="shared" si="74"/>
        <v>0</v>
      </c>
      <c r="X177" s="168">
        <f>VLOOKUP(R177,[1]MEP!$A$4:$Q$300,14)</f>
        <v>0</v>
      </c>
      <c r="Y177" s="168">
        <f>VLOOKUP(R177,[1]MEP!$A$4:$R$300,15)</f>
        <v>0</v>
      </c>
      <c r="Z177" s="168">
        <f>VLOOKUP(R177,[1]MEP!$A$4:$R$300,16)</f>
        <v>0</v>
      </c>
      <c r="AA177" s="168">
        <f t="shared" si="70"/>
        <v>0</v>
      </c>
      <c r="AB177" s="168">
        <f t="shared" si="71"/>
        <v>0</v>
      </c>
      <c r="AC177" s="168">
        <f t="shared" si="75"/>
        <v>0</v>
      </c>
      <c r="AD177" s="168">
        <f t="shared" si="76"/>
        <v>0</v>
      </c>
      <c r="AE177" s="168">
        <f t="shared" si="77"/>
        <v>0</v>
      </c>
      <c r="AF177" s="168">
        <f t="shared" si="78"/>
        <v>0</v>
      </c>
      <c r="AG177" s="168">
        <f t="shared" si="79"/>
        <v>0</v>
      </c>
      <c r="AH177" s="168">
        <f t="shared" si="80"/>
        <v>0</v>
      </c>
      <c r="AI177" s="168">
        <f t="shared" si="81"/>
        <v>0</v>
      </c>
      <c r="AJ177" s="168">
        <f t="shared" si="82"/>
        <v>0</v>
      </c>
    </row>
    <row r="178" spans="1:36" x14ac:dyDescent="0.25">
      <c r="A178" s="23" t="s">
        <v>1075</v>
      </c>
      <c r="B178" s="234">
        <f>SUM(AF237:AF240)</f>
        <v>0</v>
      </c>
      <c r="C178" s="5"/>
      <c r="D178" s="5"/>
      <c r="E178" s="5"/>
      <c r="F178" s="5"/>
      <c r="G178" s="5"/>
      <c r="Q178">
        <v>15</v>
      </c>
      <c r="R178" s="168">
        <f>'Alim -Surf'!Q21</f>
        <v>0</v>
      </c>
      <c r="S178" s="168">
        <f>'Alim -Surf'!R21</f>
        <v>0</v>
      </c>
      <c r="T178" s="168">
        <f>VLOOKUP(R178,[1]MEP!$A$4:$M$300,13)</f>
        <v>0</v>
      </c>
      <c r="U178" s="168">
        <f t="shared" si="72"/>
        <v>0</v>
      </c>
      <c r="V178" s="168">
        <f t="shared" si="73"/>
        <v>0</v>
      </c>
      <c r="W178" s="168">
        <f t="shared" si="74"/>
        <v>0</v>
      </c>
      <c r="X178" s="168">
        <f>VLOOKUP(R178,[1]MEP!$A$4:$Q$300,14)</f>
        <v>0</v>
      </c>
      <c r="Y178" s="168">
        <f>VLOOKUP(R178,[1]MEP!$A$4:$R$300,15)</f>
        <v>0</v>
      </c>
      <c r="Z178" s="168">
        <f>VLOOKUP(R178,[1]MEP!$A$4:$R$300,16)</f>
        <v>0</v>
      </c>
      <c r="AA178" s="168">
        <f t="shared" si="70"/>
        <v>0</v>
      </c>
      <c r="AB178" s="168">
        <f t="shared" si="71"/>
        <v>0</v>
      </c>
      <c r="AC178" s="168">
        <f t="shared" si="75"/>
        <v>0</v>
      </c>
      <c r="AD178" s="168">
        <f t="shared" si="76"/>
        <v>0</v>
      </c>
      <c r="AE178" s="168">
        <f t="shared" si="77"/>
        <v>0</v>
      </c>
      <c r="AF178" s="168">
        <f t="shared" si="78"/>
        <v>0</v>
      </c>
      <c r="AG178" s="168">
        <f t="shared" si="79"/>
        <v>0</v>
      </c>
      <c r="AH178" s="168">
        <f t="shared" si="80"/>
        <v>0</v>
      </c>
      <c r="AI178" s="168">
        <f t="shared" si="81"/>
        <v>0</v>
      </c>
      <c r="AJ178" s="168">
        <f t="shared" si="82"/>
        <v>0</v>
      </c>
    </row>
    <row r="179" spans="1:36" x14ac:dyDescent="0.25">
      <c r="C179" s="5"/>
      <c r="D179" s="5"/>
      <c r="E179" s="5"/>
      <c r="F179" s="5"/>
      <c r="G179" s="5"/>
      <c r="Q179">
        <v>16</v>
      </c>
      <c r="R179" s="168">
        <f>'Alim -Surf'!Q22</f>
        <v>0</v>
      </c>
      <c r="S179" s="168">
        <f>'Alim -Surf'!R22</f>
        <v>0</v>
      </c>
      <c r="T179" s="168">
        <f>VLOOKUP(R179,[1]MEP!$A$4:$M$300,13)</f>
        <v>0</v>
      </c>
      <c r="U179" s="168">
        <f t="shared" si="72"/>
        <v>0</v>
      </c>
      <c r="V179" s="168">
        <f t="shared" si="73"/>
        <v>0</v>
      </c>
      <c r="W179" s="168">
        <f t="shared" si="74"/>
        <v>0</v>
      </c>
      <c r="X179" s="168">
        <f>VLOOKUP(R179,[1]MEP!$A$4:$Q$300,14)</f>
        <v>0</v>
      </c>
      <c r="Y179" s="168">
        <f>VLOOKUP(R179,[1]MEP!$A$4:$R$300,15)</f>
        <v>0</v>
      </c>
      <c r="Z179" s="168">
        <f>VLOOKUP(R179,[1]MEP!$A$4:$R$300,16)</f>
        <v>0</v>
      </c>
      <c r="AA179" s="168">
        <f t="shared" si="70"/>
        <v>0</v>
      </c>
      <c r="AB179" s="168">
        <f t="shared" si="71"/>
        <v>0</v>
      </c>
      <c r="AC179" s="168">
        <f t="shared" si="75"/>
        <v>0</v>
      </c>
      <c r="AD179" s="168">
        <f t="shared" si="76"/>
        <v>0</v>
      </c>
      <c r="AE179" s="168">
        <f t="shared" si="77"/>
        <v>0</v>
      </c>
      <c r="AF179" s="168">
        <f t="shared" si="78"/>
        <v>0</v>
      </c>
      <c r="AG179" s="168">
        <f t="shared" si="79"/>
        <v>0</v>
      </c>
      <c r="AH179" s="168">
        <f t="shared" si="80"/>
        <v>0</v>
      </c>
      <c r="AI179" s="168">
        <f t="shared" si="81"/>
        <v>0</v>
      </c>
      <c r="AJ179" s="168">
        <f t="shared" si="82"/>
        <v>0</v>
      </c>
    </row>
    <row r="180" spans="1:36" x14ac:dyDescent="0.25">
      <c r="A180" s="23" t="s">
        <v>1076</v>
      </c>
      <c r="B180" s="219">
        <f>B174-B177-B178</f>
        <v>12787.723988823531</v>
      </c>
      <c r="C180" s="5"/>
      <c r="D180" s="5"/>
      <c r="E180" s="5"/>
      <c r="F180" s="5"/>
      <c r="G180" s="5"/>
      <c r="Q180">
        <v>17</v>
      </c>
      <c r="R180" s="168">
        <f>'Alim -Surf'!Q23</f>
        <v>0</v>
      </c>
      <c r="S180" s="168">
        <f>'Alim -Surf'!R23</f>
        <v>0</v>
      </c>
      <c r="T180" s="168">
        <f>VLOOKUP(R180,[1]MEP!$A$4:$M$300,13)</f>
        <v>0</v>
      </c>
      <c r="U180" s="168">
        <f t="shared" si="72"/>
        <v>0</v>
      </c>
      <c r="V180" s="168">
        <f t="shared" si="73"/>
        <v>0</v>
      </c>
      <c r="W180" s="168">
        <f t="shared" si="74"/>
        <v>0</v>
      </c>
      <c r="X180" s="168">
        <f>VLOOKUP(R180,[1]MEP!$A$4:$Q$300,14)</f>
        <v>0</v>
      </c>
      <c r="Y180" s="168">
        <f>VLOOKUP(R180,[1]MEP!$A$4:$R$300,15)</f>
        <v>0</v>
      </c>
      <c r="Z180" s="168">
        <f>VLOOKUP(R180,[1]MEP!$A$4:$R$300,16)</f>
        <v>0</v>
      </c>
      <c r="AA180" s="168">
        <f t="shared" si="70"/>
        <v>0</v>
      </c>
      <c r="AB180" s="168">
        <f t="shared" si="71"/>
        <v>0</v>
      </c>
      <c r="AC180" s="168">
        <f t="shared" si="75"/>
        <v>0</v>
      </c>
      <c r="AD180" s="168">
        <f t="shared" si="76"/>
        <v>0</v>
      </c>
      <c r="AE180" s="168">
        <f t="shared" si="77"/>
        <v>0</v>
      </c>
      <c r="AF180" s="168">
        <f t="shared" si="78"/>
        <v>0</v>
      </c>
      <c r="AG180" s="168">
        <f t="shared" si="79"/>
        <v>0</v>
      </c>
      <c r="AH180" s="168">
        <f t="shared" si="80"/>
        <v>0</v>
      </c>
      <c r="AI180" s="168">
        <f t="shared" si="81"/>
        <v>0</v>
      </c>
      <c r="AJ180" s="168">
        <f t="shared" si="82"/>
        <v>0</v>
      </c>
    </row>
    <row r="181" spans="1:36" x14ac:dyDescent="0.25">
      <c r="A181" s="23" t="s">
        <v>1077</v>
      </c>
      <c r="B181" s="219">
        <f>ROUND(B180/Scénario!K4,0)</f>
        <v>12788</v>
      </c>
      <c r="C181" s="5"/>
      <c r="D181" s="5"/>
      <c r="E181" s="5"/>
      <c r="F181" s="5"/>
      <c r="G181" s="5"/>
      <c r="Q181">
        <v>18</v>
      </c>
      <c r="R181" s="168">
        <f>'Alim -Surf'!Q24</f>
        <v>0</v>
      </c>
      <c r="S181" s="168">
        <f>'Alim -Surf'!R24</f>
        <v>0</v>
      </c>
      <c r="T181" s="168">
        <f>VLOOKUP(R181,[1]MEP!$A$4:$M$300,13)</f>
        <v>0</v>
      </c>
      <c r="U181" s="168">
        <f t="shared" si="72"/>
        <v>0</v>
      </c>
      <c r="V181" s="168">
        <f t="shared" si="73"/>
        <v>0</v>
      </c>
      <c r="W181" s="168">
        <f t="shared" si="74"/>
        <v>0</v>
      </c>
      <c r="X181" s="168">
        <f>VLOOKUP(R181,[1]MEP!$A$4:$Q$300,14)</f>
        <v>0</v>
      </c>
      <c r="Y181" s="168">
        <f>VLOOKUP(R181,[1]MEP!$A$4:$R$300,15)</f>
        <v>0</v>
      </c>
      <c r="Z181" s="168">
        <f>VLOOKUP(R181,[1]MEP!$A$4:$R$300,16)</f>
        <v>0</v>
      </c>
      <c r="AA181" s="168">
        <f t="shared" si="70"/>
        <v>0</v>
      </c>
      <c r="AB181" s="168">
        <f t="shared" si="71"/>
        <v>0</v>
      </c>
      <c r="AC181" s="168">
        <f t="shared" si="75"/>
        <v>0</v>
      </c>
      <c r="AD181" s="168">
        <f t="shared" si="76"/>
        <v>0</v>
      </c>
      <c r="AE181" s="168">
        <f t="shared" si="77"/>
        <v>0</v>
      </c>
      <c r="AF181" s="168">
        <f t="shared" si="78"/>
        <v>0</v>
      </c>
      <c r="AG181" s="168">
        <f t="shared" si="79"/>
        <v>0</v>
      </c>
      <c r="AH181" s="168">
        <f t="shared" si="80"/>
        <v>0</v>
      </c>
      <c r="AI181" s="168">
        <f t="shared" si="81"/>
        <v>0</v>
      </c>
      <c r="AJ181" s="168">
        <f t="shared" si="82"/>
        <v>0</v>
      </c>
    </row>
    <row r="182" spans="1:36" x14ac:dyDescent="0.25">
      <c r="A182" s="5"/>
      <c r="B182" s="5"/>
      <c r="C182" s="5"/>
      <c r="D182" s="5"/>
      <c r="E182" s="5"/>
      <c r="F182" s="5"/>
      <c r="G182" s="5"/>
      <c r="Q182">
        <v>19</v>
      </c>
      <c r="R182" s="168">
        <f>'Alim -Surf'!Q25</f>
        <v>0</v>
      </c>
      <c r="S182" s="168">
        <f>'Alim -Surf'!R25</f>
        <v>0</v>
      </c>
      <c r="T182" s="168">
        <f>VLOOKUP(R182,[1]MEP!$A$4:$M$300,13)</f>
        <v>0</v>
      </c>
      <c r="U182" s="168">
        <f t="shared" si="72"/>
        <v>0</v>
      </c>
      <c r="V182" s="168">
        <f t="shared" si="73"/>
        <v>0</v>
      </c>
      <c r="W182" s="168">
        <f t="shared" si="74"/>
        <v>0</v>
      </c>
      <c r="X182" s="168">
        <f>VLOOKUP(R182,[1]MEP!$A$4:$Q$300,14)</f>
        <v>0</v>
      </c>
      <c r="Y182" s="168">
        <f>VLOOKUP(R182,[1]MEP!$A$4:$R$300,15)</f>
        <v>0</v>
      </c>
      <c r="Z182" s="168">
        <f>VLOOKUP(R182,[1]MEP!$A$4:$R$300,16)</f>
        <v>0</v>
      </c>
      <c r="AA182" s="168">
        <f t="shared" si="70"/>
        <v>0</v>
      </c>
      <c r="AB182" s="168">
        <f t="shared" si="71"/>
        <v>0</v>
      </c>
      <c r="AC182" s="168">
        <f t="shared" si="75"/>
        <v>0</v>
      </c>
      <c r="AD182" s="168">
        <f t="shared" si="76"/>
        <v>0</v>
      </c>
      <c r="AE182" s="168">
        <f t="shared" si="77"/>
        <v>0</v>
      </c>
      <c r="AF182" s="168">
        <f t="shared" si="78"/>
        <v>0</v>
      </c>
      <c r="AG182" s="168">
        <f t="shared" si="79"/>
        <v>0</v>
      </c>
      <c r="AH182" s="168">
        <f t="shared" si="80"/>
        <v>0</v>
      </c>
      <c r="AI182" s="168">
        <f t="shared" si="81"/>
        <v>0</v>
      </c>
      <c r="AJ182" s="168">
        <f t="shared" si="82"/>
        <v>0</v>
      </c>
    </row>
    <row r="183" spans="1:36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Q183">
        <v>20</v>
      </c>
      <c r="R183" s="168">
        <f>'Alim -Surf'!Q26</f>
        <v>0</v>
      </c>
      <c r="S183" s="168">
        <f>'Alim -Surf'!R26</f>
        <v>0</v>
      </c>
      <c r="T183" s="168">
        <f>VLOOKUP(R183,[1]MEP!$A$4:$M$300,13)</f>
        <v>0</v>
      </c>
      <c r="U183" s="168">
        <f t="shared" si="72"/>
        <v>0</v>
      </c>
      <c r="V183" s="168">
        <f t="shared" si="73"/>
        <v>0</v>
      </c>
      <c r="W183" s="168">
        <f t="shared" si="74"/>
        <v>0</v>
      </c>
      <c r="X183" s="168">
        <f>VLOOKUP(R183,[1]MEP!$A$4:$Q$300,14)</f>
        <v>0</v>
      </c>
      <c r="Y183" s="168">
        <f>VLOOKUP(R183,[1]MEP!$A$4:$R$300,15)</f>
        <v>0</v>
      </c>
      <c r="Z183" s="168">
        <f>VLOOKUP(R183,[1]MEP!$A$4:$R$300,16)</f>
        <v>0</v>
      </c>
      <c r="AA183" s="168">
        <f t="shared" si="70"/>
        <v>0</v>
      </c>
      <c r="AB183" s="168">
        <f t="shared" si="71"/>
        <v>0</v>
      </c>
      <c r="AC183" s="168">
        <f t="shared" si="75"/>
        <v>0</v>
      </c>
      <c r="AD183" s="168">
        <f t="shared" si="76"/>
        <v>0</v>
      </c>
      <c r="AE183" s="168">
        <f t="shared" si="77"/>
        <v>0</v>
      </c>
      <c r="AF183" s="168">
        <f t="shared" si="78"/>
        <v>0</v>
      </c>
      <c r="AG183" s="168">
        <f t="shared" si="79"/>
        <v>0</v>
      </c>
      <c r="AH183" s="168">
        <f t="shared" si="80"/>
        <v>0</v>
      </c>
      <c r="AI183" s="168">
        <f t="shared" si="81"/>
        <v>0</v>
      </c>
      <c r="AJ183" s="168">
        <f t="shared" si="82"/>
        <v>0</v>
      </c>
    </row>
    <row r="184" spans="1:36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R184" s="168">
        <f>'Alim -Surf'!Q27</f>
        <v>0</v>
      </c>
      <c r="S184" s="168">
        <f>'Alim -Surf'!R27</f>
        <v>0</v>
      </c>
      <c r="T184" s="168">
        <f>VLOOKUP(R184,[1]MEP!$A$4:$M$300,13)</f>
        <v>0</v>
      </c>
      <c r="U184" s="168">
        <f t="shared" si="72"/>
        <v>0</v>
      </c>
      <c r="V184" s="168">
        <f t="shared" si="73"/>
        <v>0</v>
      </c>
      <c r="W184" s="168">
        <f t="shared" si="74"/>
        <v>0</v>
      </c>
      <c r="X184" s="168">
        <f>VLOOKUP(R184,[1]MEP!$A$4:$Q$300,14)</f>
        <v>0</v>
      </c>
      <c r="Y184" s="168">
        <f>VLOOKUP(R184,[1]MEP!$A$4:$R$300,15)</f>
        <v>0</v>
      </c>
      <c r="Z184" s="168">
        <f>VLOOKUP(R184,[1]MEP!$A$4:$R$300,16)</f>
        <v>0</v>
      </c>
      <c r="AA184" s="168">
        <f t="shared" si="70"/>
        <v>0</v>
      </c>
      <c r="AB184" s="168">
        <f t="shared" si="71"/>
        <v>0</v>
      </c>
      <c r="AC184" s="168">
        <f t="shared" si="75"/>
        <v>0</v>
      </c>
      <c r="AD184" s="168">
        <f t="shared" si="76"/>
        <v>0</v>
      </c>
      <c r="AE184" s="168">
        <f t="shared" si="77"/>
        <v>0</v>
      </c>
      <c r="AF184" s="168">
        <f t="shared" si="78"/>
        <v>0</v>
      </c>
      <c r="AG184" s="168">
        <f t="shared" si="79"/>
        <v>0</v>
      </c>
      <c r="AH184" s="168">
        <f t="shared" si="80"/>
        <v>0</v>
      </c>
      <c r="AI184" s="168">
        <f t="shared" si="81"/>
        <v>0</v>
      </c>
      <c r="AJ184" s="168">
        <f t="shared" si="82"/>
        <v>0</v>
      </c>
    </row>
    <row r="185" spans="1:36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R185" s="168">
        <f>'Alim -Surf'!Q28</f>
        <v>0</v>
      </c>
      <c r="S185" s="168">
        <f>'Alim -Surf'!R28</f>
        <v>0</v>
      </c>
      <c r="T185" s="168">
        <f>VLOOKUP(R185,[1]MEP!$A$4:$M$300,13)</f>
        <v>0</v>
      </c>
      <c r="U185" s="168">
        <f t="shared" si="72"/>
        <v>0</v>
      </c>
      <c r="V185" s="168">
        <f t="shared" si="73"/>
        <v>0</v>
      </c>
      <c r="W185" s="168">
        <f t="shared" si="74"/>
        <v>0</v>
      </c>
      <c r="X185" s="168">
        <f>VLOOKUP(R185,[1]MEP!$A$4:$Q$300,14)</f>
        <v>0</v>
      </c>
      <c r="Y185" s="168">
        <f>VLOOKUP(R185,[1]MEP!$A$4:$R$300,15)</f>
        <v>0</v>
      </c>
      <c r="Z185" s="168">
        <f>VLOOKUP(R185,[1]MEP!$A$4:$R$300,16)</f>
        <v>0</v>
      </c>
      <c r="AA185" s="168">
        <f t="shared" si="70"/>
        <v>0</v>
      </c>
      <c r="AB185" s="168">
        <f t="shared" si="71"/>
        <v>0</v>
      </c>
      <c r="AC185" s="168">
        <f t="shared" si="75"/>
        <v>0</v>
      </c>
      <c r="AD185" s="168">
        <f t="shared" si="76"/>
        <v>0</v>
      </c>
      <c r="AE185" s="168">
        <f t="shared" si="77"/>
        <v>0</v>
      </c>
      <c r="AF185" s="168">
        <f t="shared" si="78"/>
        <v>0</v>
      </c>
      <c r="AG185" s="168">
        <f t="shared" si="79"/>
        <v>0</v>
      </c>
      <c r="AH185" s="168">
        <f t="shared" si="80"/>
        <v>0</v>
      </c>
      <c r="AI185" s="168">
        <f t="shared" si="81"/>
        <v>0</v>
      </c>
      <c r="AJ185" s="168">
        <f t="shared" si="82"/>
        <v>0</v>
      </c>
    </row>
    <row r="186" spans="1:36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Q186">
        <v>1</v>
      </c>
      <c r="R186" s="168">
        <f>'Alim -Surf'!Q29</f>
        <v>0</v>
      </c>
      <c r="S186" s="168">
        <f>'Alim -Surf'!R29</f>
        <v>0</v>
      </c>
      <c r="T186" s="168">
        <f>VLOOKUP(R186,[1]MEP!$A$4:$M$300,13)</f>
        <v>0</v>
      </c>
      <c r="U186" s="168">
        <f t="shared" si="72"/>
        <v>0</v>
      </c>
      <c r="V186" s="168">
        <f t="shared" si="73"/>
        <v>0</v>
      </c>
      <c r="W186" s="168">
        <f t="shared" si="74"/>
        <v>0</v>
      </c>
      <c r="X186" s="168">
        <f>VLOOKUP(R186,[1]MEP!$A$4:$Q$300,14)</f>
        <v>0</v>
      </c>
      <c r="Y186" s="168">
        <f>VLOOKUP(R186,[1]MEP!$A$4:$R$300,15)</f>
        <v>0</v>
      </c>
      <c r="Z186" s="168">
        <f>VLOOKUP(R186,[1]MEP!$A$4:$R$300,16)</f>
        <v>0</v>
      </c>
      <c r="AA186" s="168">
        <f t="shared" si="70"/>
        <v>0</v>
      </c>
      <c r="AB186" s="168">
        <f t="shared" si="71"/>
        <v>0</v>
      </c>
      <c r="AC186" s="168">
        <f t="shared" si="75"/>
        <v>0</v>
      </c>
      <c r="AD186" s="168">
        <f t="shared" si="76"/>
        <v>0</v>
      </c>
      <c r="AE186" s="168">
        <f t="shared" si="77"/>
        <v>0</v>
      </c>
      <c r="AF186" s="168">
        <f t="shared" si="78"/>
        <v>0</v>
      </c>
      <c r="AG186" s="168">
        <f t="shared" si="79"/>
        <v>0</v>
      </c>
      <c r="AH186" s="168">
        <f t="shared" si="80"/>
        <v>0</v>
      </c>
      <c r="AI186" s="168">
        <f t="shared" si="81"/>
        <v>0</v>
      </c>
      <c r="AJ186" s="168">
        <f t="shared" si="82"/>
        <v>0</v>
      </c>
    </row>
    <row r="187" spans="1:36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Q187">
        <v>2</v>
      </c>
      <c r="R187" s="168">
        <f>'Alim -Surf'!Q30</f>
        <v>0</v>
      </c>
      <c r="S187" s="168">
        <f>'Alim -Surf'!R30</f>
        <v>0</v>
      </c>
      <c r="T187" s="168">
        <f>VLOOKUP(R187,[1]MEP!$A$4:$M$300,13)</f>
        <v>0</v>
      </c>
      <c r="U187" s="168">
        <f t="shared" si="72"/>
        <v>0</v>
      </c>
      <c r="V187" s="168">
        <f t="shared" si="73"/>
        <v>0</v>
      </c>
      <c r="W187" s="168">
        <f t="shared" si="74"/>
        <v>0</v>
      </c>
      <c r="X187" s="168">
        <f>VLOOKUP(R187,[1]MEP!$A$4:$Q$300,14)</f>
        <v>0</v>
      </c>
      <c r="Y187" s="168">
        <f>VLOOKUP(R187,[1]MEP!$A$4:$R$300,15)</f>
        <v>0</v>
      </c>
      <c r="Z187" s="168">
        <f>VLOOKUP(R187,[1]MEP!$A$4:$R$300,16)</f>
        <v>0</v>
      </c>
      <c r="AA187" s="168">
        <f t="shared" si="70"/>
        <v>0</v>
      </c>
      <c r="AB187" s="168">
        <f t="shared" si="71"/>
        <v>0</v>
      </c>
      <c r="AC187" s="168">
        <f t="shared" si="75"/>
        <v>0</v>
      </c>
      <c r="AD187" s="168">
        <f t="shared" si="76"/>
        <v>0</v>
      </c>
      <c r="AE187" s="168">
        <f t="shared" si="77"/>
        <v>0</v>
      </c>
      <c r="AF187" s="168">
        <f t="shared" si="78"/>
        <v>0</v>
      </c>
      <c r="AG187" s="168">
        <f t="shared" si="79"/>
        <v>0</v>
      </c>
      <c r="AH187" s="168">
        <f t="shared" si="80"/>
        <v>0</v>
      </c>
      <c r="AI187" s="168">
        <f t="shared" si="81"/>
        <v>0</v>
      </c>
      <c r="AJ187" s="168">
        <f t="shared" si="82"/>
        <v>0</v>
      </c>
    </row>
    <row r="188" spans="1:36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Q188">
        <v>3</v>
      </c>
      <c r="R188" s="168">
        <f>'Alim -Surf'!Q31</f>
        <v>0</v>
      </c>
      <c r="S188" s="168">
        <f>'Alim -Surf'!R31</f>
        <v>0</v>
      </c>
      <c r="T188" s="168">
        <f>VLOOKUP(R188,[1]MEP!$A$4:$M$300,13)</f>
        <v>0</v>
      </c>
      <c r="U188" s="168">
        <f t="shared" si="72"/>
        <v>0</v>
      </c>
      <c r="V188" s="168">
        <f t="shared" si="73"/>
        <v>0</v>
      </c>
      <c r="W188" s="168">
        <f t="shared" si="74"/>
        <v>0</v>
      </c>
      <c r="X188" s="168">
        <f>VLOOKUP(R188,[1]MEP!$A$4:$Q$300,14)</f>
        <v>0</v>
      </c>
      <c r="Y188" s="168">
        <f>VLOOKUP(R188,[1]MEP!$A$4:$R$300,15)</f>
        <v>0</v>
      </c>
      <c r="Z188" s="168">
        <f>VLOOKUP(R188,[1]MEP!$A$4:$R$300,16)</f>
        <v>0</v>
      </c>
      <c r="AA188" s="168">
        <f t="shared" si="70"/>
        <v>0</v>
      </c>
      <c r="AB188" s="168">
        <f t="shared" si="71"/>
        <v>0</v>
      </c>
      <c r="AC188" s="168">
        <f t="shared" si="75"/>
        <v>0</v>
      </c>
      <c r="AD188" s="168">
        <f t="shared" si="76"/>
        <v>0</v>
      </c>
      <c r="AE188" s="168">
        <f t="shared" si="77"/>
        <v>0</v>
      </c>
      <c r="AF188" s="168">
        <f t="shared" si="78"/>
        <v>0</v>
      </c>
      <c r="AG188" s="168">
        <f t="shared" si="79"/>
        <v>0</v>
      </c>
      <c r="AH188" s="168">
        <f t="shared" si="80"/>
        <v>0</v>
      </c>
      <c r="AI188" s="168">
        <f t="shared" si="81"/>
        <v>0</v>
      </c>
      <c r="AJ188" s="168">
        <f t="shared" si="82"/>
        <v>0</v>
      </c>
    </row>
    <row r="189" spans="1:36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Q189">
        <v>4</v>
      </c>
      <c r="R189" s="168">
        <f>'Alim -Surf'!Q32</f>
        <v>0</v>
      </c>
      <c r="S189" s="168">
        <f>'Alim -Surf'!R32</f>
        <v>0</v>
      </c>
      <c r="T189" s="168">
        <f>VLOOKUP(R189,[1]MEP!$A$4:$M$300,13)</f>
        <v>0</v>
      </c>
      <c r="U189" s="168">
        <f t="shared" si="72"/>
        <v>0</v>
      </c>
      <c r="V189" s="168">
        <f t="shared" si="73"/>
        <v>0</v>
      </c>
      <c r="W189" s="168">
        <f t="shared" si="74"/>
        <v>0</v>
      </c>
      <c r="X189" s="168">
        <f>VLOOKUP(R189,[1]MEP!$A$4:$Q$300,14)</f>
        <v>0</v>
      </c>
      <c r="Y189" s="168">
        <f>VLOOKUP(R189,[1]MEP!$A$4:$R$300,15)</f>
        <v>0</v>
      </c>
      <c r="Z189" s="168">
        <f>VLOOKUP(R189,[1]MEP!$A$4:$R$300,16)</f>
        <v>0</v>
      </c>
      <c r="AA189" s="168">
        <f t="shared" si="70"/>
        <v>0</v>
      </c>
      <c r="AB189" s="168">
        <f t="shared" si="71"/>
        <v>0</v>
      </c>
      <c r="AC189" s="168">
        <f t="shared" si="75"/>
        <v>0</v>
      </c>
      <c r="AD189" s="168">
        <f t="shared" si="76"/>
        <v>0</v>
      </c>
      <c r="AE189" s="168">
        <f t="shared" si="77"/>
        <v>0</v>
      </c>
      <c r="AF189" s="168">
        <f t="shared" si="78"/>
        <v>0</v>
      </c>
      <c r="AG189" s="168">
        <f t="shared" si="79"/>
        <v>0</v>
      </c>
      <c r="AH189" s="168">
        <f t="shared" si="80"/>
        <v>0</v>
      </c>
      <c r="AI189" s="168">
        <f t="shared" si="81"/>
        <v>0</v>
      </c>
      <c r="AJ189" s="168">
        <f t="shared" si="82"/>
        <v>0</v>
      </c>
    </row>
    <row r="190" spans="1:36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Q190">
        <v>5</v>
      </c>
      <c r="R190" s="168">
        <f>'Alim -Surf'!Q33</f>
        <v>0</v>
      </c>
      <c r="S190" s="168">
        <f>'Alim -Surf'!R33</f>
        <v>0</v>
      </c>
      <c r="T190" s="168">
        <f>VLOOKUP(R190,[1]MEP!$A$4:$M$300,13)</f>
        <v>0</v>
      </c>
      <c r="U190" s="168">
        <f t="shared" si="72"/>
        <v>0</v>
      </c>
      <c r="V190" s="168">
        <f t="shared" si="73"/>
        <v>0</v>
      </c>
      <c r="W190" s="168">
        <f t="shared" si="74"/>
        <v>0</v>
      </c>
      <c r="X190" s="168">
        <f>VLOOKUP(R190,[1]MEP!$A$4:$Q$300,14)</f>
        <v>0</v>
      </c>
      <c r="Y190" s="168">
        <f>VLOOKUP(R190,[1]MEP!$A$4:$R$300,15)</f>
        <v>0</v>
      </c>
      <c r="Z190" s="168">
        <f>VLOOKUP(R190,[1]MEP!$A$4:$R$300,16)</f>
        <v>0</v>
      </c>
      <c r="AA190" s="168">
        <f t="shared" si="70"/>
        <v>0</v>
      </c>
      <c r="AB190" s="168">
        <f t="shared" si="71"/>
        <v>0</v>
      </c>
      <c r="AC190" s="168">
        <f t="shared" si="75"/>
        <v>0</v>
      </c>
      <c r="AD190" s="168">
        <f t="shared" si="76"/>
        <v>0</v>
      </c>
      <c r="AE190" s="168">
        <f t="shared" si="77"/>
        <v>0</v>
      </c>
      <c r="AF190" s="168">
        <f t="shared" si="78"/>
        <v>0</v>
      </c>
      <c r="AG190" s="168">
        <f t="shared" si="79"/>
        <v>0</v>
      </c>
      <c r="AH190" s="168">
        <f t="shared" si="80"/>
        <v>0</v>
      </c>
      <c r="AI190" s="168">
        <f t="shared" si="81"/>
        <v>0</v>
      </c>
      <c r="AJ190" s="168">
        <f t="shared" si="82"/>
        <v>0</v>
      </c>
    </row>
    <row r="191" spans="1:36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Q191">
        <v>6</v>
      </c>
      <c r="R191" s="168">
        <f>'Alim -Surf'!Q34</f>
        <v>0</v>
      </c>
      <c r="S191" s="168">
        <f>'Alim -Surf'!R34</f>
        <v>0</v>
      </c>
      <c r="T191" s="168">
        <f>VLOOKUP(R191,[1]MEP!$A$4:$M$300,13)</f>
        <v>0</v>
      </c>
      <c r="U191" s="168">
        <f t="shared" si="72"/>
        <v>0</v>
      </c>
      <c r="V191" s="168">
        <f t="shared" si="73"/>
        <v>0</v>
      </c>
      <c r="W191" s="168">
        <f t="shared" si="74"/>
        <v>0</v>
      </c>
      <c r="X191" s="168">
        <f>VLOOKUP(R191,[1]MEP!$A$4:$Q$300,14)</f>
        <v>0</v>
      </c>
      <c r="Y191" s="168">
        <f>VLOOKUP(R191,[1]MEP!$A$4:$R$300,15)</f>
        <v>0</v>
      </c>
      <c r="Z191" s="168">
        <f>VLOOKUP(R191,[1]MEP!$A$4:$R$300,16)</f>
        <v>0</v>
      </c>
      <c r="AA191" s="168">
        <f t="shared" si="70"/>
        <v>0</v>
      </c>
      <c r="AB191" s="168">
        <f t="shared" si="71"/>
        <v>0</v>
      </c>
      <c r="AC191" s="168">
        <f t="shared" si="75"/>
        <v>0</v>
      </c>
      <c r="AD191" s="168">
        <f t="shared" si="76"/>
        <v>0</v>
      </c>
      <c r="AE191" s="168">
        <f t="shared" si="77"/>
        <v>0</v>
      </c>
      <c r="AF191" s="168">
        <f t="shared" si="78"/>
        <v>0</v>
      </c>
      <c r="AG191" s="168">
        <f t="shared" si="79"/>
        <v>0</v>
      </c>
      <c r="AH191" s="168">
        <f t="shared" si="80"/>
        <v>0</v>
      </c>
      <c r="AI191" s="168">
        <f t="shared" si="81"/>
        <v>0</v>
      </c>
      <c r="AJ191" s="168">
        <f t="shared" si="82"/>
        <v>0</v>
      </c>
    </row>
    <row r="192" spans="1:36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Q192">
        <v>7</v>
      </c>
      <c r="R192" s="168">
        <f>'Alim -Surf'!Q35</f>
        <v>0</v>
      </c>
      <c r="S192" s="168">
        <f>'Alim -Surf'!R35</f>
        <v>0</v>
      </c>
      <c r="T192" s="168">
        <f>VLOOKUP(R192,[1]MEP!$A$4:$M$300,13)</f>
        <v>0</v>
      </c>
      <c r="U192" s="168">
        <f t="shared" si="72"/>
        <v>0</v>
      </c>
      <c r="V192" s="168">
        <f t="shared" si="73"/>
        <v>0</v>
      </c>
      <c r="W192" s="168">
        <f t="shared" si="74"/>
        <v>0</v>
      </c>
      <c r="X192" s="168">
        <f>VLOOKUP(R192,[1]MEP!$A$4:$Q$300,14)</f>
        <v>0</v>
      </c>
      <c r="Y192" s="168">
        <f>VLOOKUP(R192,[1]MEP!$A$4:$R$300,15)</f>
        <v>0</v>
      </c>
      <c r="Z192" s="168">
        <f>VLOOKUP(R192,[1]MEP!$A$4:$R$300,16)</f>
        <v>0</v>
      </c>
      <c r="AA192" s="168">
        <f t="shared" si="70"/>
        <v>0</v>
      </c>
      <c r="AB192" s="168">
        <f t="shared" si="71"/>
        <v>0</v>
      </c>
      <c r="AC192" s="168">
        <f t="shared" si="75"/>
        <v>0</v>
      </c>
      <c r="AD192" s="168">
        <f t="shared" si="76"/>
        <v>0</v>
      </c>
      <c r="AE192" s="168">
        <f t="shared" si="77"/>
        <v>0</v>
      </c>
      <c r="AF192" s="168">
        <f t="shared" si="78"/>
        <v>0</v>
      </c>
      <c r="AG192" s="168">
        <f t="shared" si="79"/>
        <v>0</v>
      </c>
      <c r="AH192" s="168">
        <f t="shared" si="80"/>
        <v>0</v>
      </c>
      <c r="AI192" s="168">
        <f t="shared" si="81"/>
        <v>0</v>
      </c>
      <c r="AJ192" s="168">
        <f t="shared" si="82"/>
        <v>0</v>
      </c>
    </row>
    <row r="193" spans="1:36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Q193">
        <v>8</v>
      </c>
      <c r="R193" s="168">
        <f>'Alim -Surf'!Q36</f>
        <v>0</v>
      </c>
      <c r="S193" s="168">
        <f>'Alim -Surf'!R36</f>
        <v>0</v>
      </c>
      <c r="T193" s="168">
        <f>VLOOKUP(R193,[1]MEP!$A$4:$M$300,13)</f>
        <v>0</v>
      </c>
      <c r="U193" s="168">
        <f t="shared" si="72"/>
        <v>0</v>
      </c>
      <c r="V193" s="168">
        <f t="shared" si="73"/>
        <v>0</v>
      </c>
      <c r="W193" s="168">
        <f t="shared" si="74"/>
        <v>0</v>
      </c>
      <c r="X193" s="168">
        <f>VLOOKUP(R193,[1]MEP!$A$4:$Q$300,14)</f>
        <v>0</v>
      </c>
      <c r="Y193" s="168">
        <f>VLOOKUP(R193,[1]MEP!$A$4:$R$300,15)</f>
        <v>0</v>
      </c>
      <c r="Z193" s="168">
        <f>VLOOKUP(R193,[1]MEP!$A$4:$R$300,16)</f>
        <v>0</v>
      </c>
      <c r="AA193" s="168">
        <f t="shared" si="70"/>
        <v>0</v>
      </c>
      <c r="AB193" s="168">
        <f t="shared" si="71"/>
        <v>0</v>
      </c>
      <c r="AC193" s="168">
        <f t="shared" si="75"/>
        <v>0</v>
      </c>
      <c r="AD193" s="168">
        <f t="shared" si="76"/>
        <v>0</v>
      </c>
      <c r="AE193" s="168">
        <f t="shared" si="77"/>
        <v>0</v>
      </c>
      <c r="AF193" s="168">
        <f t="shared" si="78"/>
        <v>0</v>
      </c>
      <c r="AG193" s="168">
        <f t="shared" si="79"/>
        <v>0</v>
      </c>
      <c r="AH193" s="168">
        <f t="shared" si="80"/>
        <v>0</v>
      </c>
      <c r="AI193" s="168">
        <f t="shared" si="81"/>
        <v>0</v>
      </c>
      <c r="AJ193" s="168">
        <f t="shared" si="82"/>
        <v>0</v>
      </c>
    </row>
    <row r="194" spans="1:36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Q194">
        <v>9</v>
      </c>
      <c r="R194" s="168">
        <f>'Alim -Surf'!Q37</f>
        <v>0</v>
      </c>
      <c r="S194" s="168">
        <f>'Alim -Surf'!R37</f>
        <v>0</v>
      </c>
      <c r="T194" s="168">
        <f>VLOOKUP(R194,[1]MEP!$A$4:$M$300,13)</f>
        <v>0</v>
      </c>
      <c r="U194" s="168">
        <f t="shared" si="72"/>
        <v>0</v>
      </c>
      <c r="V194" s="168">
        <f t="shared" si="73"/>
        <v>0</v>
      </c>
      <c r="W194" s="168">
        <f t="shared" si="74"/>
        <v>0</v>
      </c>
      <c r="X194" s="168">
        <f>VLOOKUP(R194,[1]MEP!$A$4:$Q$300,14)</f>
        <v>0</v>
      </c>
      <c r="Y194" s="168">
        <f>VLOOKUP(R194,[1]MEP!$A$4:$R$300,15)</f>
        <v>0</v>
      </c>
      <c r="Z194" s="168">
        <f>VLOOKUP(R194,[1]MEP!$A$4:$R$300,16)</f>
        <v>0</v>
      </c>
      <c r="AA194" s="168">
        <f t="shared" si="70"/>
        <v>0</v>
      </c>
      <c r="AB194" s="168">
        <f t="shared" si="71"/>
        <v>0</v>
      </c>
      <c r="AC194" s="168">
        <f t="shared" si="75"/>
        <v>0</v>
      </c>
      <c r="AD194" s="168">
        <f t="shared" si="76"/>
        <v>0</v>
      </c>
      <c r="AE194" s="168">
        <f t="shared" si="77"/>
        <v>0</v>
      </c>
      <c r="AF194" s="168">
        <f t="shared" si="78"/>
        <v>0</v>
      </c>
      <c r="AG194" s="168">
        <f t="shared" si="79"/>
        <v>0</v>
      </c>
      <c r="AH194" s="168">
        <f t="shared" si="80"/>
        <v>0</v>
      </c>
      <c r="AI194" s="168">
        <f t="shared" si="81"/>
        <v>0</v>
      </c>
      <c r="AJ194" s="168">
        <f t="shared" si="82"/>
        <v>0</v>
      </c>
    </row>
    <row r="195" spans="1:36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Q195">
        <v>10</v>
      </c>
      <c r="R195" s="168">
        <f>'Alim -Surf'!Q38</f>
        <v>0</v>
      </c>
      <c r="S195" s="168">
        <f>'Alim -Surf'!R38</f>
        <v>0</v>
      </c>
      <c r="T195" s="168">
        <f>VLOOKUP(R195,[1]MEP!$A$4:$M$300,13)</f>
        <v>0</v>
      </c>
      <c r="U195" s="168">
        <f t="shared" si="72"/>
        <v>0</v>
      </c>
      <c r="V195" s="168">
        <f t="shared" si="73"/>
        <v>0</v>
      </c>
      <c r="W195" s="168">
        <f t="shared" si="74"/>
        <v>0</v>
      </c>
      <c r="X195" s="168">
        <f>VLOOKUP(R195,[1]MEP!$A$4:$Q$300,14)</f>
        <v>0</v>
      </c>
      <c r="Y195" s="168">
        <f>VLOOKUP(R195,[1]MEP!$A$4:$R$300,15)</f>
        <v>0</v>
      </c>
      <c r="Z195" s="168">
        <f>VLOOKUP(R195,[1]MEP!$A$4:$R$300,16)</f>
        <v>0</v>
      </c>
      <c r="AA195" s="168">
        <f t="shared" si="70"/>
        <v>0</v>
      </c>
      <c r="AB195" s="168">
        <f t="shared" si="71"/>
        <v>0</v>
      </c>
      <c r="AC195" s="168">
        <f t="shared" si="75"/>
        <v>0</v>
      </c>
      <c r="AD195" s="168">
        <f t="shared" si="76"/>
        <v>0</v>
      </c>
      <c r="AE195" s="168">
        <f t="shared" si="77"/>
        <v>0</v>
      </c>
      <c r="AF195" s="168">
        <f t="shared" si="78"/>
        <v>0</v>
      </c>
      <c r="AG195" s="168">
        <f t="shared" si="79"/>
        <v>0</v>
      </c>
      <c r="AH195" s="168">
        <f t="shared" si="80"/>
        <v>0</v>
      </c>
      <c r="AI195" s="168">
        <f t="shared" si="81"/>
        <v>0</v>
      </c>
      <c r="AJ195" s="168">
        <f t="shared" si="82"/>
        <v>0</v>
      </c>
    </row>
    <row r="196" spans="1:36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Q196">
        <v>11</v>
      </c>
      <c r="R196" s="168">
        <f>'Alim -Surf'!Q39</f>
        <v>0</v>
      </c>
      <c r="S196" s="168">
        <f>'Alim -Surf'!R39</f>
        <v>0</v>
      </c>
      <c r="T196" s="168">
        <f>VLOOKUP(R196,[1]MEP!$A$4:$M$300,13)</f>
        <v>0</v>
      </c>
      <c r="U196" s="168">
        <f t="shared" si="72"/>
        <v>0</v>
      </c>
      <c r="V196" s="168">
        <f t="shared" si="73"/>
        <v>0</v>
      </c>
      <c r="W196" s="168">
        <f t="shared" si="74"/>
        <v>0</v>
      </c>
      <c r="X196" s="168">
        <f>VLOOKUP(R196,[1]MEP!$A$4:$Q$300,14)</f>
        <v>0</v>
      </c>
      <c r="Y196" s="168">
        <f>VLOOKUP(R196,[1]MEP!$A$4:$R$300,15)</f>
        <v>0</v>
      </c>
      <c r="Z196" s="168">
        <f>VLOOKUP(R196,[1]MEP!$A$4:$R$300,16)</f>
        <v>0</v>
      </c>
      <c r="AA196" s="168">
        <f t="shared" si="70"/>
        <v>0</v>
      </c>
      <c r="AB196" s="168">
        <f t="shared" si="71"/>
        <v>0</v>
      </c>
      <c r="AC196" s="168">
        <f t="shared" si="75"/>
        <v>0</v>
      </c>
      <c r="AD196" s="168">
        <f t="shared" si="76"/>
        <v>0</v>
      </c>
      <c r="AE196" s="168">
        <f t="shared" si="77"/>
        <v>0</v>
      </c>
      <c r="AF196" s="168">
        <f t="shared" si="78"/>
        <v>0</v>
      </c>
      <c r="AG196" s="168">
        <f t="shared" si="79"/>
        <v>0</v>
      </c>
      <c r="AH196" s="168">
        <f t="shared" si="80"/>
        <v>0</v>
      </c>
      <c r="AI196" s="168">
        <f t="shared" si="81"/>
        <v>0</v>
      </c>
      <c r="AJ196" s="168">
        <f t="shared" si="82"/>
        <v>0</v>
      </c>
    </row>
    <row r="197" spans="1:36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Q197">
        <v>12</v>
      </c>
      <c r="R197" s="168">
        <f>'Alim -Surf'!Q40</f>
        <v>0</v>
      </c>
      <c r="S197" s="168">
        <f>'Alim -Surf'!R40</f>
        <v>0</v>
      </c>
      <c r="T197" s="168">
        <f>VLOOKUP(R197,[1]MEP!$A$4:$M$300,13)</f>
        <v>0</v>
      </c>
      <c r="U197" s="168">
        <f t="shared" si="72"/>
        <v>0</v>
      </c>
      <c r="V197" s="168">
        <f t="shared" si="73"/>
        <v>0</v>
      </c>
      <c r="W197" s="168">
        <f t="shared" si="74"/>
        <v>0</v>
      </c>
      <c r="X197" s="168">
        <f>VLOOKUP(R197,[1]MEP!$A$4:$Q$300,14)</f>
        <v>0</v>
      </c>
      <c r="Y197" s="168">
        <f>VLOOKUP(R197,[1]MEP!$A$4:$R$300,15)</f>
        <v>0</v>
      </c>
      <c r="Z197" s="168">
        <f>VLOOKUP(R197,[1]MEP!$A$4:$R$300,16)</f>
        <v>0</v>
      </c>
      <c r="AA197" s="168">
        <f t="shared" si="70"/>
        <v>0</v>
      </c>
      <c r="AB197" s="168">
        <f t="shared" si="71"/>
        <v>0</v>
      </c>
      <c r="AC197" s="168">
        <f t="shared" si="75"/>
        <v>0</v>
      </c>
      <c r="AD197" s="168">
        <f t="shared" si="76"/>
        <v>0</v>
      </c>
      <c r="AE197" s="168">
        <f t="shared" si="77"/>
        <v>0</v>
      </c>
      <c r="AF197" s="168">
        <f t="shared" si="78"/>
        <v>0</v>
      </c>
      <c r="AG197" s="168">
        <f t="shared" si="79"/>
        <v>0</v>
      </c>
      <c r="AH197" s="168">
        <f t="shared" si="80"/>
        <v>0</v>
      </c>
      <c r="AI197" s="168">
        <f t="shared" si="81"/>
        <v>0</v>
      </c>
      <c r="AJ197" s="168">
        <f t="shared" si="82"/>
        <v>0</v>
      </c>
    </row>
    <row r="198" spans="1:36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Q198">
        <v>13</v>
      </c>
      <c r="R198" s="168">
        <f>'Alim -Surf'!Q41</f>
        <v>0</v>
      </c>
      <c r="S198" s="168">
        <f>'Alim -Surf'!R41</f>
        <v>0</v>
      </c>
      <c r="T198" s="168">
        <f>VLOOKUP(R198,[1]MEP!$A$4:$M$300,13)</f>
        <v>0</v>
      </c>
      <c r="U198" s="168">
        <f t="shared" si="72"/>
        <v>0</v>
      </c>
      <c r="V198" s="168">
        <f t="shared" si="73"/>
        <v>0</v>
      </c>
      <c r="W198" s="168">
        <f t="shared" si="74"/>
        <v>0</v>
      </c>
      <c r="X198" s="168">
        <f>VLOOKUP(R198,[1]MEP!$A$4:$Q$300,14)</f>
        <v>0</v>
      </c>
      <c r="Y198" s="168">
        <f>VLOOKUP(R198,[1]MEP!$A$4:$R$300,15)</f>
        <v>0</v>
      </c>
      <c r="Z198" s="168">
        <f>VLOOKUP(R198,[1]MEP!$A$4:$R$300,16)</f>
        <v>0</v>
      </c>
      <c r="AA198" s="168">
        <f t="shared" si="70"/>
        <v>0</v>
      </c>
      <c r="AB198" s="168">
        <f t="shared" si="71"/>
        <v>0</v>
      </c>
      <c r="AC198" s="168">
        <f t="shared" si="75"/>
        <v>0</v>
      </c>
      <c r="AD198" s="168">
        <f t="shared" si="76"/>
        <v>0</v>
      </c>
      <c r="AE198" s="168">
        <f t="shared" si="77"/>
        <v>0</v>
      </c>
      <c r="AF198" s="168">
        <f t="shared" si="78"/>
        <v>0</v>
      </c>
      <c r="AG198" s="168">
        <f t="shared" si="79"/>
        <v>0</v>
      </c>
      <c r="AH198" s="168">
        <f t="shared" si="80"/>
        <v>0</v>
      </c>
      <c r="AI198" s="168">
        <f t="shared" si="81"/>
        <v>0</v>
      </c>
      <c r="AJ198" s="168">
        <f t="shared" si="82"/>
        <v>0</v>
      </c>
    </row>
    <row r="199" spans="1:36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Q199">
        <v>14</v>
      </c>
      <c r="R199" s="168">
        <f>'Alim -Surf'!Q42</f>
        <v>0</v>
      </c>
      <c r="S199" s="168">
        <f>'Alim -Surf'!R42</f>
        <v>0</v>
      </c>
      <c r="T199" s="168">
        <f>VLOOKUP(R199,[1]MEP!$A$4:$M$300,13)</f>
        <v>0</v>
      </c>
      <c r="U199" s="168">
        <f t="shared" si="72"/>
        <v>0</v>
      </c>
      <c r="V199" s="168">
        <f t="shared" si="73"/>
        <v>0</v>
      </c>
      <c r="W199" s="168">
        <f t="shared" si="74"/>
        <v>0</v>
      </c>
      <c r="X199" s="168">
        <f>VLOOKUP(R199,[1]MEP!$A$4:$Q$300,14)</f>
        <v>0</v>
      </c>
      <c r="Y199" s="168">
        <f>VLOOKUP(R199,[1]MEP!$A$4:$R$300,15)</f>
        <v>0</v>
      </c>
      <c r="Z199" s="168">
        <f>VLOOKUP(R199,[1]MEP!$A$4:$R$300,16)</f>
        <v>0</v>
      </c>
      <c r="AA199" s="168">
        <f t="shared" si="70"/>
        <v>0</v>
      </c>
      <c r="AB199" s="168">
        <f t="shared" si="71"/>
        <v>0</v>
      </c>
      <c r="AC199" s="168">
        <f t="shared" si="75"/>
        <v>0</v>
      </c>
      <c r="AD199" s="168">
        <f t="shared" si="76"/>
        <v>0</v>
      </c>
      <c r="AE199" s="168">
        <f t="shared" si="77"/>
        <v>0</v>
      </c>
      <c r="AF199" s="168">
        <f t="shared" si="78"/>
        <v>0</v>
      </c>
      <c r="AG199" s="168">
        <f t="shared" si="79"/>
        <v>0</v>
      </c>
      <c r="AH199" s="168">
        <f t="shared" si="80"/>
        <v>0</v>
      </c>
      <c r="AI199" s="168">
        <f t="shared" si="81"/>
        <v>0</v>
      </c>
      <c r="AJ199" s="168">
        <f t="shared" si="82"/>
        <v>0</v>
      </c>
    </row>
    <row r="200" spans="1:36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Q200">
        <v>15</v>
      </c>
      <c r="R200" s="168">
        <f>'Alim -Surf'!Q43</f>
        <v>0</v>
      </c>
      <c r="S200" s="168">
        <f>'Alim -Surf'!R43</f>
        <v>0</v>
      </c>
      <c r="T200" s="168">
        <f>VLOOKUP(R200,[1]MEP!$A$4:$M$300,13)</f>
        <v>0</v>
      </c>
      <c r="U200" s="168">
        <f t="shared" si="72"/>
        <v>0</v>
      </c>
      <c r="V200" s="168">
        <f t="shared" si="73"/>
        <v>0</v>
      </c>
      <c r="W200" s="168">
        <f t="shared" si="74"/>
        <v>0</v>
      </c>
      <c r="X200" s="168">
        <f>VLOOKUP(R200,[1]MEP!$A$4:$Q$300,14)</f>
        <v>0</v>
      </c>
      <c r="Y200" s="168">
        <f>VLOOKUP(R200,[1]MEP!$A$4:$R$300,15)</f>
        <v>0</v>
      </c>
      <c r="Z200" s="168">
        <f>VLOOKUP(R200,[1]MEP!$A$4:$R$300,16)</f>
        <v>0</v>
      </c>
      <c r="AA200" s="168">
        <f t="shared" si="70"/>
        <v>0</v>
      </c>
      <c r="AB200" s="168">
        <f t="shared" si="71"/>
        <v>0</v>
      </c>
      <c r="AC200" s="168">
        <f t="shared" si="75"/>
        <v>0</v>
      </c>
      <c r="AD200" s="168">
        <f t="shared" si="76"/>
        <v>0</v>
      </c>
      <c r="AE200" s="168">
        <f t="shared" si="77"/>
        <v>0</v>
      </c>
      <c r="AF200" s="168">
        <f t="shared" si="78"/>
        <v>0</v>
      </c>
      <c r="AG200" s="168">
        <f t="shared" si="79"/>
        <v>0</v>
      </c>
      <c r="AH200" s="168">
        <f t="shared" si="80"/>
        <v>0</v>
      </c>
      <c r="AI200" s="168">
        <f t="shared" si="81"/>
        <v>0</v>
      </c>
      <c r="AJ200" s="168">
        <f t="shared" si="82"/>
        <v>0</v>
      </c>
    </row>
    <row r="201" spans="1:36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Q201">
        <v>16</v>
      </c>
      <c r="R201" s="168">
        <f>'Alim -Surf'!Q44</f>
        <v>0</v>
      </c>
      <c r="S201" s="168">
        <f>'Alim -Surf'!R44</f>
        <v>0</v>
      </c>
      <c r="T201" s="168">
        <f>VLOOKUP(R201,[1]MEP!$A$4:$M$300,13)</f>
        <v>0</v>
      </c>
      <c r="U201" s="168">
        <f t="shared" si="72"/>
        <v>0</v>
      </c>
      <c r="V201" s="168">
        <f t="shared" si="73"/>
        <v>0</v>
      </c>
      <c r="W201" s="168">
        <f t="shared" si="74"/>
        <v>0</v>
      </c>
      <c r="X201" s="168">
        <f>VLOOKUP(R201,[1]MEP!$A$4:$Q$300,14)</f>
        <v>0</v>
      </c>
      <c r="Y201" s="168">
        <f>VLOOKUP(R201,[1]MEP!$A$4:$R$300,15)</f>
        <v>0</v>
      </c>
      <c r="Z201" s="168">
        <f>VLOOKUP(R201,[1]MEP!$A$4:$R$300,16)</f>
        <v>0</v>
      </c>
      <c r="AA201" s="168">
        <f t="shared" si="70"/>
        <v>0</v>
      </c>
      <c r="AB201" s="168">
        <f t="shared" si="71"/>
        <v>0</v>
      </c>
      <c r="AC201" s="168">
        <f t="shared" si="75"/>
        <v>0</v>
      </c>
      <c r="AD201" s="168">
        <f t="shared" si="76"/>
        <v>0</v>
      </c>
      <c r="AE201" s="168">
        <f t="shared" si="77"/>
        <v>0</v>
      </c>
      <c r="AF201" s="168">
        <f t="shared" si="78"/>
        <v>0</v>
      </c>
      <c r="AG201" s="168">
        <f t="shared" si="79"/>
        <v>0</v>
      </c>
      <c r="AH201" s="168">
        <f t="shared" si="80"/>
        <v>0</v>
      </c>
      <c r="AI201" s="168">
        <f t="shared" si="81"/>
        <v>0</v>
      </c>
      <c r="AJ201" s="168">
        <f t="shared" si="82"/>
        <v>0</v>
      </c>
    </row>
    <row r="202" spans="1:36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Q202">
        <v>17</v>
      </c>
      <c r="R202" s="168">
        <f>'Alim -Surf'!Q45</f>
        <v>0</v>
      </c>
      <c r="S202" s="168">
        <f>'Alim -Surf'!R45</f>
        <v>0</v>
      </c>
      <c r="T202" s="168">
        <f>VLOOKUP(R202,[1]MEP!$A$4:$M$300,13)</f>
        <v>0</v>
      </c>
      <c r="U202" s="168">
        <f t="shared" si="72"/>
        <v>0</v>
      </c>
      <c r="V202" s="168">
        <f t="shared" si="73"/>
        <v>0</v>
      </c>
      <c r="W202" s="168">
        <f t="shared" si="74"/>
        <v>0</v>
      </c>
      <c r="X202" s="168">
        <f>VLOOKUP(R202,[1]MEP!$A$4:$Q$300,14)</f>
        <v>0</v>
      </c>
      <c r="Y202" s="168">
        <f>VLOOKUP(R202,[1]MEP!$A$4:$R$300,15)</f>
        <v>0</v>
      </c>
      <c r="Z202" s="168">
        <f>VLOOKUP(R202,[1]MEP!$A$4:$R$300,16)</f>
        <v>0</v>
      </c>
      <c r="AA202" s="168">
        <f t="shared" si="70"/>
        <v>0</v>
      </c>
      <c r="AB202" s="168">
        <f t="shared" si="71"/>
        <v>0</v>
      </c>
      <c r="AC202" s="168">
        <f t="shared" si="75"/>
        <v>0</v>
      </c>
      <c r="AD202" s="168">
        <f t="shared" si="76"/>
        <v>0</v>
      </c>
      <c r="AE202" s="168">
        <f t="shared" si="77"/>
        <v>0</v>
      </c>
      <c r="AF202" s="168">
        <f t="shared" si="78"/>
        <v>0</v>
      </c>
      <c r="AG202" s="168">
        <f t="shared" si="79"/>
        <v>0</v>
      </c>
      <c r="AH202" s="168">
        <f t="shared" si="80"/>
        <v>0</v>
      </c>
      <c r="AI202" s="168">
        <f t="shared" si="81"/>
        <v>0</v>
      </c>
      <c r="AJ202" s="168">
        <f t="shared" si="82"/>
        <v>0</v>
      </c>
    </row>
    <row r="203" spans="1:36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Q203">
        <v>18</v>
      </c>
      <c r="R203" s="168">
        <f>'Alim -Surf'!Q46</f>
        <v>0</v>
      </c>
      <c r="S203" s="168">
        <f>'Alim -Surf'!R46</f>
        <v>0</v>
      </c>
      <c r="T203" s="168">
        <f>VLOOKUP(R203,[1]MEP!$A$4:$M$300,13)</f>
        <v>0</v>
      </c>
      <c r="U203" s="168">
        <f t="shared" si="72"/>
        <v>0</v>
      </c>
      <c r="V203" s="168">
        <f t="shared" si="73"/>
        <v>0</v>
      </c>
      <c r="W203" s="168">
        <f t="shared" si="74"/>
        <v>0</v>
      </c>
      <c r="X203" s="168">
        <f>VLOOKUP(R203,[1]MEP!$A$4:$Q$300,14)</f>
        <v>0</v>
      </c>
      <c r="Y203" s="168">
        <f>VLOOKUP(R203,[1]MEP!$A$4:$R$300,15)</f>
        <v>0</v>
      </c>
      <c r="Z203" s="168">
        <f>VLOOKUP(R203,[1]MEP!$A$4:$R$300,16)</f>
        <v>0</v>
      </c>
      <c r="AA203" s="168">
        <f t="shared" si="70"/>
        <v>0</v>
      </c>
      <c r="AB203" s="168">
        <f t="shared" si="71"/>
        <v>0</v>
      </c>
      <c r="AC203" s="168">
        <f t="shared" si="75"/>
        <v>0</v>
      </c>
      <c r="AD203" s="168">
        <f t="shared" si="76"/>
        <v>0</v>
      </c>
      <c r="AE203" s="168">
        <f t="shared" si="77"/>
        <v>0</v>
      </c>
      <c r="AF203" s="168">
        <f t="shared" si="78"/>
        <v>0</v>
      </c>
      <c r="AG203" s="168">
        <f t="shared" si="79"/>
        <v>0</v>
      </c>
      <c r="AH203" s="168">
        <f t="shared" si="80"/>
        <v>0</v>
      </c>
      <c r="AI203" s="168">
        <f t="shared" si="81"/>
        <v>0</v>
      </c>
      <c r="AJ203" s="168">
        <f t="shared" si="82"/>
        <v>0</v>
      </c>
    </row>
    <row r="204" spans="1:36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Q204">
        <v>19</v>
      </c>
      <c r="R204" s="168">
        <f>'Alim -Surf'!Q47</f>
        <v>0</v>
      </c>
      <c r="S204" s="168">
        <f>'Alim -Surf'!R47</f>
        <v>0</v>
      </c>
      <c r="T204" s="168">
        <f>VLOOKUP(R204,[1]MEP!$A$4:$M$300,13)</f>
        <v>0</v>
      </c>
      <c r="U204" s="168">
        <f t="shared" si="72"/>
        <v>0</v>
      </c>
      <c r="V204" s="168">
        <f t="shared" si="73"/>
        <v>0</v>
      </c>
      <c r="W204" s="168">
        <f t="shared" si="74"/>
        <v>0</v>
      </c>
      <c r="X204" s="168">
        <f>VLOOKUP(R204,[1]MEP!$A$4:$Q$300,14)</f>
        <v>0</v>
      </c>
      <c r="Y204" s="168">
        <f>VLOOKUP(R204,[1]MEP!$A$4:$R$300,15)</f>
        <v>0</v>
      </c>
      <c r="Z204" s="168">
        <f>VLOOKUP(R204,[1]MEP!$A$4:$R$300,16)</f>
        <v>0</v>
      </c>
      <c r="AA204" s="168">
        <f t="shared" si="70"/>
        <v>0</v>
      </c>
      <c r="AB204" s="168">
        <f t="shared" si="71"/>
        <v>0</v>
      </c>
      <c r="AC204" s="168">
        <f t="shared" si="75"/>
        <v>0</v>
      </c>
      <c r="AD204" s="168">
        <f t="shared" si="76"/>
        <v>0</v>
      </c>
      <c r="AE204" s="168">
        <f t="shared" si="77"/>
        <v>0</v>
      </c>
      <c r="AF204" s="168">
        <f t="shared" si="78"/>
        <v>0</v>
      </c>
      <c r="AG204" s="168">
        <f t="shared" si="79"/>
        <v>0</v>
      </c>
      <c r="AH204" s="168">
        <f t="shared" si="80"/>
        <v>0</v>
      </c>
      <c r="AI204" s="168">
        <f t="shared" si="81"/>
        <v>0</v>
      </c>
      <c r="AJ204" s="168">
        <f t="shared" si="82"/>
        <v>0</v>
      </c>
    </row>
    <row r="205" spans="1:36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P205" s="5"/>
      <c r="Q205">
        <v>20</v>
      </c>
      <c r="R205" s="168">
        <f>'Alim -Surf'!Q48</f>
        <v>0</v>
      </c>
      <c r="S205" s="168">
        <f>'Alim -Surf'!R48</f>
        <v>0</v>
      </c>
      <c r="T205" s="168">
        <f>VLOOKUP(R205,[1]MEP!$A$4:$M$300,13)</f>
        <v>0</v>
      </c>
      <c r="U205" s="168">
        <f t="shared" si="72"/>
        <v>0</v>
      </c>
      <c r="V205" s="168">
        <f t="shared" si="73"/>
        <v>0</v>
      </c>
      <c r="W205" s="168">
        <f t="shared" si="74"/>
        <v>0</v>
      </c>
      <c r="X205" s="168">
        <f>VLOOKUP(R205,[1]MEP!$A$4:$Q$300,14)</f>
        <v>0</v>
      </c>
      <c r="Y205" s="168">
        <f>VLOOKUP(R205,[1]MEP!$A$4:$R$300,15)</f>
        <v>0</v>
      </c>
      <c r="Z205" s="168">
        <f>VLOOKUP(R205,[1]MEP!$A$4:$R$300,16)</f>
        <v>0</v>
      </c>
      <c r="AA205" s="168">
        <f t="shared" si="70"/>
        <v>0</v>
      </c>
      <c r="AB205" s="168">
        <f t="shared" si="71"/>
        <v>0</v>
      </c>
      <c r="AC205" s="168">
        <f t="shared" si="75"/>
        <v>0</v>
      </c>
      <c r="AD205" s="168">
        <f t="shared" si="76"/>
        <v>0</v>
      </c>
      <c r="AE205" s="168">
        <f t="shared" si="77"/>
        <v>0</v>
      </c>
      <c r="AF205" s="168">
        <f t="shared" si="78"/>
        <v>0</v>
      </c>
      <c r="AG205" s="168">
        <f t="shared" si="79"/>
        <v>0</v>
      </c>
      <c r="AH205" s="168">
        <f t="shared" si="80"/>
        <v>0</v>
      </c>
      <c r="AI205" s="168">
        <f t="shared" si="81"/>
        <v>0</v>
      </c>
      <c r="AJ205" s="168">
        <f t="shared" si="82"/>
        <v>0</v>
      </c>
    </row>
    <row r="206" spans="1:36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P206" s="5"/>
      <c r="Q206" s="5"/>
      <c r="R206" s="168">
        <f>'Alim -Surf'!Q49</f>
        <v>0</v>
      </c>
      <c r="S206" s="168">
        <f>'Alim -Surf'!R49</f>
        <v>0</v>
      </c>
      <c r="T206" s="168">
        <f>VLOOKUP(R206,[1]MEP!$A$4:$M$300,13)</f>
        <v>0</v>
      </c>
      <c r="U206" s="168">
        <f t="shared" si="72"/>
        <v>0</v>
      </c>
      <c r="V206" s="168">
        <f t="shared" si="73"/>
        <v>0</v>
      </c>
      <c r="W206" s="168">
        <f t="shared" si="74"/>
        <v>0</v>
      </c>
      <c r="X206" s="168">
        <f>VLOOKUP(R206,[1]MEP!$A$4:$Q$300,14)</f>
        <v>0</v>
      </c>
      <c r="Y206" s="168">
        <f>VLOOKUP(R206,[1]MEP!$A$4:$R$300,15)</f>
        <v>0</v>
      </c>
      <c r="Z206" s="168">
        <f>VLOOKUP(R206,[1]MEP!$A$4:$R$300,16)</f>
        <v>0</v>
      </c>
      <c r="AA206" s="168">
        <f t="shared" si="70"/>
        <v>0</v>
      </c>
      <c r="AB206" s="168">
        <f t="shared" si="71"/>
        <v>0</v>
      </c>
      <c r="AC206" s="168">
        <f t="shared" si="75"/>
        <v>0</v>
      </c>
      <c r="AD206" s="168">
        <f t="shared" si="76"/>
        <v>0</v>
      </c>
      <c r="AE206" s="168">
        <f t="shared" si="77"/>
        <v>0</v>
      </c>
      <c r="AF206" s="168">
        <f t="shared" si="78"/>
        <v>0</v>
      </c>
      <c r="AG206" s="168">
        <f t="shared" si="79"/>
        <v>0</v>
      </c>
      <c r="AH206" s="168">
        <f t="shared" si="80"/>
        <v>0</v>
      </c>
      <c r="AI206" s="168">
        <f t="shared" si="81"/>
        <v>0</v>
      </c>
      <c r="AJ206" s="168">
        <f t="shared" si="82"/>
        <v>0</v>
      </c>
    </row>
    <row r="207" spans="1:36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P207" s="5"/>
      <c r="Q207" s="5"/>
      <c r="R207" s="168">
        <f>'Alim -Surf'!Q50</f>
        <v>0</v>
      </c>
      <c r="S207" s="168">
        <f>'Alim -Surf'!R50</f>
        <v>0</v>
      </c>
      <c r="T207" s="168">
        <f>VLOOKUP(R207,[1]MEP!$A$4:$M$300,13)</f>
        <v>0</v>
      </c>
      <c r="U207" s="168">
        <f t="shared" si="72"/>
        <v>0</v>
      </c>
      <c r="V207" s="168">
        <f t="shared" si="73"/>
        <v>0</v>
      </c>
      <c r="W207" s="168">
        <f t="shared" si="74"/>
        <v>0</v>
      </c>
      <c r="X207" s="168">
        <f>VLOOKUP(R207,[1]MEP!$A$4:$Q$300,14)</f>
        <v>0</v>
      </c>
      <c r="Y207" s="168">
        <f>VLOOKUP(R207,[1]MEP!$A$4:$R$300,15)</f>
        <v>0</v>
      </c>
      <c r="Z207" s="168">
        <f>VLOOKUP(R207,[1]MEP!$A$4:$R$300,16)</f>
        <v>0</v>
      </c>
      <c r="AA207" s="168">
        <f t="shared" si="70"/>
        <v>0</v>
      </c>
      <c r="AB207" s="168">
        <f t="shared" si="71"/>
        <v>0</v>
      </c>
      <c r="AC207" s="168">
        <f t="shared" si="75"/>
        <v>0</v>
      </c>
      <c r="AD207" s="168">
        <f t="shared" si="76"/>
        <v>0</v>
      </c>
      <c r="AE207" s="168">
        <f t="shared" si="77"/>
        <v>0</v>
      </c>
      <c r="AF207" s="168">
        <f t="shared" si="78"/>
        <v>0</v>
      </c>
      <c r="AG207" s="168">
        <f t="shared" si="79"/>
        <v>0</v>
      </c>
      <c r="AH207" s="168">
        <f t="shared" si="80"/>
        <v>0</v>
      </c>
      <c r="AI207" s="168">
        <f t="shared" si="81"/>
        <v>0</v>
      </c>
      <c r="AJ207" s="168">
        <f t="shared" si="82"/>
        <v>0</v>
      </c>
    </row>
    <row r="208" spans="1:36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P208" s="5"/>
      <c r="Q208" s="171">
        <v>1</v>
      </c>
      <c r="R208" s="168">
        <f>'Alim -Surf'!Q51</f>
        <v>0</v>
      </c>
      <c r="S208" s="168">
        <f>'Alim -Surf'!R51</f>
        <v>0</v>
      </c>
      <c r="T208" s="168">
        <f>VLOOKUP(R208,[1]MEP!$A$4:$M$300,13)</f>
        <v>0</v>
      </c>
      <c r="U208" s="168">
        <f t="shared" si="72"/>
        <v>0</v>
      </c>
      <c r="V208" s="168">
        <f t="shared" si="73"/>
        <v>0</v>
      </c>
      <c r="W208" s="168">
        <f t="shared" si="74"/>
        <v>0</v>
      </c>
      <c r="X208" s="168">
        <f>VLOOKUP(R208,[1]MEP!$A$4:$Q$300,14)</f>
        <v>0</v>
      </c>
      <c r="Y208" s="168">
        <f>VLOOKUP(R208,[1]MEP!$A$4:$R$300,15)</f>
        <v>0</v>
      </c>
      <c r="Z208" s="168">
        <f>VLOOKUP(R208,[1]MEP!$A$4:$R$300,16)</f>
        <v>0</v>
      </c>
      <c r="AA208" s="168">
        <f t="shared" si="70"/>
        <v>0</v>
      </c>
      <c r="AB208" s="168">
        <f t="shared" si="71"/>
        <v>0</v>
      </c>
      <c r="AC208" s="168">
        <f t="shared" si="75"/>
        <v>0</v>
      </c>
      <c r="AD208" s="168">
        <f t="shared" si="76"/>
        <v>0</v>
      </c>
      <c r="AE208" s="168">
        <f t="shared" si="77"/>
        <v>0</v>
      </c>
      <c r="AF208" s="168">
        <f t="shared" si="78"/>
        <v>0</v>
      </c>
      <c r="AG208" s="168">
        <f t="shared" si="79"/>
        <v>0</v>
      </c>
      <c r="AH208" s="168">
        <f t="shared" si="80"/>
        <v>0</v>
      </c>
      <c r="AI208" s="168">
        <f t="shared" si="81"/>
        <v>0</v>
      </c>
      <c r="AJ208" s="168">
        <f t="shared" si="82"/>
        <v>0</v>
      </c>
    </row>
    <row r="209" spans="1:36" ht="18.75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235"/>
      <c r="P209" s="5"/>
      <c r="Q209" s="171">
        <v>2</v>
      </c>
      <c r="R209" s="168">
        <f>'Alim -Surf'!Q52</f>
        <v>0</v>
      </c>
      <c r="S209" s="168">
        <f>'Alim -Surf'!R52</f>
        <v>0</v>
      </c>
      <c r="T209" s="168">
        <f>VLOOKUP(R209,[1]MEP!$A$4:$M$300,13)</f>
        <v>0</v>
      </c>
      <c r="U209" s="168">
        <f t="shared" si="72"/>
        <v>0</v>
      </c>
      <c r="V209" s="168">
        <f t="shared" si="73"/>
        <v>0</v>
      </c>
      <c r="W209" s="168">
        <f t="shared" si="74"/>
        <v>0</v>
      </c>
      <c r="X209" s="168">
        <f>VLOOKUP(R209,[1]MEP!$A$4:$Q$300,14)</f>
        <v>0</v>
      </c>
      <c r="Y209" s="168">
        <f>VLOOKUP(R209,[1]MEP!$A$4:$R$300,15)</f>
        <v>0</v>
      </c>
      <c r="Z209" s="168">
        <f>VLOOKUP(R209,[1]MEP!$A$4:$R$300,16)</f>
        <v>0</v>
      </c>
      <c r="AA209" s="168">
        <f t="shared" si="70"/>
        <v>0</v>
      </c>
      <c r="AB209" s="168">
        <f t="shared" si="71"/>
        <v>0</v>
      </c>
      <c r="AC209" s="168">
        <f t="shared" si="75"/>
        <v>0</v>
      </c>
      <c r="AD209" s="168">
        <f t="shared" si="76"/>
        <v>0</v>
      </c>
      <c r="AE209" s="168">
        <f t="shared" si="77"/>
        <v>0</v>
      </c>
      <c r="AF209" s="168">
        <f t="shared" si="78"/>
        <v>0</v>
      </c>
      <c r="AG209" s="168">
        <f t="shared" si="79"/>
        <v>0</v>
      </c>
      <c r="AH209" s="168">
        <f t="shared" si="80"/>
        <v>0</v>
      </c>
      <c r="AI209" s="168">
        <f t="shared" si="81"/>
        <v>0</v>
      </c>
      <c r="AJ209" s="168">
        <f t="shared" si="82"/>
        <v>0</v>
      </c>
    </row>
    <row r="210" spans="1:36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P210" s="5"/>
      <c r="Q210" s="171">
        <v>3</v>
      </c>
      <c r="R210" s="168">
        <f>'Alim -Surf'!Q53</f>
        <v>0</v>
      </c>
      <c r="S210" s="168">
        <f>'Alim -Surf'!R53</f>
        <v>0</v>
      </c>
      <c r="T210" s="168">
        <f>VLOOKUP(R210,[1]MEP!$A$4:$M$300,13)</f>
        <v>0</v>
      </c>
      <c r="U210" s="168">
        <f t="shared" si="72"/>
        <v>0</v>
      </c>
      <c r="V210" s="168">
        <f t="shared" si="73"/>
        <v>0</v>
      </c>
      <c r="W210" s="168">
        <f t="shared" si="74"/>
        <v>0</v>
      </c>
      <c r="X210" s="168">
        <f>VLOOKUP(R210,[1]MEP!$A$4:$Q$300,14)</f>
        <v>0</v>
      </c>
      <c r="Y210" s="168">
        <f>VLOOKUP(R210,[1]MEP!$A$4:$R$300,15)</f>
        <v>0</v>
      </c>
      <c r="Z210" s="168">
        <f>VLOOKUP(R210,[1]MEP!$A$4:$R$300,16)</f>
        <v>0</v>
      </c>
      <c r="AA210" s="168">
        <f t="shared" si="70"/>
        <v>0</v>
      </c>
      <c r="AB210" s="168">
        <f t="shared" si="71"/>
        <v>0</v>
      </c>
      <c r="AC210" s="168">
        <f t="shared" si="75"/>
        <v>0</v>
      </c>
      <c r="AD210" s="168">
        <f t="shared" si="76"/>
        <v>0</v>
      </c>
      <c r="AE210" s="168">
        <f t="shared" si="77"/>
        <v>0</v>
      </c>
      <c r="AF210" s="168">
        <f t="shared" si="78"/>
        <v>0</v>
      </c>
      <c r="AG210" s="168">
        <f t="shared" si="79"/>
        <v>0</v>
      </c>
      <c r="AH210" s="168">
        <f t="shared" si="80"/>
        <v>0</v>
      </c>
      <c r="AI210" s="168">
        <f t="shared" si="81"/>
        <v>0</v>
      </c>
      <c r="AJ210" s="168">
        <f t="shared" si="82"/>
        <v>0</v>
      </c>
    </row>
    <row r="211" spans="1:36" ht="18.75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P211" s="236"/>
      <c r="Q211" s="171">
        <v>4</v>
      </c>
      <c r="R211" s="168">
        <f>'Alim -Surf'!Q54</f>
        <v>0</v>
      </c>
      <c r="S211" s="168">
        <f>'Alim -Surf'!R54</f>
        <v>0</v>
      </c>
      <c r="T211" s="168">
        <f>VLOOKUP(R211,[1]MEP!$A$4:$M$300,13)</f>
        <v>0</v>
      </c>
      <c r="U211" s="168">
        <f t="shared" si="72"/>
        <v>0</v>
      </c>
      <c r="V211" s="168">
        <f t="shared" si="73"/>
        <v>0</v>
      </c>
      <c r="W211" s="168">
        <f t="shared" si="74"/>
        <v>0</v>
      </c>
      <c r="X211" s="168">
        <f>VLOOKUP(R211,[1]MEP!$A$4:$Q$300,14)</f>
        <v>0</v>
      </c>
      <c r="Y211" s="168">
        <f>VLOOKUP(R211,[1]MEP!$A$4:$R$300,15)</f>
        <v>0</v>
      </c>
      <c r="Z211" s="168">
        <f>VLOOKUP(R211,[1]MEP!$A$4:$R$300,16)</f>
        <v>0</v>
      </c>
      <c r="AA211" s="168">
        <f t="shared" si="70"/>
        <v>0</v>
      </c>
      <c r="AB211" s="168">
        <f t="shared" si="71"/>
        <v>0</v>
      </c>
      <c r="AC211" s="168">
        <f t="shared" si="75"/>
        <v>0</v>
      </c>
      <c r="AD211" s="168">
        <f t="shared" si="76"/>
        <v>0</v>
      </c>
      <c r="AE211" s="168">
        <f t="shared" si="77"/>
        <v>0</v>
      </c>
      <c r="AF211" s="168">
        <f t="shared" si="78"/>
        <v>0</v>
      </c>
      <c r="AG211" s="168">
        <f t="shared" si="79"/>
        <v>0</v>
      </c>
      <c r="AH211" s="168">
        <f t="shared" si="80"/>
        <v>0</v>
      </c>
      <c r="AI211" s="168">
        <f t="shared" si="81"/>
        <v>0</v>
      </c>
      <c r="AJ211" s="168">
        <f t="shared" si="82"/>
        <v>0</v>
      </c>
    </row>
    <row r="212" spans="1:36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P212" s="5"/>
      <c r="Q212" s="171">
        <v>5</v>
      </c>
      <c r="R212" s="168">
        <f>'Alim -Surf'!Q55</f>
        <v>0</v>
      </c>
      <c r="S212" s="168">
        <f>'Alim -Surf'!R55</f>
        <v>0</v>
      </c>
      <c r="T212" s="168">
        <f>VLOOKUP(R212,[1]MEP!$A$4:$M$300,13)</f>
        <v>0</v>
      </c>
      <c r="U212" s="168">
        <f t="shared" si="72"/>
        <v>0</v>
      </c>
      <c r="V212" s="168">
        <f t="shared" si="73"/>
        <v>0</v>
      </c>
      <c r="W212" s="168">
        <f t="shared" si="74"/>
        <v>0</v>
      </c>
      <c r="X212" s="168">
        <f>VLOOKUP(R212,[1]MEP!$A$4:$Q$300,14)</f>
        <v>0</v>
      </c>
      <c r="Y212" s="168">
        <f>VLOOKUP(R212,[1]MEP!$A$4:$R$300,15)</f>
        <v>0</v>
      </c>
      <c r="Z212" s="168">
        <f>VLOOKUP(R212,[1]MEP!$A$4:$R$300,16)</f>
        <v>0</v>
      </c>
      <c r="AA212" s="168">
        <f t="shared" si="70"/>
        <v>0</v>
      </c>
      <c r="AB212" s="168">
        <f t="shared" si="71"/>
        <v>0</v>
      </c>
      <c r="AC212" s="168">
        <f t="shared" si="75"/>
        <v>0</v>
      </c>
      <c r="AD212" s="168">
        <f t="shared" si="76"/>
        <v>0</v>
      </c>
      <c r="AE212" s="168">
        <f t="shared" si="77"/>
        <v>0</v>
      </c>
      <c r="AF212" s="168">
        <f t="shared" si="78"/>
        <v>0</v>
      </c>
      <c r="AG212" s="168">
        <f t="shared" si="79"/>
        <v>0</v>
      </c>
      <c r="AH212" s="168">
        <f t="shared" si="80"/>
        <v>0</v>
      </c>
      <c r="AI212" s="168">
        <f t="shared" si="81"/>
        <v>0</v>
      </c>
      <c r="AJ212" s="168">
        <f t="shared" si="82"/>
        <v>0</v>
      </c>
    </row>
    <row r="213" spans="1:36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P213" s="5"/>
      <c r="Q213" s="171">
        <v>6</v>
      </c>
      <c r="R213" s="168">
        <f>'Alim -Surf'!Q56</f>
        <v>0</v>
      </c>
      <c r="S213" s="168">
        <f>'Alim -Surf'!R56</f>
        <v>0</v>
      </c>
      <c r="T213" s="168">
        <f>VLOOKUP(R213,[1]MEP!$A$4:$M$300,13)</f>
        <v>0</v>
      </c>
      <c r="U213" s="168">
        <f t="shared" si="72"/>
        <v>0</v>
      </c>
      <c r="V213" s="168">
        <f t="shared" si="73"/>
        <v>0</v>
      </c>
      <c r="W213" s="168">
        <f t="shared" si="74"/>
        <v>0</v>
      </c>
      <c r="X213" s="168">
        <f>VLOOKUP(R213,[1]MEP!$A$4:$Q$300,14)</f>
        <v>0</v>
      </c>
      <c r="Y213" s="168">
        <f>VLOOKUP(R213,[1]MEP!$A$4:$R$300,15)</f>
        <v>0</v>
      </c>
      <c r="Z213" s="168">
        <f>VLOOKUP(R213,[1]MEP!$A$4:$R$300,16)</f>
        <v>0</v>
      </c>
      <c r="AA213" s="168">
        <f t="shared" si="70"/>
        <v>0</v>
      </c>
      <c r="AB213" s="168">
        <f t="shared" si="71"/>
        <v>0</v>
      </c>
      <c r="AC213" s="168">
        <f t="shared" si="75"/>
        <v>0</v>
      </c>
      <c r="AD213" s="168">
        <f t="shared" si="76"/>
        <v>0</v>
      </c>
      <c r="AE213" s="168">
        <f t="shared" si="77"/>
        <v>0</v>
      </c>
      <c r="AF213" s="168">
        <f t="shared" si="78"/>
        <v>0</v>
      </c>
      <c r="AG213" s="168">
        <f t="shared" si="79"/>
        <v>0</v>
      </c>
      <c r="AH213" s="168">
        <f t="shared" si="80"/>
        <v>0</v>
      </c>
      <c r="AI213" s="168">
        <f t="shared" si="81"/>
        <v>0</v>
      </c>
      <c r="AJ213" s="168">
        <f t="shared" si="82"/>
        <v>0</v>
      </c>
    </row>
    <row r="214" spans="1:36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Q214" s="171">
        <v>7</v>
      </c>
      <c r="R214" s="168">
        <f>'Alim -Surf'!Q57</f>
        <v>0</v>
      </c>
      <c r="S214" s="168">
        <f>'Alim -Surf'!R57</f>
        <v>0</v>
      </c>
      <c r="T214" s="168">
        <f>VLOOKUP(R214,[1]MEP!$A$4:$M$300,13)</f>
        <v>0</v>
      </c>
      <c r="U214" s="168">
        <f t="shared" si="72"/>
        <v>0</v>
      </c>
      <c r="V214" s="168">
        <f t="shared" si="73"/>
        <v>0</v>
      </c>
      <c r="W214" s="168">
        <f t="shared" si="74"/>
        <v>0</v>
      </c>
      <c r="X214" s="168">
        <f>VLOOKUP(R214,[1]MEP!$A$4:$Q$300,14)</f>
        <v>0</v>
      </c>
      <c r="Y214" s="168">
        <f>VLOOKUP(R214,[1]MEP!$A$4:$R$300,15)</f>
        <v>0</v>
      </c>
      <c r="Z214" s="168">
        <f>VLOOKUP(R214,[1]MEP!$A$4:$R$300,16)</f>
        <v>0</v>
      </c>
      <c r="AA214" s="168">
        <f t="shared" si="70"/>
        <v>0</v>
      </c>
      <c r="AB214" s="168">
        <f t="shared" si="71"/>
        <v>0</v>
      </c>
      <c r="AC214" s="168">
        <f t="shared" si="75"/>
        <v>0</v>
      </c>
      <c r="AD214" s="168">
        <f t="shared" si="76"/>
        <v>0</v>
      </c>
      <c r="AE214" s="168">
        <f t="shared" si="77"/>
        <v>0</v>
      </c>
      <c r="AF214" s="168">
        <f t="shared" si="78"/>
        <v>0</v>
      </c>
      <c r="AG214" s="168">
        <f t="shared" si="79"/>
        <v>0</v>
      </c>
      <c r="AH214" s="168">
        <f t="shared" si="80"/>
        <v>0</v>
      </c>
      <c r="AI214" s="168">
        <f t="shared" si="81"/>
        <v>0</v>
      </c>
      <c r="AJ214" s="168">
        <f t="shared" si="82"/>
        <v>0</v>
      </c>
    </row>
    <row r="215" spans="1:36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Q215" s="171">
        <v>8</v>
      </c>
      <c r="R215" s="168">
        <f>'Alim -Surf'!Q58</f>
        <v>0</v>
      </c>
      <c r="S215" s="168">
        <f>'Alim -Surf'!R58</f>
        <v>0</v>
      </c>
      <c r="T215" s="168">
        <f>VLOOKUP(R215,[1]MEP!$A$4:$M$300,13)</f>
        <v>0</v>
      </c>
      <c r="U215" s="168">
        <f t="shared" si="72"/>
        <v>0</v>
      </c>
      <c r="V215" s="168">
        <f t="shared" si="73"/>
        <v>0</v>
      </c>
      <c r="W215" s="168">
        <f t="shared" si="74"/>
        <v>0</v>
      </c>
      <c r="X215" s="168">
        <f>VLOOKUP(R215,[1]MEP!$A$4:$Q$300,14)</f>
        <v>0</v>
      </c>
      <c r="Y215" s="168">
        <f>VLOOKUP(R215,[1]MEP!$A$4:$R$300,15)</f>
        <v>0</v>
      </c>
      <c r="Z215" s="168">
        <f>VLOOKUP(R215,[1]MEP!$A$4:$R$300,16)</f>
        <v>0</v>
      </c>
      <c r="AA215" s="168">
        <f t="shared" si="70"/>
        <v>0</v>
      </c>
      <c r="AB215" s="168">
        <f t="shared" si="71"/>
        <v>0</v>
      </c>
      <c r="AC215" s="168">
        <f t="shared" si="75"/>
        <v>0</v>
      </c>
      <c r="AD215" s="168">
        <f t="shared" si="76"/>
        <v>0</v>
      </c>
      <c r="AE215" s="168">
        <f t="shared" si="77"/>
        <v>0</v>
      </c>
      <c r="AF215" s="168">
        <f t="shared" si="78"/>
        <v>0</v>
      </c>
      <c r="AG215" s="168">
        <f t="shared" si="79"/>
        <v>0</v>
      </c>
      <c r="AH215" s="168">
        <f t="shared" si="80"/>
        <v>0</v>
      </c>
      <c r="AI215" s="168">
        <f t="shared" si="81"/>
        <v>0</v>
      </c>
      <c r="AJ215" s="168">
        <f t="shared" si="82"/>
        <v>0</v>
      </c>
    </row>
    <row r="216" spans="1:36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Q216" s="171">
        <v>9</v>
      </c>
      <c r="R216" s="168">
        <f>'Alim -Surf'!Q59</f>
        <v>0</v>
      </c>
      <c r="S216" s="168">
        <f>'Alim -Surf'!R59</f>
        <v>0</v>
      </c>
      <c r="T216" s="168">
        <f>VLOOKUP(R216,[1]MEP!$A$4:$M$300,13)</f>
        <v>0</v>
      </c>
      <c r="U216" s="168">
        <f t="shared" si="72"/>
        <v>0</v>
      </c>
      <c r="V216" s="168">
        <f t="shared" si="73"/>
        <v>0</v>
      </c>
      <c r="W216" s="168">
        <f t="shared" si="74"/>
        <v>0</v>
      </c>
      <c r="X216" s="168">
        <f>VLOOKUP(R216,[1]MEP!$A$4:$Q$300,14)</f>
        <v>0</v>
      </c>
      <c r="Y216" s="168">
        <f>VLOOKUP(R216,[1]MEP!$A$4:$R$300,15)</f>
        <v>0</v>
      </c>
      <c r="Z216" s="168">
        <f>VLOOKUP(R216,[1]MEP!$A$4:$R$300,16)</f>
        <v>0</v>
      </c>
      <c r="AA216" s="168">
        <f t="shared" si="70"/>
        <v>0</v>
      </c>
      <c r="AB216" s="168">
        <f t="shared" si="71"/>
        <v>0</v>
      </c>
      <c r="AC216" s="168">
        <f t="shared" si="75"/>
        <v>0</v>
      </c>
      <c r="AD216" s="168">
        <f t="shared" si="76"/>
        <v>0</v>
      </c>
      <c r="AE216" s="168">
        <f t="shared" si="77"/>
        <v>0</v>
      </c>
      <c r="AF216" s="168">
        <f t="shared" si="78"/>
        <v>0</v>
      </c>
      <c r="AG216" s="168">
        <f t="shared" si="79"/>
        <v>0</v>
      </c>
      <c r="AH216" s="168">
        <f t="shared" si="80"/>
        <v>0</v>
      </c>
      <c r="AI216" s="168">
        <f t="shared" si="81"/>
        <v>0</v>
      </c>
      <c r="AJ216" s="168">
        <f t="shared" si="82"/>
        <v>0</v>
      </c>
    </row>
    <row r="217" spans="1:36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Q217" s="171">
        <v>10</v>
      </c>
      <c r="R217" s="168">
        <f>'Alim -Surf'!Q60</f>
        <v>0</v>
      </c>
      <c r="S217" s="168">
        <f>'Alim -Surf'!R60</f>
        <v>0</v>
      </c>
      <c r="T217" s="168">
        <f>VLOOKUP(R217,[1]MEP!$A$4:$M$300,13)</f>
        <v>0</v>
      </c>
      <c r="U217" s="168">
        <f t="shared" si="72"/>
        <v>0</v>
      </c>
      <c r="V217" s="168">
        <f t="shared" si="73"/>
        <v>0</v>
      </c>
      <c r="W217" s="168">
        <f t="shared" si="74"/>
        <v>0</v>
      </c>
      <c r="X217" s="168">
        <f>VLOOKUP(R217,[1]MEP!$A$4:$Q$300,14)</f>
        <v>0</v>
      </c>
      <c r="Y217" s="168">
        <f>VLOOKUP(R217,[1]MEP!$A$4:$R$300,15)</f>
        <v>0</v>
      </c>
      <c r="Z217" s="168">
        <f>VLOOKUP(R217,[1]MEP!$A$4:$R$300,16)</f>
        <v>0</v>
      </c>
      <c r="AA217" s="168">
        <f t="shared" si="70"/>
        <v>0</v>
      </c>
      <c r="AB217" s="168">
        <f t="shared" si="71"/>
        <v>0</v>
      </c>
      <c r="AC217" s="168">
        <f t="shared" si="75"/>
        <v>0</v>
      </c>
      <c r="AD217" s="168">
        <f t="shared" si="76"/>
        <v>0</v>
      </c>
      <c r="AE217" s="168">
        <f t="shared" si="77"/>
        <v>0</v>
      </c>
      <c r="AF217" s="168">
        <f t="shared" si="78"/>
        <v>0</v>
      </c>
      <c r="AG217" s="168">
        <f t="shared" si="79"/>
        <v>0</v>
      </c>
      <c r="AH217" s="168">
        <f t="shared" si="80"/>
        <v>0</v>
      </c>
      <c r="AI217" s="168">
        <f t="shared" si="81"/>
        <v>0</v>
      </c>
      <c r="AJ217" s="168">
        <f t="shared" si="82"/>
        <v>0</v>
      </c>
    </row>
    <row r="218" spans="1:36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Q218" s="171">
        <v>11</v>
      </c>
      <c r="R218" s="168">
        <f>'Alim -Surf'!Q61</f>
        <v>0</v>
      </c>
      <c r="S218" s="168">
        <f>'Alim -Surf'!R61</f>
        <v>0</v>
      </c>
      <c r="T218" s="168">
        <f>VLOOKUP(R218,[1]MEP!$A$4:$M$300,13)</f>
        <v>0</v>
      </c>
      <c r="U218" s="168">
        <f t="shared" si="72"/>
        <v>0</v>
      </c>
      <c r="V218" s="168">
        <f t="shared" si="73"/>
        <v>0</v>
      </c>
      <c r="W218" s="168">
        <f t="shared" si="74"/>
        <v>0</v>
      </c>
      <c r="X218" s="168">
        <f>VLOOKUP(R218,[1]MEP!$A$4:$Q$300,14)</f>
        <v>0</v>
      </c>
      <c r="Y218" s="168">
        <f>VLOOKUP(R218,[1]MEP!$A$4:$R$300,15)</f>
        <v>0</v>
      </c>
      <c r="Z218" s="168">
        <f>VLOOKUP(R218,[1]MEP!$A$4:$R$300,16)</f>
        <v>0</v>
      </c>
      <c r="AA218" s="168">
        <f t="shared" si="70"/>
        <v>0</v>
      </c>
      <c r="AB218" s="168">
        <f t="shared" si="71"/>
        <v>0</v>
      </c>
      <c r="AC218" s="168">
        <f t="shared" si="75"/>
        <v>0</v>
      </c>
      <c r="AD218" s="168">
        <f t="shared" si="76"/>
        <v>0</v>
      </c>
      <c r="AE218" s="168">
        <f t="shared" si="77"/>
        <v>0</v>
      </c>
      <c r="AF218" s="168">
        <f t="shared" si="78"/>
        <v>0</v>
      </c>
      <c r="AG218" s="168">
        <f t="shared" si="79"/>
        <v>0</v>
      </c>
      <c r="AH218" s="168">
        <f t="shared" si="80"/>
        <v>0</v>
      </c>
      <c r="AI218" s="168">
        <f t="shared" si="81"/>
        <v>0</v>
      </c>
      <c r="AJ218" s="168">
        <f t="shared" si="82"/>
        <v>0</v>
      </c>
    </row>
    <row r="219" spans="1:36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Q219" s="171">
        <v>12</v>
      </c>
      <c r="R219" s="168">
        <f>'Alim -Surf'!Q62</f>
        <v>0</v>
      </c>
      <c r="S219" s="168">
        <f>'Alim -Surf'!R62</f>
        <v>0</v>
      </c>
      <c r="T219" s="168">
        <f>VLOOKUP(R219,[1]MEP!$A$4:$M$300,13)</f>
        <v>0</v>
      </c>
      <c r="U219" s="168">
        <f t="shared" si="72"/>
        <v>0</v>
      </c>
      <c r="V219" s="168">
        <f t="shared" si="73"/>
        <v>0</v>
      </c>
      <c r="W219" s="168">
        <f t="shared" si="74"/>
        <v>0</v>
      </c>
      <c r="X219" s="168">
        <f>VLOOKUP(R219,[1]MEP!$A$4:$Q$300,14)</f>
        <v>0</v>
      </c>
      <c r="Y219" s="168">
        <f>VLOOKUP(R219,[1]MEP!$A$4:$R$300,15)</f>
        <v>0</v>
      </c>
      <c r="Z219" s="168">
        <f>VLOOKUP(R219,[1]MEP!$A$4:$R$300,16)</f>
        <v>0</v>
      </c>
      <c r="AA219" s="168">
        <f t="shared" si="70"/>
        <v>0</v>
      </c>
      <c r="AB219" s="168">
        <f t="shared" si="71"/>
        <v>0</v>
      </c>
      <c r="AC219" s="168">
        <f t="shared" si="75"/>
        <v>0</v>
      </c>
      <c r="AD219" s="168">
        <f t="shared" si="76"/>
        <v>0</v>
      </c>
      <c r="AE219" s="168">
        <f t="shared" si="77"/>
        <v>0</v>
      </c>
      <c r="AF219" s="168">
        <f t="shared" si="78"/>
        <v>0</v>
      </c>
      <c r="AG219" s="168">
        <f t="shared" si="79"/>
        <v>0</v>
      </c>
      <c r="AH219" s="168">
        <f t="shared" si="80"/>
        <v>0</v>
      </c>
      <c r="AI219" s="168">
        <f t="shared" si="81"/>
        <v>0</v>
      </c>
      <c r="AJ219" s="168">
        <f t="shared" si="82"/>
        <v>0</v>
      </c>
    </row>
    <row r="220" spans="1:36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Q220" s="171">
        <v>13</v>
      </c>
      <c r="R220" s="168">
        <f>'Alim -Surf'!Q63</f>
        <v>0</v>
      </c>
      <c r="S220" s="168">
        <f>'Alim -Surf'!R63</f>
        <v>0</v>
      </c>
      <c r="T220" s="168">
        <f>VLOOKUP(R220,[1]MEP!$A$4:$M$300,13)</f>
        <v>0</v>
      </c>
      <c r="U220" s="168">
        <f t="shared" si="72"/>
        <v>0</v>
      </c>
      <c r="V220" s="168">
        <f t="shared" si="73"/>
        <v>0</v>
      </c>
      <c r="W220" s="168">
        <f t="shared" si="74"/>
        <v>0</v>
      </c>
      <c r="X220" s="168">
        <f>VLOOKUP(R220,[1]MEP!$A$4:$Q$300,14)</f>
        <v>0</v>
      </c>
      <c r="Y220" s="168">
        <f>VLOOKUP(R220,[1]MEP!$A$4:$R$300,15)</f>
        <v>0</v>
      </c>
      <c r="Z220" s="168">
        <f>VLOOKUP(R220,[1]MEP!$A$4:$R$300,16)</f>
        <v>0</v>
      </c>
      <c r="AA220" s="168">
        <f t="shared" si="70"/>
        <v>0</v>
      </c>
      <c r="AB220" s="168">
        <f t="shared" si="71"/>
        <v>0</v>
      </c>
      <c r="AC220" s="168">
        <f t="shared" si="75"/>
        <v>0</v>
      </c>
      <c r="AD220" s="168">
        <f t="shared" si="76"/>
        <v>0</v>
      </c>
      <c r="AE220" s="168">
        <f t="shared" si="77"/>
        <v>0</v>
      </c>
      <c r="AF220" s="168">
        <f t="shared" si="78"/>
        <v>0</v>
      </c>
      <c r="AG220" s="168">
        <f t="shared" si="79"/>
        <v>0</v>
      </c>
      <c r="AH220" s="168">
        <f t="shared" si="80"/>
        <v>0</v>
      </c>
      <c r="AI220" s="168">
        <f t="shared" si="81"/>
        <v>0</v>
      </c>
      <c r="AJ220" s="168">
        <f t="shared" si="82"/>
        <v>0</v>
      </c>
    </row>
    <row r="221" spans="1:36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Q221" s="171">
        <v>14</v>
      </c>
      <c r="R221" s="168">
        <f>'Alim -Surf'!Q64</f>
        <v>0</v>
      </c>
      <c r="S221" s="168">
        <f>'Alim -Surf'!R64</f>
        <v>0</v>
      </c>
      <c r="T221" s="168">
        <f>VLOOKUP(R221,[1]MEP!$A$4:$M$300,13)</f>
        <v>0</v>
      </c>
      <c r="U221" s="168">
        <f t="shared" si="72"/>
        <v>0</v>
      </c>
      <c r="V221" s="168">
        <f t="shared" si="73"/>
        <v>0</v>
      </c>
      <c r="W221" s="168">
        <f t="shared" si="74"/>
        <v>0</v>
      </c>
      <c r="X221" s="168">
        <f>VLOOKUP(R221,[1]MEP!$A$4:$Q$300,14)</f>
        <v>0</v>
      </c>
      <c r="Y221" s="168">
        <f>VLOOKUP(R221,[1]MEP!$A$4:$R$300,15)</f>
        <v>0</v>
      </c>
      <c r="Z221" s="168">
        <f>VLOOKUP(R221,[1]MEP!$A$4:$R$300,16)</f>
        <v>0</v>
      </c>
      <c r="AA221" s="168">
        <f t="shared" si="70"/>
        <v>0</v>
      </c>
      <c r="AB221" s="168">
        <f t="shared" si="71"/>
        <v>0</v>
      </c>
      <c r="AC221" s="168">
        <f t="shared" si="75"/>
        <v>0</v>
      </c>
      <c r="AD221" s="168">
        <f t="shared" si="76"/>
        <v>0</v>
      </c>
      <c r="AE221" s="168">
        <f t="shared" si="77"/>
        <v>0</v>
      </c>
      <c r="AF221" s="168">
        <f t="shared" si="78"/>
        <v>0</v>
      </c>
      <c r="AG221" s="168">
        <f t="shared" si="79"/>
        <v>0</v>
      </c>
      <c r="AH221" s="168">
        <f t="shared" si="80"/>
        <v>0</v>
      </c>
      <c r="AI221" s="168">
        <f t="shared" si="81"/>
        <v>0</v>
      </c>
      <c r="AJ221" s="168">
        <f t="shared" si="82"/>
        <v>0</v>
      </c>
    </row>
    <row r="222" spans="1:36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Q222" s="171">
        <v>15</v>
      </c>
      <c r="R222" s="168">
        <f>'Alim -Surf'!Q65</f>
        <v>0</v>
      </c>
      <c r="S222" s="168">
        <f>'Alim -Surf'!R65</f>
        <v>0</v>
      </c>
      <c r="T222" s="168">
        <f>VLOOKUP(R222,[1]MEP!$A$4:$M$300,13)</f>
        <v>0</v>
      </c>
      <c r="U222" s="168">
        <f t="shared" si="72"/>
        <v>0</v>
      </c>
      <c r="V222" s="168">
        <f t="shared" si="73"/>
        <v>0</v>
      </c>
      <c r="W222" s="168">
        <f t="shared" si="74"/>
        <v>0</v>
      </c>
      <c r="X222" s="168">
        <f>VLOOKUP(R222,[1]MEP!$A$4:$Q$300,14)</f>
        <v>0</v>
      </c>
      <c r="Y222" s="168">
        <f>VLOOKUP(R222,[1]MEP!$A$4:$R$300,15)</f>
        <v>0</v>
      </c>
      <c r="Z222" s="168">
        <f>VLOOKUP(R222,[1]MEP!$A$4:$R$300,16)</f>
        <v>0</v>
      </c>
      <c r="AA222" s="168">
        <f t="shared" si="70"/>
        <v>0</v>
      </c>
      <c r="AB222" s="168">
        <f t="shared" si="71"/>
        <v>0</v>
      </c>
      <c r="AC222" s="168">
        <f t="shared" si="75"/>
        <v>0</v>
      </c>
      <c r="AD222" s="168">
        <f t="shared" si="76"/>
        <v>0</v>
      </c>
      <c r="AE222" s="168">
        <f t="shared" si="77"/>
        <v>0</v>
      </c>
      <c r="AF222" s="168">
        <f t="shared" si="78"/>
        <v>0</v>
      </c>
      <c r="AG222" s="168">
        <f t="shared" si="79"/>
        <v>0</v>
      </c>
      <c r="AH222" s="168">
        <f t="shared" si="80"/>
        <v>0</v>
      </c>
      <c r="AI222" s="168">
        <f t="shared" si="81"/>
        <v>0</v>
      </c>
      <c r="AJ222" s="168">
        <f t="shared" si="82"/>
        <v>0</v>
      </c>
    </row>
    <row r="223" spans="1:36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Q223" s="171">
        <v>16</v>
      </c>
      <c r="R223" s="168">
        <f>'Alim -Surf'!Q66</f>
        <v>0</v>
      </c>
      <c r="S223" s="168">
        <f>'Alim -Surf'!R66</f>
        <v>0</v>
      </c>
      <c r="T223" s="168">
        <f>VLOOKUP(R223,[1]MEP!$A$4:$M$300,13)</f>
        <v>0</v>
      </c>
      <c r="U223" s="168">
        <f t="shared" si="72"/>
        <v>0</v>
      </c>
      <c r="V223" s="168">
        <f t="shared" si="73"/>
        <v>0</v>
      </c>
      <c r="W223" s="168">
        <f t="shared" si="74"/>
        <v>0</v>
      </c>
      <c r="X223" s="168">
        <f>VLOOKUP(R223,[1]MEP!$A$4:$Q$300,14)</f>
        <v>0</v>
      </c>
      <c r="Y223" s="168">
        <f>VLOOKUP(R223,[1]MEP!$A$4:$R$300,15)</f>
        <v>0</v>
      </c>
      <c r="Z223" s="168">
        <f>VLOOKUP(R223,[1]MEP!$A$4:$R$300,16)</f>
        <v>0</v>
      </c>
      <c r="AA223" s="168">
        <f t="shared" si="70"/>
        <v>0</v>
      </c>
      <c r="AB223" s="168">
        <f t="shared" si="71"/>
        <v>0</v>
      </c>
      <c r="AC223" s="168">
        <f t="shared" si="75"/>
        <v>0</v>
      </c>
      <c r="AD223" s="168">
        <f t="shared" si="76"/>
        <v>0</v>
      </c>
      <c r="AE223" s="168">
        <f t="shared" si="77"/>
        <v>0</v>
      </c>
      <c r="AF223" s="168">
        <f t="shared" si="78"/>
        <v>0</v>
      </c>
      <c r="AG223" s="168">
        <f t="shared" si="79"/>
        <v>0</v>
      </c>
      <c r="AH223" s="168">
        <f t="shared" si="80"/>
        <v>0</v>
      </c>
      <c r="AI223" s="168">
        <f t="shared" si="81"/>
        <v>0</v>
      </c>
      <c r="AJ223" s="168">
        <f t="shared" si="82"/>
        <v>0</v>
      </c>
    </row>
    <row r="224" spans="1:36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Q224" s="171">
        <v>17</v>
      </c>
      <c r="R224" s="168">
        <f>'Alim -Surf'!Q67</f>
        <v>0</v>
      </c>
      <c r="S224" s="168">
        <f>'Alim -Surf'!R67</f>
        <v>0</v>
      </c>
      <c r="T224" s="168">
        <f>VLOOKUP(R224,[1]MEP!$A$4:$M$300,13)</f>
        <v>0</v>
      </c>
      <c r="U224" s="168">
        <f t="shared" si="72"/>
        <v>0</v>
      </c>
      <c r="V224" s="168">
        <f t="shared" si="73"/>
        <v>0</v>
      </c>
      <c r="W224" s="168">
        <f t="shared" si="74"/>
        <v>0</v>
      </c>
      <c r="X224" s="168">
        <f>VLOOKUP(R224,[1]MEP!$A$4:$Q$300,14)</f>
        <v>0</v>
      </c>
      <c r="Y224" s="168">
        <f>VLOOKUP(R224,[1]MEP!$A$4:$R$300,15)</f>
        <v>0</v>
      </c>
      <c r="Z224" s="168">
        <f>VLOOKUP(R224,[1]MEP!$A$4:$R$300,16)</f>
        <v>0</v>
      </c>
      <c r="AA224" s="168">
        <f t="shared" si="70"/>
        <v>0</v>
      </c>
      <c r="AB224" s="168">
        <f t="shared" si="71"/>
        <v>0</v>
      </c>
      <c r="AC224" s="168">
        <f t="shared" si="75"/>
        <v>0</v>
      </c>
      <c r="AD224" s="168">
        <f t="shared" si="76"/>
        <v>0</v>
      </c>
      <c r="AE224" s="168">
        <f t="shared" si="77"/>
        <v>0</v>
      </c>
      <c r="AF224" s="168">
        <f t="shared" si="78"/>
        <v>0</v>
      </c>
      <c r="AG224" s="168">
        <f t="shared" si="79"/>
        <v>0</v>
      </c>
      <c r="AH224" s="168">
        <f t="shared" si="80"/>
        <v>0</v>
      </c>
      <c r="AI224" s="168">
        <f t="shared" si="81"/>
        <v>0</v>
      </c>
      <c r="AJ224" s="168">
        <f t="shared" si="82"/>
        <v>0</v>
      </c>
    </row>
    <row r="225" spans="1:36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Q225" s="171">
        <v>18</v>
      </c>
      <c r="R225" s="168">
        <f>'Alim -Surf'!Q68</f>
        <v>0</v>
      </c>
      <c r="S225" s="168">
        <f>'Alim -Surf'!R68</f>
        <v>0</v>
      </c>
      <c r="T225" s="168">
        <f>VLOOKUP(R225,[1]MEP!$A$4:$M$300,13)</f>
        <v>0</v>
      </c>
      <c r="U225" s="168">
        <f t="shared" si="72"/>
        <v>0</v>
      </c>
      <c r="V225" s="168">
        <f t="shared" si="73"/>
        <v>0</v>
      </c>
      <c r="W225" s="168">
        <f t="shared" si="74"/>
        <v>0</v>
      </c>
      <c r="X225" s="168">
        <f>VLOOKUP(R225,[1]MEP!$A$4:$Q$300,14)</f>
        <v>0</v>
      </c>
      <c r="Y225" s="168">
        <f>VLOOKUP(R225,[1]MEP!$A$4:$R$300,15)</f>
        <v>0</v>
      </c>
      <c r="Z225" s="168">
        <f>VLOOKUP(R225,[1]MEP!$A$4:$R$300,16)</f>
        <v>0</v>
      </c>
      <c r="AA225" s="168">
        <f t="shared" si="70"/>
        <v>0</v>
      </c>
      <c r="AB225" s="168">
        <f t="shared" si="71"/>
        <v>0</v>
      </c>
      <c r="AC225" s="168">
        <f t="shared" si="75"/>
        <v>0</v>
      </c>
      <c r="AD225" s="168">
        <f t="shared" si="76"/>
        <v>0</v>
      </c>
      <c r="AE225" s="168">
        <f t="shared" si="77"/>
        <v>0</v>
      </c>
      <c r="AF225" s="168">
        <f t="shared" si="78"/>
        <v>0</v>
      </c>
      <c r="AG225" s="168">
        <f t="shared" si="79"/>
        <v>0</v>
      </c>
      <c r="AH225" s="168">
        <f t="shared" si="80"/>
        <v>0</v>
      </c>
      <c r="AI225" s="168">
        <f t="shared" si="81"/>
        <v>0</v>
      </c>
      <c r="AJ225" s="168">
        <f t="shared" si="82"/>
        <v>0</v>
      </c>
    </row>
    <row r="226" spans="1:36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Q226" s="171">
        <v>19</v>
      </c>
      <c r="R226" s="168">
        <f>'Alim -Surf'!Q69</f>
        <v>0</v>
      </c>
      <c r="S226" s="168">
        <f>'Alim -Surf'!R69</f>
        <v>0</v>
      </c>
      <c r="T226" s="168">
        <f>VLOOKUP(R226,[1]MEP!$A$4:$M$300,13)</f>
        <v>0</v>
      </c>
      <c r="U226" s="168">
        <f t="shared" si="72"/>
        <v>0</v>
      </c>
      <c r="V226" s="168">
        <f t="shared" si="73"/>
        <v>0</v>
      </c>
      <c r="W226" s="168">
        <f t="shared" si="74"/>
        <v>0</v>
      </c>
      <c r="X226" s="168">
        <f>VLOOKUP(R226,[1]MEP!$A$4:$Q$300,14)</f>
        <v>0</v>
      </c>
      <c r="Y226" s="168">
        <f>VLOOKUP(R226,[1]MEP!$A$4:$R$300,15)</f>
        <v>0</v>
      </c>
      <c r="Z226" s="168">
        <f>VLOOKUP(R226,[1]MEP!$A$4:$R$300,16)</f>
        <v>0</v>
      </c>
      <c r="AA226" s="168">
        <f t="shared" si="70"/>
        <v>0</v>
      </c>
      <c r="AB226" s="168">
        <f t="shared" si="71"/>
        <v>0</v>
      </c>
      <c r="AC226" s="168">
        <f t="shared" si="75"/>
        <v>0</v>
      </c>
      <c r="AD226" s="168">
        <f t="shared" si="76"/>
        <v>0</v>
      </c>
      <c r="AE226" s="168">
        <f t="shared" si="77"/>
        <v>0</v>
      </c>
      <c r="AF226" s="168">
        <f t="shared" si="78"/>
        <v>0</v>
      </c>
      <c r="AG226" s="168">
        <f t="shared" si="79"/>
        <v>0</v>
      </c>
      <c r="AH226" s="168">
        <f t="shared" si="80"/>
        <v>0</v>
      </c>
      <c r="AI226" s="168">
        <f t="shared" si="81"/>
        <v>0</v>
      </c>
      <c r="AJ226" s="168">
        <f t="shared" si="82"/>
        <v>0</v>
      </c>
    </row>
    <row r="227" spans="1:36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Q227" s="171">
        <v>20</v>
      </c>
      <c r="R227" s="168">
        <f>'Alim -Surf'!Q70</f>
        <v>0</v>
      </c>
      <c r="S227" s="168">
        <f>'Alim -Surf'!R70</f>
        <v>0</v>
      </c>
      <c r="T227" s="168">
        <f>VLOOKUP(R227,[1]MEP!$A$4:$M$300,13)</f>
        <v>0</v>
      </c>
      <c r="U227" s="168">
        <f t="shared" si="72"/>
        <v>0</v>
      </c>
      <c r="V227" s="168">
        <f t="shared" si="73"/>
        <v>0</v>
      </c>
      <c r="W227" s="168">
        <f t="shared" si="74"/>
        <v>0</v>
      </c>
      <c r="X227" s="168">
        <f>VLOOKUP(R227,[1]MEP!$A$4:$Q$300,14)</f>
        <v>0</v>
      </c>
      <c r="Y227" s="168">
        <f>VLOOKUP(R227,[1]MEP!$A$4:$R$300,15)</f>
        <v>0</v>
      </c>
      <c r="Z227" s="168">
        <f>VLOOKUP(R227,[1]MEP!$A$4:$R$300,16)</f>
        <v>0</v>
      </c>
      <c r="AA227" s="168">
        <f t="shared" si="70"/>
        <v>0</v>
      </c>
      <c r="AB227" s="168">
        <f t="shared" si="71"/>
        <v>0</v>
      </c>
      <c r="AC227" s="168">
        <f t="shared" si="75"/>
        <v>0</v>
      </c>
      <c r="AD227" s="168">
        <f t="shared" si="76"/>
        <v>0</v>
      </c>
      <c r="AE227" s="168">
        <f t="shared" si="77"/>
        <v>0</v>
      </c>
      <c r="AF227" s="168">
        <f t="shared" si="78"/>
        <v>0</v>
      </c>
      <c r="AG227" s="168">
        <f t="shared" si="79"/>
        <v>0</v>
      </c>
      <c r="AH227" s="168">
        <f t="shared" si="80"/>
        <v>0</v>
      </c>
      <c r="AI227" s="168">
        <f t="shared" si="81"/>
        <v>0</v>
      </c>
      <c r="AJ227" s="168">
        <f t="shared" si="82"/>
        <v>0</v>
      </c>
    </row>
    <row r="228" spans="1:36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Q228" s="2" t="s">
        <v>652</v>
      </c>
      <c r="R228" s="2"/>
      <c r="S228" s="62">
        <f t="shared" ref="S228" si="83">SUM(S164:S227)</f>
        <v>32.629999999999995</v>
      </c>
      <c r="U228" s="62">
        <f>SUM(U164:U227)</f>
        <v>21.58</v>
      </c>
      <c r="V228" s="62">
        <f t="shared" ref="V228:W228" si="84">SUM(V164:V227)</f>
        <v>4.42</v>
      </c>
      <c r="W228" s="62">
        <f t="shared" si="84"/>
        <v>0</v>
      </c>
      <c r="X228" s="2"/>
      <c r="Y228" s="2"/>
      <c r="AA228" s="62">
        <f t="shared" ref="AA228:AC228" si="85">SUM(AA164:AA227)</f>
        <v>0</v>
      </c>
      <c r="AB228" s="62">
        <f t="shared" si="85"/>
        <v>0</v>
      </c>
      <c r="AC228" s="62">
        <f t="shared" si="85"/>
        <v>5</v>
      </c>
      <c r="AD228" s="62">
        <f>SUM(AD164:AD227)</f>
        <v>27.63</v>
      </c>
      <c r="AE228" s="62">
        <f t="shared" ref="AE228:AJ228" si="86">SUM(AE164:AE227)</f>
        <v>0</v>
      </c>
      <c r="AF228" s="62">
        <f t="shared" si="86"/>
        <v>5</v>
      </c>
      <c r="AG228" s="62">
        <f t="shared" si="86"/>
        <v>0</v>
      </c>
      <c r="AH228" s="62">
        <f t="shared" si="86"/>
        <v>11.049999999999999</v>
      </c>
      <c r="AI228" s="62">
        <f t="shared" si="86"/>
        <v>12.16</v>
      </c>
      <c r="AJ228" s="62">
        <f t="shared" si="86"/>
        <v>4.42</v>
      </c>
    </row>
    <row r="229" spans="1:36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36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36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36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T232" s="40" t="s">
        <v>1078</v>
      </c>
      <c r="V232" t="s">
        <v>1079</v>
      </c>
      <c r="W232" t="s">
        <v>1080</v>
      </c>
      <c r="X232" t="s">
        <v>1081</v>
      </c>
    </row>
    <row r="233" spans="1:36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S233" s="14" t="s">
        <v>334</v>
      </c>
      <c r="T233" s="30">
        <f>Protection!AD14</f>
        <v>0</v>
      </c>
      <c r="U233" t="s">
        <v>1082</v>
      </c>
      <c r="V233" s="168">
        <f>[1]Protect!$H$3</f>
        <v>20</v>
      </c>
      <c r="W233" s="168">
        <f>[1]Protect!$B$3</f>
        <v>100</v>
      </c>
      <c r="X233" s="168">
        <f>T233*V233*W233</f>
        <v>0</v>
      </c>
    </row>
    <row r="234" spans="1:36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S234" s="14" t="s">
        <v>1083</v>
      </c>
      <c r="T234" s="30">
        <f>Protection!AK25</f>
        <v>0</v>
      </c>
      <c r="U234" t="s">
        <v>1084</v>
      </c>
      <c r="V234" s="168"/>
      <c r="W234" s="168">
        <f>[1]Protect!$B$4</f>
        <v>6</v>
      </c>
      <c r="X234" s="168">
        <f>T234*W234</f>
        <v>0</v>
      </c>
    </row>
    <row r="235" spans="1:36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S235" s="14" t="s">
        <v>1085</v>
      </c>
      <c r="T235" s="30">
        <f>IF(AND(Troupeau!B3="OL",OR(Scénario!K87=1,Scénario!K87=2)),(Protection!AD28+Protection!AD30)/Scénario!K56,0)</f>
        <v>0</v>
      </c>
      <c r="W235" s="168">
        <f>[1]Protect!$B$83</f>
        <v>2000</v>
      </c>
      <c r="X235" s="168">
        <f t="shared" ref="X235:X236" si="87">T235*W235</f>
        <v>0</v>
      </c>
    </row>
    <row r="236" spans="1:36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S236" s="14" t="s">
        <v>1086</v>
      </c>
      <c r="T236" s="30">
        <f>IF(AND(Troupeau!B3="OL",OR(Scénario!K87=1,Scénario!K87=2)),(Protection!AD29+Protection!AD31)/Scénario!K56,0)</f>
        <v>0</v>
      </c>
      <c r="W236" s="168">
        <f>[1]Protect!$B$84</f>
        <v>5000</v>
      </c>
      <c r="X236" s="168">
        <f t="shared" si="87"/>
        <v>0</v>
      </c>
      <c r="Z236" t="s">
        <v>1087</v>
      </c>
      <c r="AA236" t="s">
        <v>1088</v>
      </c>
      <c r="AB236" t="s">
        <v>1089</v>
      </c>
      <c r="AC236" t="s">
        <v>1090</v>
      </c>
      <c r="AD236" t="s">
        <v>1091</v>
      </c>
      <c r="AE236" t="s">
        <v>1092</v>
      </c>
      <c r="AF236" t="s">
        <v>1093</v>
      </c>
    </row>
    <row r="237" spans="1:36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S237" s="14" t="s">
        <v>1094</v>
      </c>
      <c r="X237" s="46">
        <f>SUM(X233:X236)</f>
        <v>0</v>
      </c>
      <c r="Z237" s="30">
        <f>IF(Scénario!K84=1,MIN(0.8*'Calcul éco'!X237,[1]Protect!$B$68),IF(Scénario!K84=2,MIN(0.8*'Calcul éco'!X237,[1]Protect!$B$67),0))</f>
        <v>0</v>
      </c>
      <c r="AA237" s="30">
        <f>X237-Z237</f>
        <v>0</v>
      </c>
      <c r="AB237" s="30">
        <f>(Scénario!K127/100)*AA237</f>
        <v>0</v>
      </c>
      <c r="AC237" s="30">
        <f>AA237-AB237</f>
        <v>0</v>
      </c>
      <c r="AD237" s="237">
        <f>[1]Protect!$B$19</f>
        <v>0.04</v>
      </c>
      <c r="AE237" s="208">
        <f>[1]Protect!$B$20</f>
        <v>10</v>
      </c>
      <c r="AF237" s="234">
        <f>PPMT(AD237,1,AE237,-AC237)+IPMT(AD237,1,AE237,-AC237)</f>
        <v>0</v>
      </c>
    </row>
    <row r="238" spans="1:36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36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36" x14ac:dyDescent="0.25">
      <c r="S240" s="14" t="s">
        <v>1095</v>
      </c>
      <c r="T240" s="30">
        <f>IF(Scénario!K87=3,Protection!AE33,0)</f>
        <v>0</v>
      </c>
      <c r="U240" t="s">
        <v>1084</v>
      </c>
      <c r="V240" s="168"/>
      <c r="W240" s="168">
        <f>[1]Protect!$B$6</f>
        <v>0.75</v>
      </c>
      <c r="X240" s="168">
        <f>T240*W240</f>
        <v>0</v>
      </c>
      <c r="Z240" s="30">
        <v>0</v>
      </c>
      <c r="AA240" s="30">
        <f>X240-Z240</f>
        <v>0</v>
      </c>
      <c r="AB240" s="30">
        <f>(Scénario!K127/100)*AA240</f>
        <v>0</v>
      </c>
      <c r="AC240" s="30">
        <f t="shared" ref="AC240" si="88">AA240-AB240</f>
        <v>0</v>
      </c>
      <c r="AD240" s="237">
        <f>[1]Protect!$B$19</f>
        <v>0.04</v>
      </c>
      <c r="AE240" s="208">
        <f>[1]Protect!$B$20</f>
        <v>10</v>
      </c>
      <c r="AF240" s="234">
        <f t="shared" ref="AF240" si="89">PPMT(AD240,1,AE240,-AC240)+IPMT(AD240,1,AE240,-AC240)</f>
        <v>0</v>
      </c>
    </row>
    <row r="241" spans="17:31" x14ac:dyDescent="0.25">
      <c r="AE241" s="14"/>
    </row>
    <row r="242" spans="17:31" x14ac:dyDescent="0.25">
      <c r="AE242" s="14"/>
    </row>
    <row r="244" spans="17:31" x14ac:dyDescent="0.25">
      <c r="T244" s="40" t="s">
        <v>1096</v>
      </c>
      <c r="W244" t="s">
        <v>1029</v>
      </c>
      <c r="X244" t="s">
        <v>921</v>
      </c>
    </row>
    <row r="245" spans="17:31" x14ac:dyDescent="0.25">
      <c r="Q245" s="15"/>
      <c r="S245" s="14" t="s">
        <v>1097</v>
      </c>
      <c r="T245" s="30">
        <f>IF(Scénario!K87=0,0,Protection!AJ8)</f>
        <v>0</v>
      </c>
      <c r="X245" s="168">
        <f>ROUND((([1]Protect!$B$5/[1]Protect!$B$11)+[1]Protect!$B$8)*T245,0)</f>
        <v>0</v>
      </c>
    </row>
    <row r="246" spans="17:31" x14ac:dyDescent="0.25">
      <c r="Q246" s="15"/>
      <c r="S246" s="14" t="s">
        <v>1098</v>
      </c>
      <c r="T246" s="30">
        <f>IF(Scénario!K94=0,0,Scénario!K94/Scénario!K56*Scénario!K54)</f>
        <v>0</v>
      </c>
      <c r="W246" s="168">
        <f>[1]Eco!$B$106*[1]Eco!$B$108*[1]Eco!$B$109</f>
        <v>2551.2000000000003</v>
      </c>
      <c r="X246" s="168">
        <f>T246*W246</f>
        <v>0</v>
      </c>
    </row>
    <row r="247" spans="17:31" x14ac:dyDescent="0.25">
      <c r="S247" s="14" t="s">
        <v>1099</v>
      </c>
      <c r="T247" s="30">
        <f>Travail!F16/8</f>
        <v>0</v>
      </c>
      <c r="W247" s="168">
        <f>[1]Eco!$B$111</f>
        <v>28.3</v>
      </c>
      <c r="X247" s="168">
        <f>T247*W247</f>
        <v>0</v>
      </c>
    </row>
    <row r="248" spans="17:31" x14ac:dyDescent="0.25">
      <c r="W248" s="14" t="s">
        <v>1100</v>
      </c>
      <c r="X248" s="168">
        <f>SUM(X245:X247)</f>
        <v>0</v>
      </c>
    </row>
    <row r="249" spans="17:31" x14ac:dyDescent="0.25">
      <c r="W249" s="14" t="s">
        <v>1421</v>
      </c>
      <c r="X249" s="168">
        <f>ROUND(X246+X247+Protection!AJ5*(([1]Protect!$B$5/[1]Protect!$B$11)+[1]Protect!$B$8),0)</f>
        <v>0</v>
      </c>
      <c r="AB249" t="s">
        <v>1101</v>
      </c>
    </row>
    <row r="250" spans="17:31" x14ac:dyDescent="0.25">
      <c r="AB250" t="s">
        <v>1102</v>
      </c>
    </row>
    <row r="254" spans="17:31" x14ac:dyDescent="0.25">
      <c r="S254" s="40" t="s">
        <v>1103</v>
      </c>
      <c r="T254" s="4">
        <f>IF(Scénario!K53="OL",Scénario!K55*(1/0.15)*Scénario!K56,0)</f>
        <v>0</v>
      </c>
      <c r="Y254" s="40" t="s">
        <v>1104</v>
      </c>
      <c r="Z254">
        <f>IF(Troupeau!B3="OL",Troupeau!B17,0)</f>
        <v>0</v>
      </c>
    </row>
    <row r="255" spans="17:31" x14ac:dyDescent="0.25">
      <c r="U255" t="s">
        <v>1105</v>
      </c>
      <c r="AA255" t="s">
        <v>1105</v>
      </c>
    </row>
    <row r="256" spans="17:31" x14ac:dyDescent="0.25">
      <c r="S256" s="14" t="s">
        <v>1106</v>
      </c>
      <c r="T256" s="30">
        <f>IF(T254&lt;151,1,0)</f>
        <v>1</v>
      </c>
      <c r="U256" s="168">
        <f>IF(T256=0,0,[1]Protect!$B76)</f>
        <v>7500</v>
      </c>
      <c r="Y256" s="14" t="s">
        <v>1107</v>
      </c>
      <c r="Z256" s="30">
        <f>IF(Z254&lt;151,1,0)</f>
        <v>1</v>
      </c>
      <c r="AA256" s="168">
        <f>IF(Z256=0,0,[1]Protect!$B70)</f>
        <v>5000</v>
      </c>
    </row>
    <row r="257" spans="16:37" x14ac:dyDescent="0.25">
      <c r="S257" s="14" t="s">
        <v>1108</v>
      </c>
      <c r="T257" s="30">
        <f>IF(AND(150 &lt;T$254,T$254&lt;451),1,0)</f>
        <v>0</v>
      </c>
      <c r="U257" s="168">
        <f>IF(T257=0,0,[1]Protect!$B77)</f>
        <v>0</v>
      </c>
      <c r="Y257" s="14" t="s">
        <v>1109</v>
      </c>
      <c r="Z257" s="30">
        <f>IF(AND(150 &lt;Z$254,Z$254&lt;451),1,0)</f>
        <v>0</v>
      </c>
      <c r="AA257" s="168">
        <f>IF(Z257=0,0,[1]Protect!$B71)</f>
        <v>0</v>
      </c>
    </row>
    <row r="258" spans="16:37" x14ac:dyDescent="0.25">
      <c r="S258" s="14" t="s">
        <v>1110</v>
      </c>
      <c r="T258" s="30">
        <f>IF(AND(540 &lt;T$254,T$254&lt;1201),1,0)</f>
        <v>0</v>
      </c>
      <c r="U258" s="168">
        <f>IF(T258=0,0,[1]Protect!$B78)</f>
        <v>0</v>
      </c>
      <c r="Y258" s="14" t="s">
        <v>1111</v>
      </c>
      <c r="Z258" s="30">
        <f>IF(AND(540 &lt;Z$254,Z$254&lt;1201),1,0)</f>
        <v>0</v>
      </c>
      <c r="AA258" s="168">
        <f>IF(Z258=0,0,[1]Protect!$B72)</f>
        <v>0</v>
      </c>
    </row>
    <row r="259" spans="16:37" x14ac:dyDescent="0.25">
      <c r="S259" s="14" t="s">
        <v>1112</v>
      </c>
      <c r="T259" s="30">
        <f>IF(AND(1200&lt;T$254,T$254&lt;1501),1,0)</f>
        <v>0</v>
      </c>
      <c r="U259" s="168">
        <f>IF(T259=0,0,[1]Protect!$B79)</f>
        <v>0</v>
      </c>
      <c r="Y259" s="14" t="s">
        <v>1113</v>
      </c>
      <c r="Z259" s="30">
        <f>IF(AND(1200&lt;Z$254,Z$254&lt;1501),1,0)</f>
        <v>0</v>
      </c>
      <c r="AA259" s="168">
        <f>IF(Z259=0,0,[1]Protect!$B73)</f>
        <v>0</v>
      </c>
    </row>
    <row r="260" spans="16:37" x14ac:dyDescent="0.25">
      <c r="S260" s="14" t="s">
        <v>1114</v>
      </c>
      <c r="T260" s="30">
        <f>IF(1500&lt;T$254,1,0)</f>
        <v>0</v>
      </c>
      <c r="U260" s="168">
        <f>IF(T260=0,0,[1]Protect!$B80)</f>
        <v>0</v>
      </c>
      <c r="Y260" s="14" t="s">
        <v>1115</v>
      </c>
      <c r="Z260" s="30">
        <f>IF(1500&lt;Z$254,1,0)</f>
        <v>0</v>
      </c>
      <c r="AA260" s="168">
        <f>IF(Z260=0,0,[1]Protect!$B74)</f>
        <v>0</v>
      </c>
    </row>
    <row r="263" spans="16:37" x14ac:dyDescent="0.25">
      <c r="P263" s="23" t="s">
        <v>1116</v>
      </c>
      <c r="V263" s="168">
        <f>IF(Scénario!K84=2,'Calcul éco'!V264,IF(Scénario!K84=1,'Calcul éco'!V265,0))</f>
        <v>0</v>
      </c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</row>
    <row r="264" spans="16:37" x14ac:dyDescent="0.25">
      <c r="P264" s="5"/>
      <c r="U264" s="14" t="s">
        <v>1117</v>
      </c>
      <c r="V264" s="168">
        <f>IF(X$249&lt;SUM(U256:U260),X$249*0.8,SUM(U256:U260))</f>
        <v>0</v>
      </c>
      <c r="AA264" s="238"/>
      <c r="AB264" s="238"/>
      <c r="AC264" s="238"/>
      <c r="AD264" s="238"/>
      <c r="AE264" s="238"/>
      <c r="AF264" s="238"/>
      <c r="AG264" s="238"/>
      <c r="AH264" s="238"/>
      <c r="AI264" s="238"/>
      <c r="AJ264" s="238"/>
      <c r="AK264" s="5"/>
    </row>
    <row r="265" spans="16:37" x14ac:dyDescent="0.25">
      <c r="P265" s="5"/>
      <c r="U265" s="14" t="s">
        <v>1118</v>
      </c>
      <c r="V265" s="168">
        <f>IF(X$249&lt;SUM(AA256:AA260),X$249*0.8,SUM(AA256:AA260))</f>
        <v>0</v>
      </c>
      <c r="Z265" s="238"/>
      <c r="AA265" s="238"/>
      <c r="AB265" s="238"/>
      <c r="AC265" s="238"/>
      <c r="AD265" s="238"/>
      <c r="AE265" s="238"/>
      <c r="AF265" s="238"/>
      <c r="AG265" s="238"/>
      <c r="AH265" s="238"/>
      <c r="AI265" s="238"/>
      <c r="AJ265" s="238"/>
      <c r="AK265" s="5"/>
    </row>
    <row r="266" spans="16:37" x14ac:dyDescent="0.25">
      <c r="P266" s="5"/>
      <c r="Z266" s="238"/>
      <c r="AA266" s="239"/>
      <c r="AB266" s="239"/>
      <c r="AC266" s="239"/>
      <c r="AD266" s="239"/>
      <c r="AE266" s="239"/>
      <c r="AF266" s="239"/>
      <c r="AG266" s="238"/>
      <c r="AH266" s="238"/>
      <c r="AI266" s="238"/>
      <c r="AJ266" s="238"/>
      <c r="AK266" s="5"/>
    </row>
    <row r="267" spans="16:37" x14ac:dyDescent="0.25">
      <c r="P267" s="5"/>
      <c r="Z267" s="238"/>
      <c r="AA267" s="239"/>
      <c r="AB267" s="239"/>
      <c r="AC267" s="239"/>
      <c r="AD267" s="239"/>
      <c r="AE267" s="239"/>
      <c r="AF267" s="239"/>
      <c r="AG267" s="238"/>
      <c r="AH267" s="238"/>
      <c r="AI267" s="238"/>
      <c r="AJ267" s="238"/>
      <c r="AK267" s="5"/>
    </row>
    <row r="268" spans="16:37" x14ac:dyDescent="0.25">
      <c r="P268" s="5"/>
      <c r="Q268" s="240"/>
      <c r="R268" s="241"/>
      <c r="S268" s="241"/>
      <c r="T268" s="242"/>
      <c r="U268" s="242"/>
      <c r="V268" s="242"/>
      <c r="W268" s="243"/>
      <c r="X268" s="243"/>
      <c r="Y268" s="238"/>
      <c r="Z268" s="239"/>
      <c r="AA268" s="238"/>
      <c r="AB268" s="238"/>
      <c r="AC268" s="238"/>
      <c r="AD268" s="238"/>
      <c r="AE268" s="244"/>
      <c r="AF268" s="244"/>
      <c r="AG268" s="238"/>
      <c r="AH268" s="238"/>
      <c r="AI268" s="238"/>
      <c r="AJ268" s="238"/>
      <c r="AK268" s="5"/>
    </row>
    <row r="269" spans="16:37" x14ac:dyDescent="0.25">
      <c r="P269" s="5"/>
      <c r="Q269" s="2" t="s">
        <v>1119</v>
      </c>
      <c r="Z269" s="239"/>
      <c r="AA269" s="238"/>
      <c r="AB269" s="238"/>
      <c r="AC269" s="238"/>
      <c r="AD269" s="238"/>
      <c r="AE269" s="244"/>
      <c r="AF269" s="244"/>
      <c r="AG269" s="238"/>
      <c r="AH269" s="238"/>
      <c r="AI269" s="238"/>
      <c r="AJ269" s="238"/>
      <c r="AK269" s="5"/>
    </row>
    <row r="270" spans="16:37" x14ac:dyDescent="0.25">
      <c r="P270" s="5"/>
      <c r="T270" s="33" t="s">
        <v>1120</v>
      </c>
      <c r="U270" s="33"/>
      <c r="V270" s="33"/>
      <c r="W270" s="33" t="s">
        <v>1121</v>
      </c>
      <c r="X270" s="33" t="s">
        <v>655</v>
      </c>
      <c r="Z270" s="239"/>
      <c r="AA270" s="238"/>
      <c r="AB270" s="238"/>
      <c r="AC270" s="238"/>
      <c r="AD270" s="238"/>
      <c r="AE270" s="245"/>
      <c r="AF270" s="244"/>
      <c r="AG270" s="238"/>
      <c r="AH270" s="238"/>
      <c r="AI270" s="238"/>
      <c r="AJ270" s="238"/>
      <c r="AK270" s="5"/>
    </row>
    <row r="271" spans="16:37" x14ac:dyDescent="0.25">
      <c r="P271" s="5"/>
      <c r="S271" s="14" t="s">
        <v>1122</v>
      </c>
      <c r="T271" s="168">
        <f>IF(T233&gt;0,[1]Protect!$B$36,0)</f>
        <v>0</v>
      </c>
      <c r="U271" s="168"/>
      <c r="V271" s="168"/>
      <c r="W271" s="168">
        <f>W233</f>
        <v>100</v>
      </c>
      <c r="X271" s="168">
        <f>T271*W271</f>
        <v>0</v>
      </c>
      <c r="Z271" s="238"/>
      <c r="AA271" s="238"/>
      <c r="AB271" s="238"/>
      <c r="AC271" s="238"/>
      <c r="AD271" s="239"/>
      <c r="AE271" s="246"/>
      <c r="AF271" s="246"/>
      <c r="AG271" s="238"/>
      <c r="AH271" s="238"/>
      <c r="AI271" s="238"/>
      <c r="AJ271" s="238"/>
      <c r="AK271" s="5"/>
    </row>
    <row r="272" spans="16:37" x14ac:dyDescent="0.25">
      <c r="P272" s="5"/>
      <c r="S272" s="14" t="s">
        <v>1123</v>
      </c>
      <c r="T272" s="168">
        <f>T234*[1]Protect!$B$17/100</f>
        <v>0</v>
      </c>
      <c r="U272" s="168"/>
      <c r="V272" s="168"/>
      <c r="W272" s="168">
        <f>W234</f>
        <v>6</v>
      </c>
      <c r="X272" s="168">
        <f>T272*W272</f>
        <v>0</v>
      </c>
      <c r="Z272" s="238"/>
      <c r="AA272" s="238"/>
      <c r="AB272" s="238"/>
      <c r="AC272" s="238"/>
      <c r="AD272" s="238"/>
      <c r="AE272" s="238"/>
      <c r="AF272" s="238"/>
      <c r="AG272" s="238"/>
      <c r="AH272" s="238"/>
      <c r="AI272" s="238"/>
      <c r="AJ272" s="238"/>
      <c r="AK272" s="5"/>
    </row>
    <row r="273" spans="16:37" x14ac:dyDescent="0.25">
      <c r="P273" s="5"/>
      <c r="S273" s="14" t="s">
        <v>1124</v>
      </c>
      <c r="T273" s="168">
        <f>T240*[1]Protect!$B$17/100</f>
        <v>0</v>
      </c>
      <c r="U273" s="168"/>
      <c r="V273" s="168"/>
      <c r="W273" s="168">
        <f>W240</f>
        <v>0.75</v>
      </c>
      <c r="X273" s="168">
        <f>T273*W273</f>
        <v>0</v>
      </c>
      <c r="Z273" s="238"/>
      <c r="AA273" s="238"/>
      <c r="AB273" s="238"/>
      <c r="AC273" s="238"/>
      <c r="AD273" s="238"/>
      <c r="AE273" s="238"/>
      <c r="AF273" s="238"/>
      <c r="AG273" s="238"/>
      <c r="AH273" s="238"/>
      <c r="AI273" s="238"/>
      <c r="AJ273" s="238"/>
      <c r="AK273" s="5"/>
    </row>
    <row r="274" spans="16:37" x14ac:dyDescent="0.25">
      <c r="P274" s="5"/>
      <c r="Q274" s="247"/>
      <c r="S274" s="14" t="s">
        <v>1085</v>
      </c>
      <c r="T274" s="168">
        <f>IF(T235&gt;0,[1]Protect!$B$85*T235,0)</f>
        <v>0</v>
      </c>
      <c r="U274" s="168"/>
      <c r="V274" s="168"/>
      <c r="W274" s="168">
        <f>W271</f>
        <v>100</v>
      </c>
      <c r="X274" s="168">
        <f>T274*W274</f>
        <v>0</v>
      </c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8"/>
      <c r="AI274" s="238"/>
      <c r="AJ274" s="238"/>
      <c r="AK274" s="5"/>
    </row>
    <row r="275" spans="16:37" x14ac:dyDescent="0.25">
      <c r="P275" s="5"/>
      <c r="Q275" s="240"/>
      <c r="S275" s="14" t="s">
        <v>1086</v>
      </c>
      <c r="T275" s="168">
        <f>T236</f>
        <v>0</v>
      </c>
      <c r="U275" s="168"/>
      <c r="V275" s="168"/>
      <c r="W275" s="168">
        <f>[1]Protect!$B$42</f>
        <v>200</v>
      </c>
      <c r="X275" s="168">
        <f>T275*W275</f>
        <v>0</v>
      </c>
      <c r="Y275" s="238"/>
      <c r="Z275" s="32"/>
      <c r="AA275" s="238"/>
      <c r="AB275" s="248"/>
      <c r="AC275" s="238"/>
      <c r="AD275" s="238"/>
      <c r="AE275" s="238"/>
      <c r="AF275" s="238"/>
      <c r="AG275" s="238"/>
      <c r="AH275" s="238"/>
      <c r="AI275" s="238"/>
      <c r="AJ275" s="238"/>
      <c r="AK275" s="5"/>
    </row>
    <row r="276" spans="16:37" x14ac:dyDescent="0.25">
      <c r="P276" s="5"/>
      <c r="Q276" s="240"/>
      <c r="R276" s="241"/>
      <c r="S276" s="249"/>
      <c r="T276" s="242"/>
      <c r="U276" s="242"/>
      <c r="V276" s="242"/>
      <c r="W276" s="242"/>
      <c r="X276" s="238"/>
      <c r="Y276" s="238"/>
      <c r="Z276" s="32"/>
      <c r="AA276" s="238"/>
      <c r="AB276" s="238"/>
      <c r="AC276" s="238"/>
      <c r="AD276" s="238"/>
      <c r="AE276" s="238"/>
      <c r="AF276" s="238"/>
      <c r="AG276" s="238"/>
      <c r="AH276" s="238"/>
      <c r="AI276" s="238"/>
      <c r="AJ276" s="238"/>
      <c r="AK276" s="5"/>
    </row>
    <row r="277" spans="16:37" x14ac:dyDescent="0.25">
      <c r="P277" s="5"/>
      <c r="Q277" s="240"/>
      <c r="R277" s="241"/>
      <c r="S277" s="249"/>
      <c r="T277" s="242"/>
      <c r="U277" s="242"/>
      <c r="V277" s="242"/>
      <c r="W277" s="242"/>
      <c r="X277" s="242"/>
      <c r="Y277" s="238"/>
      <c r="Z277" s="32"/>
      <c r="AA277" s="238"/>
      <c r="AB277" s="238"/>
      <c r="AC277" s="238"/>
      <c r="AD277" s="238"/>
      <c r="AE277" s="238"/>
      <c r="AF277" s="238"/>
      <c r="AG277" s="238"/>
      <c r="AH277" s="238"/>
      <c r="AI277" s="238"/>
      <c r="AJ277" s="238"/>
      <c r="AK277" s="5"/>
    </row>
    <row r="278" spans="16:37" x14ac:dyDescent="0.25">
      <c r="P278" s="5"/>
      <c r="Q278" s="209"/>
      <c r="R278" s="238"/>
      <c r="S278" s="238"/>
      <c r="T278" s="238"/>
      <c r="U278" s="238"/>
      <c r="V278" s="238"/>
      <c r="W278" s="238"/>
      <c r="X278" s="238"/>
      <c r="Y278" s="238"/>
      <c r="Z278" s="32"/>
      <c r="AA278" s="238"/>
      <c r="AB278" s="238"/>
      <c r="AC278" s="238"/>
      <c r="AD278" s="238"/>
      <c r="AE278" s="238"/>
      <c r="AF278" s="238"/>
      <c r="AG278" s="238"/>
      <c r="AH278" s="238"/>
      <c r="AI278" s="238"/>
      <c r="AJ278" s="238"/>
      <c r="AK278" s="5"/>
    </row>
    <row r="279" spans="16:37" x14ac:dyDescent="0.25">
      <c r="P279" s="5"/>
      <c r="Q279" s="247"/>
      <c r="R279" s="239"/>
      <c r="S279" s="239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  <c r="AJ279" s="238"/>
      <c r="AK279" s="5"/>
    </row>
    <row r="280" spans="16:37" x14ac:dyDescent="0.25">
      <c r="P280" s="5"/>
      <c r="Q280" s="209"/>
      <c r="R280" s="250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8"/>
      <c r="AI280" s="238"/>
      <c r="AJ280" s="238"/>
      <c r="AK280" s="5"/>
    </row>
    <row r="281" spans="16:37" x14ac:dyDescent="0.25">
      <c r="P281" s="5"/>
      <c r="Q281" s="209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8"/>
      <c r="AI281" s="238"/>
      <c r="AJ281" s="238"/>
      <c r="AK281" s="5"/>
    </row>
    <row r="282" spans="16:37" x14ac:dyDescent="0.25">
      <c r="P282" s="5"/>
      <c r="Q282" s="209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8"/>
      <c r="AI282" s="238"/>
      <c r="AJ282" s="238"/>
      <c r="AK282" s="5"/>
    </row>
    <row r="283" spans="16:37" x14ac:dyDescent="0.25">
      <c r="P283" s="5"/>
      <c r="Q283" s="209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8"/>
      <c r="AI283" s="238"/>
      <c r="AJ283" s="238"/>
      <c r="AK283" s="5"/>
    </row>
    <row r="284" spans="16:37" x14ac:dyDescent="0.25">
      <c r="P284" s="5"/>
      <c r="Q284" s="209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8"/>
      <c r="AI284" s="238"/>
      <c r="AJ284" s="238"/>
      <c r="AK284" s="5"/>
    </row>
    <row r="285" spans="16:37" x14ac:dyDescent="0.25">
      <c r="P285" s="5"/>
      <c r="Q285" s="209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8"/>
      <c r="AI285" s="238"/>
      <c r="AJ285" s="238"/>
      <c r="AK285" s="5"/>
    </row>
    <row r="286" spans="16:37" x14ac:dyDescent="0.25">
      <c r="P286" s="5"/>
      <c r="Q286" s="209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8"/>
      <c r="AI286" s="238"/>
      <c r="AJ286" s="238"/>
      <c r="AK286" s="5"/>
    </row>
    <row r="287" spans="16:37" x14ac:dyDescent="0.25">
      <c r="P287" s="5"/>
      <c r="Q287" s="209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8"/>
      <c r="AI287" s="238"/>
      <c r="AJ287" s="238"/>
      <c r="AK287" s="5"/>
    </row>
    <row r="288" spans="16:37" x14ac:dyDescent="0.25">
      <c r="P288" s="5"/>
      <c r="Q288" s="209"/>
      <c r="R288" s="238"/>
      <c r="S288" s="238"/>
      <c r="T288" s="238"/>
      <c r="U288" s="238"/>
      <c r="V288" s="238"/>
      <c r="W288" s="5"/>
      <c r="X288" s="5"/>
      <c r="Y288" s="5"/>
      <c r="Z288" s="5"/>
      <c r="AA288" s="5"/>
      <c r="AB288" s="5"/>
      <c r="AC288" s="5"/>
      <c r="AD288" s="5"/>
      <c r="AE288" s="238"/>
      <c r="AF288" s="238"/>
      <c r="AG288" s="238"/>
      <c r="AH288" s="238"/>
      <c r="AI288" s="238"/>
      <c r="AJ288" s="238"/>
      <c r="AK288" s="5"/>
    </row>
    <row r="289" spans="17:34" x14ac:dyDescent="0.25">
      <c r="Q289" s="15"/>
      <c r="AH289" s="179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10"/>
  <sheetViews>
    <sheetView topLeftCell="A175" zoomScale="110" zoomScaleNormal="110" workbookViewId="0">
      <selection activeCell="C191" sqref="C191"/>
    </sheetView>
  </sheetViews>
  <sheetFormatPr baseColWidth="10" defaultRowHeight="15" x14ac:dyDescent="0.25"/>
  <cols>
    <col min="1" max="1" width="44.28515625" bestFit="1" customWidth="1"/>
    <col min="2" max="2" width="38.28515625" style="14" bestFit="1" customWidth="1"/>
    <col min="3" max="3" width="15.28515625" style="268" customWidth="1"/>
    <col min="4" max="4" width="15.28515625" customWidth="1"/>
    <col min="5" max="5" width="35" customWidth="1"/>
    <col min="6" max="6" width="23" customWidth="1"/>
    <col min="7" max="31" width="5.5703125" customWidth="1"/>
  </cols>
  <sheetData>
    <row r="1" spans="2:4" x14ac:dyDescent="0.25">
      <c r="B1" s="14" t="s">
        <v>475</v>
      </c>
      <c r="C1" s="270" t="str">
        <f>Scénario!K1</f>
        <v>Z1_BV_A2_s4</v>
      </c>
      <c r="D1" s="270" t="str">
        <f>CONCATENATE(C1,"_corr")</f>
        <v>Z1_BV_A2_s4_corr</v>
      </c>
    </row>
    <row r="2" spans="2:4" x14ac:dyDescent="0.25">
      <c r="B2" s="14" t="s">
        <v>476</v>
      </c>
      <c r="C2" s="172" t="str">
        <f>Scénario!K2</f>
        <v>Exploit. Ind.</v>
      </c>
      <c r="D2" s="172" t="str">
        <f t="shared" ref="D2:D61" si="0">C2</f>
        <v>Exploit. Ind.</v>
      </c>
    </row>
    <row r="3" spans="2:4" x14ac:dyDescent="0.25">
      <c r="B3" s="14" t="s">
        <v>479</v>
      </c>
      <c r="C3" s="172">
        <f>Scénario!K3</f>
        <v>0</v>
      </c>
      <c r="D3" s="172">
        <f t="shared" si="0"/>
        <v>0</v>
      </c>
    </row>
    <row r="4" spans="2:4" x14ac:dyDescent="0.25">
      <c r="B4" s="14" t="s">
        <v>482</v>
      </c>
      <c r="C4" s="172">
        <f>Scénario!K4</f>
        <v>1</v>
      </c>
      <c r="D4" s="172">
        <f t="shared" si="0"/>
        <v>1</v>
      </c>
    </row>
    <row r="5" spans="2:4" x14ac:dyDescent="0.25">
      <c r="B5" s="14" t="s">
        <v>484</v>
      </c>
      <c r="C5" s="172">
        <f>Scénario!K5</f>
        <v>0</v>
      </c>
      <c r="D5" s="172">
        <f t="shared" si="0"/>
        <v>0</v>
      </c>
    </row>
    <row r="6" spans="2:4" x14ac:dyDescent="0.25">
      <c r="B6" s="14" t="s">
        <v>487</v>
      </c>
      <c r="C6" s="172">
        <f>Scénario!K6</f>
        <v>0</v>
      </c>
      <c r="D6" s="172">
        <f t="shared" si="0"/>
        <v>0</v>
      </c>
    </row>
    <row r="7" spans="2:4" x14ac:dyDescent="0.25">
      <c r="B7" s="14" t="s">
        <v>493</v>
      </c>
      <c r="C7" s="172">
        <f>Scénario!K8</f>
        <v>1</v>
      </c>
      <c r="D7" s="172">
        <f t="shared" si="0"/>
        <v>1</v>
      </c>
    </row>
    <row r="8" spans="2:4" x14ac:dyDescent="0.25">
      <c r="B8" s="14" t="s">
        <v>497</v>
      </c>
      <c r="C8" s="172" t="str">
        <f>Scénario!K9</f>
        <v>M1</v>
      </c>
      <c r="D8" s="172" t="str">
        <f t="shared" si="0"/>
        <v>M1</v>
      </c>
    </row>
    <row r="9" spans="2:4" x14ac:dyDescent="0.25">
      <c r="B9" s="14" t="s">
        <v>501</v>
      </c>
      <c r="C9" s="172">
        <f>Scénario!K10</f>
        <v>1</v>
      </c>
      <c r="D9" s="172">
        <f t="shared" si="0"/>
        <v>1</v>
      </c>
    </row>
    <row r="10" spans="2:4" x14ac:dyDescent="0.25">
      <c r="B10" s="14" t="s">
        <v>505</v>
      </c>
      <c r="C10" s="172">
        <f>Scénario!K11</f>
        <v>1</v>
      </c>
      <c r="D10" s="172">
        <f t="shared" si="0"/>
        <v>1</v>
      </c>
    </row>
    <row r="11" spans="2:4" x14ac:dyDescent="0.25">
      <c r="B11" s="14" t="s">
        <v>508</v>
      </c>
      <c r="C11" s="172" t="str">
        <f>Scénario!K12</f>
        <v>BV</v>
      </c>
      <c r="D11" s="172" t="str">
        <f t="shared" si="0"/>
        <v>BV</v>
      </c>
    </row>
    <row r="12" spans="2:4" x14ac:dyDescent="0.25">
      <c r="B12" s="14" t="s">
        <v>486</v>
      </c>
      <c r="C12" s="172" t="str">
        <f>Scénario!K13</f>
        <v>A2</v>
      </c>
      <c r="D12" s="172" t="str">
        <f t="shared" si="0"/>
        <v>A2</v>
      </c>
    </row>
    <row r="13" spans="2:4" x14ac:dyDescent="0.25">
      <c r="B13" s="32" t="s">
        <v>517</v>
      </c>
      <c r="C13" s="172">
        <f>Scénario!K16</f>
        <v>0</v>
      </c>
      <c r="D13" s="172">
        <f t="shared" si="0"/>
        <v>0</v>
      </c>
    </row>
    <row r="14" spans="2:4" x14ac:dyDescent="0.25">
      <c r="B14" s="14" t="s">
        <v>520</v>
      </c>
      <c r="C14" s="172">
        <f>Scénario!K17</f>
        <v>0</v>
      </c>
      <c r="D14" s="172">
        <f t="shared" si="0"/>
        <v>0</v>
      </c>
    </row>
    <row r="15" spans="2:4" x14ac:dyDescent="0.25">
      <c r="B15" s="14" t="s">
        <v>523</v>
      </c>
      <c r="C15" s="172">
        <f>Scénario!K18</f>
        <v>50</v>
      </c>
      <c r="D15" s="172">
        <f t="shared" si="0"/>
        <v>50</v>
      </c>
    </row>
    <row r="16" spans="2:4" x14ac:dyDescent="0.25">
      <c r="B16" s="14" t="s">
        <v>525</v>
      </c>
      <c r="C16" s="172">
        <f>Scénario!K19</f>
        <v>0</v>
      </c>
      <c r="D16" s="172">
        <f t="shared" si="0"/>
        <v>0</v>
      </c>
    </row>
    <row r="17" spans="2:5" x14ac:dyDescent="0.25">
      <c r="B17" s="14" t="s">
        <v>526</v>
      </c>
      <c r="C17" s="172">
        <f>Scénario!K20</f>
        <v>0</v>
      </c>
      <c r="D17" s="172">
        <f t="shared" si="0"/>
        <v>0</v>
      </c>
    </row>
    <row r="18" spans="2:5" x14ac:dyDescent="0.25">
      <c r="B18" s="14" t="s">
        <v>539</v>
      </c>
      <c r="C18" s="172">
        <f>Scénario!K28</f>
        <v>21.08</v>
      </c>
      <c r="D18" s="172">
        <f t="shared" si="0"/>
        <v>21.08</v>
      </c>
    </row>
    <row r="19" spans="2:5" x14ac:dyDescent="0.25">
      <c r="B19" s="14" t="s">
        <v>540</v>
      </c>
      <c r="C19" s="172">
        <f>Scénario!K29</f>
        <v>3.42</v>
      </c>
      <c r="D19" s="172">
        <f t="shared" si="0"/>
        <v>3.42</v>
      </c>
    </row>
    <row r="20" spans="2:5" x14ac:dyDescent="0.25">
      <c r="B20" s="14" t="s">
        <v>541</v>
      </c>
      <c r="C20" s="172">
        <f>Scénario!K30</f>
        <v>0</v>
      </c>
      <c r="D20" s="172">
        <f t="shared" si="0"/>
        <v>0</v>
      </c>
    </row>
    <row r="21" spans="2:5" x14ac:dyDescent="0.25">
      <c r="B21" s="14" t="s">
        <v>542</v>
      </c>
      <c r="C21" s="172">
        <f>Scénario!K31</f>
        <v>10</v>
      </c>
      <c r="D21" s="172">
        <f t="shared" si="0"/>
        <v>10</v>
      </c>
    </row>
    <row r="22" spans="2:5" x14ac:dyDescent="0.25">
      <c r="B22" s="14" t="s">
        <v>1375</v>
      </c>
      <c r="C22" s="172" t="str">
        <f>Scénario!K53</f>
        <v>BV</v>
      </c>
      <c r="D22" s="172" t="str">
        <f t="shared" si="0"/>
        <v>BV</v>
      </c>
    </row>
    <row r="23" spans="2:5" x14ac:dyDescent="0.25">
      <c r="B23" s="14" t="s">
        <v>558</v>
      </c>
      <c r="C23" s="172">
        <f>Scénario!K54</f>
        <v>0</v>
      </c>
      <c r="D23" s="172">
        <f t="shared" si="0"/>
        <v>0</v>
      </c>
    </row>
    <row r="24" spans="2:5" x14ac:dyDescent="0.25">
      <c r="B24" s="14" t="s">
        <v>559</v>
      </c>
      <c r="C24" s="172">
        <f>Scénario!K55</f>
        <v>0</v>
      </c>
      <c r="D24" s="172">
        <f t="shared" si="0"/>
        <v>0</v>
      </c>
    </row>
    <row r="25" spans="2:5" x14ac:dyDescent="0.25">
      <c r="B25" s="14" t="s">
        <v>560</v>
      </c>
      <c r="C25" s="172">
        <f>Scénario!K56</f>
        <v>0</v>
      </c>
      <c r="D25" s="172">
        <f t="shared" si="0"/>
        <v>0</v>
      </c>
    </row>
    <row r="26" spans="2:5" x14ac:dyDescent="0.25">
      <c r="B26" s="14" t="s">
        <v>563</v>
      </c>
      <c r="C26" s="172">
        <f>Scénario!K57</f>
        <v>0</v>
      </c>
      <c r="D26" s="172">
        <f t="shared" si="0"/>
        <v>0</v>
      </c>
    </row>
    <row r="27" spans="2:5" x14ac:dyDescent="0.25">
      <c r="B27" s="14" t="s">
        <v>566</v>
      </c>
      <c r="C27" s="172">
        <f>Scénario!K58</f>
        <v>0</v>
      </c>
      <c r="D27" s="172">
        <f t="shared" si="0"/>
        <v>0</v>
      </c>
    </row>
    <row r="28" spans="2:5" x14ac:dyDescent="0.25">
      <c r="B28" s="14" t="s">
        <v>568</v>
      </c>
      <c r="C28" s="172">
        <f>Scénario!K59</f>
        <v>0</v>
      </c>
      <c r="D28" s="172">
        <f t="shared" si="0"/>
        <v>0</v>
      </c>
    </row>
    <row r="29" spans="2:5" x14ac:dyDescent="0.25">
      <c r="B29" s="14" t="s">
        <v>1369</v>
      </c>
      <c r="C29" s="172">
        <f>Scénario!K51</f>
        <v>0</v>
      </c>
      <c r="D29" s="172">
        <f t="shared" si="0"/>
        <v>0</v>
      </c>
    </row>
    <row r="30" spans="2:5" x14ac:dyDescent="0.25">
      <c r="B30" s="14" t="s">
        <v>588</v>
      </c>
      <c r="C30" s="172">
        <f>Scénario!K60</f>
        <v>0</v>
      </c>
      <c r="D30" s="172">
        <f t="shared" si="0"/>
        <v>0</v>
      </c>
    </row>
    <row r="31" spans="2:5" x14ac:dyDescent="0.25">
      <c r="B31" s="14" t="s">
        <v>571</v>
      </c>
      <c r="C31" s="172">
        <f>Scénario!K61</f>
        <v>0</v>
      </c>
      <c r="D31" s="172">
        <f t="shared" si="0"/>
        <v>0</v>
      </c>
    </row>
    <row r="32" spans="2:5" x14ac:dyDescent="0.25">
      <c r="B32" s="14" t="s">
        <v>573</v>
      </c>
      <c r="C32" s="172">
        <f>Scénario!K62</f>
        <v>0</v>
      </c>
      <c r="D32" s="172">
        <f t="shared" si="0"/>
        <v>0</v>
      </c>
      <c r="E32" s="14"/>
    </row>
    <row r="33" spans="2:5" x14ac:dyDescent="0.25">
      <c r="B33" s="14" t="s">
        <v>574</v>
      </c>
      <c r="C33" s="172">
        <f>Scénario!K64</f>
        <v>0</v>
      </c>
      <c r="D33" s="172">
        <f t="shared" si="0"/>
        <v>0</v>
      </c>
    </row>
    <row r="34" spans="2:5" x14ac:dyDescent="0.25">
      <c r="B34" s="14" t="s">
        <v>1376</v>
      </c>
      <c r="C34" s="172">
        <f>Scénario!K65</f>
        <v>0</v>
      </c>
      <c r="D34" s="172">
        <f t="shared" si="0"/>
        <v>0</v>
      </c>
    </row>
    <row r="35" spans="2:5" x14ac:dyDescent="0.25">
      <c r="B35" s="14" t="s">
        <v>575</v>
      </c>
      <c r="C35" s="172">
        <f>Scénario!K66</f>
        <v>0</v>
      </c>
      <c r="D35" s="172">
        <f t="shared" si="0"/>
        <v>0</v>
      </c>
    </row>
    <row r="36" spans="2:5" x14ac:dyDescent="0.25">
      <c r="B36" s="14" t="s">
        <v>576</v>
      </c>
      <c r="C36" s="172">
        <f>Scénario!K67</f>
        <v>0</v>
      </c>
      <c r="D36" s="172">
        <f t="shared" si="0"/>
        <v>0</v>
      </c>
    </row>
    <row r="37" spans="2:5" x14ac:dyDescent="0.25">
      <c r="B37" s="14" t="s">
        <v>577</v>
      </c>
      <c r="C37" s="172">
        <f>Scénario!K69</f>
        <v>0</v>
      </c>
      <c r="D37" s="172">
        <f t="shared" si="0"/>
        <v>0</v>
      </c>
    </row>
    <row r="38" spans="2:5" x14ac:dyDescent="0.25">
      <c r="B38" s="14" t="s">
        <v>578</v>
      </c>
      <c r="C38" s="172">
        <f>Scénario!K70</f>
        <v>0</v>
      </c>
      <c r="D38" s="172">
        <f t="shared" si="0"/>
        <v>0</v>
      </c>
      <c r="E38" s="14"/>
    </row>
    <row r="39" spans="2:5" x14ac:dyDescent="0.25">
      <c r="B39" s="14" t="s">
        <v>579</v>
      </c>
      <c r="C39" s="172">
        <f>Scénario!K71</f>
        <v>0</v>
      </c>
      <c r="D39" s="172">
        <f t="shared" si="0"/>
        <v>0</v>
      </c>
      <c r="E39" s="14"/>
    </row>
    <row r="40" spans="2:5" x14ac:dyDescent="0.25">
      <c r="B40" s="14" t="s">
        <v>580</v>
      </c>
      <c r="C40" s="172">
        <f>Scénario!K72</f>
        <v>0</v>
      </c>
      <c r="D40" s="172">
        <f t="shared" si="0"/>
        <v>0</v>
      </c>
      <c r="E40" s="14"/>
    </row>
    <row r="41" spans="2:5" x14ac:dyDescent="0.25">
      <c r="B41" s="14" t="s">
        <v>581</v>
      </c>
      <c r="C41" s="172">
        <f>Scénario!K73</f>
        <v>0</v>
      </c>
      <c r="D41" s="172">
        <f t="shared" si="0"/>
        <v>0</v>
      </c>
      <c r="E41" s="14"/>
    </row>
    <row r="42" spans="2:5" x14ac:dyDescent="0.25">
      <c r="B42" s="14" t="s">
        <v>1377</v>
      </c>
      <c r="C42" s="172" t="str">
        <f>Scénario!K75</f>
        <v>BV</v>
      </c>
      <c r="D42" s="172" t="str">
        <f t="shared" si="0"/>
        <v>BV</v>
      </c>
      <c r="E42" s="14"/>
    </row>
    <row r="43" spans="2:5" x14ac:dyDescent="0.25">
      <c r="B43" s="14" t="s">
        <v>585</v>
      </c>
      <c r="C43" s="172">
        <f>Scénario!K76</f>
        <v>0</v>
      </c>
      <c r="D43" s="172">
        <f t="shared" si="0"/>
        <v>0</v>
      </c>
      <c r="E43" s="14"/>
    </row>
    <row r="44" spans="2:5" x14ac:dyDescent="0.25">
      <c r="B44" s="14" t="s">
        <v>586</v>
      </c>
      <c r="C44" s="172">
        <f>Scénario!K77</f>
        <v>0</v>
      </c>
      <c r="D44" s="172">
        <f t="shared" si="0"/>
        <v>0</v>
      </c>
      <c r="E44" s="14"/>
    </row>
    <row r="45" spans="2:5" x14ac:dyDescent="0.25">
      <c r="B45" s="14" t="s">
        <v>1378</v>
      </c>
      <c r="C45" s="172">
        <f>Scénario!K78</f>
        <v>0</v>
      </c>
      <c r="D45" s="172">
        <f t="shared" si="0"/>
        <v>0</v>
      </c>
      <c r="E45" s="14"/>
    </row>
    <row r="46" spans="2:5" x14ac:dyDescent="0.25">
      <c r="B46" s="14" t="s">
        <v>589</v>
      </c>
      <c r="C46" s="172">
        <f>Scénario!K79</f>
        <v>0</v>
      </c>
      <c r="D46" s="172">
        <f t="shared" si="0"/>
        <v>0</v>
      </c>
      <c r="E46" s="14"/>
    </row>
    <row r="47" spans="2:5" x14ac:dyDescent="0.25">
      <c r="B47" s="14" t="s">
        <v>590</v>
      </c>
      <c r="C47" s="172">
        <f>Scénario!K80</f>
        <v>0</v>
      </c>
      <c r="D47" s="172">
        <f t="shared" si="0"/>
        <v>0</v>
      </c>
      <c r="E47" s="14"/>
    </row>
    <row r="48" spans="2:5" x14ac:dyDescent="0.25">
      <c r="B48" s="14" t="s">
        <v>1379</v>
      </c>
      <c r="C48" s="172">
        <f>Scénario!K81</f>
        <v>0</v>
      </c>
      <c r="D48" s="172">
        <f t="shared" si="0"/>
        <v>0</v>
      </c>
      <c r="E48" s="14"/>
    </row>
    <row r="49" spans="1:132" x14ac:dyDescent="0.25">
      <c r="B49" s="14" t="s">
        <v>591</v>
      </c>
      <c r="C49" s="172">
        <f>Scénario!K82</f>
        <v>0</v>
      </c>
      <c r="D49" s="172">
        <f t="shared" si="0"/>
        <v>0</v>
      </c>
      <c r="E49" s="14"/>
    </row>
    <row r="50" spans="1:132" x14ac:dyDescent="0.25">
      <c r="B50" s="14" t="s">
        <v>594</v>
      </c>
      <c r="C50" s="172">
        <f>Scénario!K83</f>
        <v>0</v>
      </c>
      <c r="D50" s="172">
        <f t="shared" si="0"/>
        <v>0</v>
      </c>
      <c r="E50" s="14"/>
    </row>
    <row r="51" spans="1:132" x14ac:dyDescent="0.25">
      <c r="B51" s="14" t="s">
        <v>604</v>
      </c>
      <c r="C51" s="172">
        <f>Scénario!K87</f>
        <v>4</v>
      </c>
      <c r="D51" s="172">
        <f t="shared" si="0"/>
        <v>4</v>
      </c>
      <c r="E51" s="14"/>
    </row>
    <row r="52" spans="1:132" x14ac:dyDescent="0.25">
      <c r="B52" s="19" t="s">
        <v>584</v>
      </c>
      <c r="C52" s="172">
        <f>Scénario!K84</f>
        <v>0</v>
      </c>
      <c r="D52" s="172">
        <f t="shared" si="0"/>
        <v>0</v>
      </c>
      <c r="E52" s="14"/>
    </row>
    <row r="53" spans="1:132" x14ac:dyDescent="0.25">
      <c r="B53" s="14" t="s">
        <v>592</v>
      </c>
      <c r="C53" s="172">
        <f>Scénario!K88</f>
        <v>0</v>
      </c>
      <c r="D53" s="172">
        <f t="shared" si="0"/>
        <v>0</v>
      </c>
      <c r="E53" s="14"/>
    </row>
    <row r="54" spans="1:132" x14ac:dyDescent="0.25">
      <c r="B54" s="14" t="s">
        <v>609</v>
      </c>
      <c r="C54" s="172">
        <f>Scénario!K89</f>
        <v>0</v>
      </c>
      <c r="D54" s="172">
        <f t="shared" si="0"/>
        <v>0</v>
      </c>
      <c r="E54" s="14"/>
    </row>
    <row r="55" spans="1:132" x14ac:dyDescent="0.25">
      <c r="B55" s="14" t="s">
        <v>609</v>
      </c>
      <c r="C55" s="172">
        <f>Scénario!K90</f>
        <v>0</v>
      </c>
      <c r="D55" s="172">
        <f t="shared" si="0"/>
        <v>0</v>
      </c>
      <c r="E55" s="14"/>
    </row>
    <row r="56" spans="1:132" x14ac:dyDescent="0.25">
      <c r="B56" s="14" t="s">
        <v>593</v>
      </c>
      <c r="C56" s="172">
        <f>Scénario!K91</f>
        <v>0</v>
      </c>
      <c r="D56" s="172">
        <f t="shared" si="0"/>
        <v>0</v>
      </c>
      <c r="E56" s="14"/>
    </row>
    <row r="57" spans="1:132" x14ac:dyDescent="0.25">
      <c r="B57" s="14" t="s">
        <v>611</v>
      </c>
      <c r="C57" s="172">
        <f>Scénario!K92</f>
        <v>0</v>
      </c>
      <c r="D57" s="172">
        <f t="shared" si="0"/>
        <v>0</v>
      </c>
      <c r="E57" s="14"/>
    </row>
    <row r="58" spans="1:132" x14ac:dyDescent="0.25">
      <c r="B58" s="14" t="s">
        <v>612</v>
      </c>
      <c r="C58" s="172">
        <f>Scénario!K93</f>
        <v>0</v>
      </c>
      <c r="D58" s="172">
        <f t="shared" si="0"/>
        <v>0</v>
      </c>
      <c r="E58" s="14"/>
    </row>
    <row r="59" spans="1:132" x14ac:dyDescent="0.25">
      <c r="B59" s="14" t="s">
        <v>613</v>
      </c>
      <c r="C59" s="172">
        <f>Scénario!K94</f>
        <v>0</v>
      </c>
      <c r="D59" s="172">
        <f t="shared" si="0"/>
        <v>0</v>
      </c>
      <c r="E59" s="14"/>
    </row>
    <row r="60" spans="1:132" x14ac:dyDescent="0.25">
      <c r="B60" s="14" t="s">
        <v>623</v>
      </c>
      <c r="C60" s="172">
        <f>Scénario!K127</f>
        <v>0</v>
      </c>
      <c r="D60" s="172">
        <f t="shared" si="0"/>
        <v>0</v>
      </c>
      <c r="E60" s="14"/>
    </row>
    <row r="61" spans="1:132" x14ac:dyDescent="0.25">
      <c r="B61" s="14" t="s">
        <v>624</v>
      </c>
      <c r="C61" s="172">
        <f>Scénario!K129</f>
        <v>0</v>
      </c>
      <c r="D61" s="172">
        <f t="shared" si="0"/>
        <v>0</v>
      </c>
      <c r="E61" s="14"/>
    </row>
    <row r="62" spans="1:132" x14ac:dyDescent="0.25">
      <c r="A62" s="2" t="s">
        <v>1125</v>
      </c>
      <c r="B62" s="14" t="s">
        <v>1126</v>
      </c>
      <c r="C62" s="168" t="str">
        <f>Scénario!K12</f>
        <v>BV</v>
      </c>
      <c r="D62" s="168" t="str">
        <f>C62</f>
        <v>BV</v>
      </c>
      <c r="AS62" s="40" t="s">
        <v>557</v>
      </c>
      <c r="AT62" s="168" t="str">
        <f>Troupeau!B3</f>
        <v>BV</v>
      </c>
      <c r="AU62" s="168">
        <f>IF(AT62="OL",1,IF(AT62="BV",2,IF(AT62="BL",3,IF(AT62="EQ",4,0))))</f>
        <v>2</v>
      </c>
      <c r="AV62" s="268"/>
      <c r="AW62" s="268"/>
      <c r="AX62" s="268"/>
      <c r="AY62" s="268"/>
      <c r="AZ62" s="268"/>
      <c r="BA62" s="268"/>
      <c r="BB62" s="268"/>
      <c r="BC62" s="268"/>
      <c r="BD62" s="268"/>
      <c r="BE62" s="268"/>
      <c r="BF62" s="268"/>
      <c r="BG62" s="268"/>
      <c r="BH62" s="268"/>
      <c r="BI62" s="268"/>
      <c r="BJ62" s="268"/>
      <c r="BK62" s="268"/>
      <c r="BL62" s="268"/>
      <c r="BM62" s="268"/>
      <c r="BN62" s="268"/>
      <c r="BO62" s="268"/>
      <c r="BP62" s="268"/>
      <c r="BQ62" s="268"/>
      <c r="BR62" s="268"/>
      <c r="BS62" s="268"/>
      <c r="BY62" s="40" t="s">
        <v>588</v>
      </c>
      <c r="BZ62" s="168">
        <f>Troupeau!C3</f>
        <v>0</v>
      </c>
      <c r="CA62" s="168">
        <f>IF(BZ62="OL",1,IF(BZ62="BV",2,IF(BZ62="BL",3,IF(BZ62="EQ",4,0))))</f>
        <v>0</v>
      </c>
      <c r="CB62" s="268"/>
      <c r="CC62" s="268"/>
      <c r="CD62" s="268"/>
      <c r="CE62" s="268"/>
      <c r="CF62" s="268"/>
      <c r="CG62" s="268"/>
      <c r="CH62" s="268"/>
      <c r="CI62" s="268"/>
      <c r="CJ62" s="268"/>
      <c r="CK62" s="268"/>
      <c r="CL62" s="268"/>
      <c r="CM62" s="268"/>
      <c r="CN62" s="268"/>
      <c r="CO62" s="268"/>
      <c r="CP62" s="268"/>
      <c r="CQ62" s="268"/>
      <c r="CR62" s="268"/>
      <c r="CS62" s="268"/>
      <c r="CT62" s="268"/>
      <c r="CU62" s="268"/>
      <c r="CV62" s="268"/>
      <c r="CW62" s="268"/>
      <c r="CX62" s="268"/>
      <c r="CY62" s="268"/>
      <c r="DB62" s="40" t="s">
        <v>721</v>
      </c>
      <c r="DC62" s="168">
        <f>Troupeau!D3</f>
        <v>0</v>
      </c>
      <c r="DD62" s="168">
        <f>IF(DC62="OL",1,IF(DC62="BV",2,IF(DC62="BL",3,IF(DC62="EQ",4,0))))</f>
        <v>0</v>
      </c>
      <c r="DE62" s="268"/>
      <c r="DF62" s="268"/>
      <c r="DG62" s="268"/>
      <c r="DH62" s="268"/>
      <c r="DI62" s="268"/>
      <c r="DJ62" s="268"/>
      <c r="DK62" s="268"/>
      <c r="DL62" s="268"/>
      <c r="DM62" s="268"/>
      <c r="DN62" s="268"/>
      <c r="DO62" s="268"/>
      <c r="DP62" s="268"/>
      <c r="DQ62" s="268"/>
      <c r="DR62" s="268"/>
      <c r="DS62" s="268"/>
      <c r="DT62" s="268"/>
      <c r="DU62" s="268"/>
      <c r="DV62" s="268"/>
      <c r="DW62" s="268"/>
      <c r="DX62" s="268"/>
      <c r="DY62" s="268"/>
      <c r="DZ62" s="268"/>
      <c r="EA62" s="268"/>
      <c r="EB62" s="268"/>
    </row>
    <row r="63" spans="1:132" x14ac:dyDescent="0.25">
      <c r="B63" s="14" t="s">
        <v>1127</v>
      </c>
      <c r="C63" s="168">
        <f>IF(Troupeau!B3="OL",Troupeau!B17,0)</f>
        <v>0</v>
      </c>
      <c r="D63" s="255">
        <f>ROUND(C63*$D$82/$C$82,3)</f>
        <v>0</v>
      </c>
      <c r="F63" s="256" t="s">
        <v>1128</v>
      </c>
      <c r="G63">
        <f>D82/C82</f>
        <v>1.3162393162393162</v>
      </c>
      <c r="AT63" s="2" t="s">
        <v>732</v>
      </c>
      <c r="AU63" s="269"/>
      <c r="AV63" s="33">
        <v>1</v>
      </c>
      <c r="AW63" s="33">
        <v>2</v>
      </c>
      <c r="AX63" s="33">
        <v>3</v>
      </c>
      <c r="AY63" s="33">
        <v>4</v>
      </c>
      <c r="AZ63" s="33">
        <v>5</v>
      </c>
      <c r="BA63" s="33">
        <v>6</v>
      </c>
      <c r="BB63" s="33">
        <v>7</v>
      </c>
      <c r="BC63" s="33">
        <v>8</v>
      </c>
      <c r="BD63" s="33">
        <v>9</v>
      </c>
      <c r="BE63" s="33">
        <v>10</v>
      </c>
      <c r="BF63" s="33">
        <v>11</v>
      </c>
      <c r="BG63" s="33">
        <v>12</v>
      </c>
      <c r="BH63" s="33">
        <v>13</v>
      </c>
      <c r="BI63" s="33">
        <v>14</v>
      </c>
      <c r="BJ63" s="33">
        <v>15</v>
      </c>
      <c r="BK63" s="33">
        <v>16</v>
      </c>
      <c r="BL63" s="33">
        <v>17</v>
      </c>
      <c r="BM63" s="33">
        <v>18</v>
      </c>
      <c r="BN63" s="33">
        <v>19</v>
      </c>
      <c r="BO63" s="33">
        <v>20</v>
      </c>
      <c r="BP63" s="33">
        <v>21</v>
      </c>
      <c r="BQ63" s="33">
        <v>22</v>
      </c>
      <c r="BR63" s="33">
        <v>23</v>
      </c>
      <c r="BS63" s="33">
        <v>24</v>
      </c>
      <c r="BZ63" s="2" t="s">
        <v>732</v>
      </c>
      <c r="CA63" s="269"/>
      <c r="CB63" s="33">
        <v>1</v>
      </c>
      <c r="CC63" s="33">
        <v>2</v>
      </c>
      <c r="CD63" s="33">
        <v>3</v>
      </c>
      <c r="CE63" s="33">
        <v>4</v>
      </c>
      <c r="CF63" s="33">
        <v>5</v>
      </c>
      <c r="CG63" s="33">
        <v>6</v>
      </c>
      <c r="CH63" s="33">
        <v>7</v>
      </c>
      <c r="CI63" s="33">
        <v>8</v>
      </c>
      <c r="CJ63" s="33">
        <v>9</v>
      </c>
      <c r="CK63" s="33">
        <v>10</v>
      </c>
      <c r="CL63" s="33">
        <v>11</v>
      </c>
      <c r="CM63" s="33">
        <v>12</v>
      </c>
      <c r="CN63" s="33">
        <v>13</v>
      </c>
      <c r="CO63" s="33">
        <v>14</v>
      </c>
      <c r="CP63" s="33">
        <v>15</v>
      </c>
      <c r="CQ63" s="33">
        <v>16</v>
      </c>
      <c r="CR63" s="33">
        <v>17</v>
      </c>
      <c r="CS63" s="33">
        <v>18</v>
      </c>
      <c r="CT63" s="33">
        <v>19</v>
      </c>
      <c r="CU63" s="33">
        <v>20</v>
      </c>
      <c r="CV63" s="33">
        <v>21</v>
      </c>
      <c r="CW63" s="33">
        <v>22</v>
      </c>
      <c r="CX63" s="33">
        <v>23</v>
      </c>
      <c r="CY63" s="33">
        <v>24</v>
      </c>
      <c r="DC63" s="2" t="s">
        <v>732</v>
      </c>
      <c r="DD63" s="269"/>
      <c r="DE63" s="33">
        <v>1</v>
      </c>
      <c r="DF63" s="33">
        <v>2</v>
      </c>
      <c r="DG63" s="33">
        <v>3</v>
      </c>
      <c r="DH63" s="33">
        <v>4</v>
      </c>
      <c r="DI63" s="33">
        <v>5</v>
      </c>
      <c r="DJ63" s="33">
        <v>6</v>
      </c>
      <c r="DK63" s="33">
        <v>7</v>
      </c>
      <c r="DL63" s="33">
        <v>8</v>
      </c>
      <c r="DM63" s="33">
        <v>9</v>
      </c>
      <c r="DN63" s="33">
        <v>10</v>
      </c>
      <c r="DO63" s="33">
        <v>11</v>
      </c>
      <c r="DP63" s="33">
        <v>12</v>
      </c>
      <c r="DQ63" s="33">
        <v>13</v>
      </c>
      <c r="DR63" s="33">
        <v>14</v>
      </c>
      <c r="DS63" s="33">
        <v>15</v>
      </c>
      <c r="DT63" s="33">
        <v>16</v>
      </c>
      <c r="DU63" s="33">
        <v>17</v>
      </c>
      <c r="DV63" s="33">
        <v>18</v>
      </c>
      <c r="DW63" s="33">
        <v>19</v>
      </c>
      <c r="DX63" s="33">
        <v>20</v>
      </c>
      <c r="DY63" s="33">
        <v>21</v>
      </c>
      <c r="DZ63" s="33">
        <v>22</v>
      </c>
      <c r="EA63" s="33">
        <v>23</v>
      </c>
      <c r="EB63" s="33">
        <v>24</v>
      </c>
    </row>
    <row r="64" spans="1:132" x14ac:dyDescent="0.25">
      <c r="B64" s="14" t="s">
        <v>1129</v>
      </c>
      <c r="C64" s="168">
        <f>IF(Troupeau!B3="BL",Troupeau!B17,0)</f>
        <v>0</v>
      </c>
      <c r="D64" s="255">
        <f t="shared" ref="D64:D66" si="1">ROUND(C64*$D$82/$C$82,3)</f>
        <v>0</v>
      </c>
      <c r="F64" s="182" t="s">
        <v>1130</v>
      </c>
      <c r="AT64" s="182" t="str">
        <f>AT87</f>
        <v xml:space="preserve">Vaches </v>
      </c>
      <c r="AU64" s="269"/>
      <c r="AV64" s="168">
        <f>CdTrp1!B15*$G$63</f>
        <v>43.172649572649568</v>
      </c>
      <c r="AW64" s="168">
        <f>CdTrp1!C15*$G$63</f>
        <v>43.172649572649568</v>
      </c>
      <c r="AX64" s="168">
        <f>CdTrp1!D15*$G$63</f>
        <v>43.172649572649568</v>
      </c>
      <c r="AY64" s="168">
        <f>CdTrp1!E15*$G$63</f>
        <v>43.172649572649568</v>
      </c>
      <c r="AZ64" s="168">
        <f>CdTrp1!F15*$G$63</f>
        <v>43.172649572649568</v>
      </c>
      <c r="BA64" s="168">
        <f>CdTrp1!G15*$G$63</f>
        <v>43.172649572649568</v>
      </c>
      <c r="BB64" s="168">
        <f>CdTrp1!H15*$G$63</f>
        <v>43.172649572649568</v>
      </c>
      <c r="BC64" s="168">
        <f>CdTrp1!I15*$G$63</f>
        <v>43.172649572649568</v>
      </c>
      <c r="BD64" s="168">
        <f>CdTrp1!J15*$G$63</f>
        <v>43.172649572649568</v>
      </c>
      <c r="BE64" s="168">
        <f>CdTrp1!K15*$G$63</f>
        <v>43.172649572649568</v>
      </c>
      <c r="BF64" s="168">
        <f>CdTrp1!L15*$G$63</f>
        <v>43.172649572649568</v>
      </c>
      <c r="BG64" s="168">
        <f>CdTrp1!M15*$G$63</f>
        <v>43.172649572649568</v>
      </c>
      <c r="BH64" s="168">
        <f>CdTrp1!N15*$G$63</f>
        <v>43.172649572649568</v>
      </c>
      <c r="BI64" s="168">
        <f>CdTrp1!O15*$G$63</f>
        <v>43.172649572649568</v>
      </c>
      <c r="BJ64" s="168">
        <f>CdTrp1!P15*$G$63</f>
        <v>43.172649572649568</v>
      </c>
      <c r="BK64" s="168">
        <f>CdTrp1!Q15*$G$63</f>
        <v>41.066666666666663</v>
      </c>
      <c r="BL64" s="168">
        <f>CdTrp1!R15*$G$63</f>
        <v>38.960683760683764</v>
      </c>
      <c r="BM64" s="168">
        <f>CdTrp1!S15*$G$63</f>
        <v>36.854700854700852</v>
      </c>
      <c r="BN64" s="168">
        <f>CdTrp1!T15*$G$63</f>
        <v>37.907692307692308</v>
      </c>
      <c r="BO64" s="168">
        <f>CdTrp1!U15*$G$63</f>
        <v>38.960683760683764</v>
      </c>
      <c r="BP64" s="168">
        <f>CdTrp1!V15*$G$63</f>
        <v>40.013675213675214</v>
      </c>
      <c r="BQ64" s="168">
        <f>CdTrp1!W15*$G$63</f>
        <v>43.172649572649568</v>
      </c>
      <c r="BR64" s="168">
        <f>CdTrp1!X15*$G$63</f>
        <v>43.172649572649568</v>
      </c>
      <c r="BS64" s="168">
        <f>CdTrp1!Y15*$G$63</f>
        <v>43.172649572649568</v>
      </c>
      <c r="BZ64" s="182" t="str">
        <f>+CdTrp2!A15</f>
        <v>lot1</v>
      </c>
      <c r="CA64" s="269"/>
      <c r="CB64" s="168">
        <f>CdTrp2!B15*$G$63</f>
        <v>0</v>
      </c>
      <c r="CC64" s="168">
        <f>CdTrp2!C15*$G$63</f>
        <v>0</v>
      </c>
      <c r="CD64" s="168">
        <f>CdTrp2!D15*$G$63</f>
        <v>0</v>
      </c>
      <c r="CE64" s="168">
        <f>CdTrp2!E15*$G$63</f>
        <v>0</v>
      </c>
      <c r="CF64" s="168">
        <f>CdTrp2!F15*$G$63</f>
        <v>0</v>
      </c>
      <c r="CG64" s="168">
        <f>CdTrp2!G15*$G$63</f>
        <v>0</v>
      </c>
      <c r="CH64" s="168">
        <f>CdTrp2!H15*$G$63</f>
        <v>0</v>
      </c>
      <c r="CI64" s="168">
        <f>CdTrp2!I15*$G$63</f>
        <v>0</v>
      </c>
      <c r="CJ64" s="168">
        <f>CdTrp2!J15*$G$63</f>
        <v>0</v>
      </c>
      <c r="CK64" s="168">
        <f>CdTrp2!K15*$G$63</f>
        <v>0</v>
      </c>
      <c r="CL64" s="168">
        <f>CdTrp2!L15*$G$63</f>
        <v>0</v>
      </c>
      <c r="CM64" s="168">
        <f>CdTrp2!M15*$G$63</f>
        <v>0</v>
      </c>
      <c r="CN64" s="168">
        <f>CdTrp2!N15*$G$63</f>
        <v>0</v>
      </c>
      <c r="CO64" s="168">
        <f>CdTrp2!O15*$G$63</f>
        <v>0</v>
      </c>
      <c r="CP64" s="168">
        <f>CdTrp2!P15*$G$63</f>
        <v>0</v>
      </c>
      <c r="CQ64" s="168">
        <f>CdTrp2!Q15*$G$63</f>
        <v>0</v>
      </c>
      <c r="CR64" s="168">
        <f>CdTrp2!R15*$G$63</f>
        <v>0</v>
      </c>
      <c r="CS64" s="168">
        <f>CdTrp2!S15*$G$63</f>
        <v>0</v>
      </c>
      <c r="CT64" s="168">
        <f>CdTrp2!T15*$G$63</f>
        <v>0</v>
      </c>
      <c r="CU64" s="168">
        <f>CdTrp2!U15*$G$63</f>
        <v>0</v>
      </c>
      <c r="CV64" s="168">
        <f>CdTrp2!V15*$G$63</f>
        <v>0</v>
      </c>
      <c r="CW64" s="168">
        <f>CdTrp2!W15*$G$63</f>
        <v>0</v>
      </c>
      <c r="CX64" s="168">
        <f>CdTrp2!X15*$G$63</f>
        <v>0</v>
      </c>
      <c r="CY64" s="168">
        <f>CdTrp2!Y15*$G$63</f>
        <v>0</v>
      </c>
      <c r="DC64" s="182" t="str">
        <f>+CdTrp3!A15</f>
        <v>lot1</v>
      </c>
      <c r="DD64" s="269"/>
      <c r="DE64" s="168">
        <f>CdTrp3!B15*$G$63</f>
        <v>0</v>
      </c>
      <c r="DF64" s="168">
        <f>CdTrp3!C15*$G$63</f>
        <v>0</v>
      </c>
      <c r="DG64" s="168">
        <f>CdTrp3!D15*$G$63</f>
        <v>0</v>
      </c>
      <c r="DH64" s="168">
        <f>CdTrp3!E15*$G$63</f>
        <v>0</v>
      </c>
      <c r="DI64" s="168">
        <f>CdTrp3!F15*$G$63</f>
        <v>0</v>
      </c>
      <c r="DJ64" s="168">
        <f>CdTrp3!G15*$G$63</f>
        <v>0</v>
      </c>
      <c r="DK64" s="168">
        <f>CdTrp3!H15*$G$63</f>
        <v>0</v>
      </c>
      <c r="DL64" s="168">
        <f>CdTrp3!I15*$G$63</f>
        <v>0</v>
      </c>
      <c r="DM64" s="168">
        <f>CdTrp3!J15*$G$63</f>
        <v>0</v>
      </c>
      <c r="DN64" s="168">
        <f>CdTrp3!K15*$G$63</f>
        <v>0</v>
      </c>
      <c r="DO64" s="168">
        <f>CdTrp3!L15*$G$63</f>
        <v>0</v>
      </c>
      <c r="DP64" s="168">
        <f>CdTrp3!M15*$G$63</f>
        <v>0</v>
      </c>
      <c r="DQ64" s="168">
        <f>CdTrp3!N15*$G$63</f>
        <v>0</v>
      </c>
      <c r="DR64" s="168">
        <f>CdTrp3!O15*$G$63</f>
        <v>0</v>
      </c>
      <c r="DS64" s="168">
        <f>CdTrp3!P15*$G$63</f>
        <v>0</v>
      </c>
      <c r="DT64" s="168">
        <f>CdTrp3!Q15*$G$63</f>
        <v>0</v>
      </c>
      <c r="DU64" s="168">
        <f>CdTrp3!R15*$G$63</f>
        <v>0</v>
      </c>
      <c r="DV64" s="168">
        <f>CdTrp3!S15*$G$63</f>
        <v>0</v>
      </c>
      <c r="DW64" s="168">
        <f>CdTrp3!T15*$G$63</f>
        <v>0</v>
      </c>
      <c r="DX64" s="168">
        <f>CdTrp3!U15*$G$63</f>
        <v>0</v>
      </c>
      <c r="DY64" s="168">
        <f>CdTrp3!V15*$G$63</f>
        <v>0</v>
      </c>
      <c r="DZ64" s="168">
        <f>CdTrp3!W15*$G$63</f>
        <v>0</v>
      </c>
      <c r="EA64" s="168">
        <f>CdTrp3!X15*$G$63</f>
        <v>0</v>
      </c>
      <c r="EB64" s="168">
        <f>CdTrp3!Y15*$G$63</f>
        <v>0</v>
      </c>
    </row>
    <row r="65" spans="2:132" x14ac:dyDescent="0.25">
      <c r="B65" s="14" t="s">
        <v>1131</v>
      </c>
      <c r="C65" s="168">
        <f>IF(Troupeau!B3="BV",Troupeau!B17,0)+IF(Troupeau!C3="BV",Troupeau!C17,0)</f>
        <v>40</v>
      </c>
      <c r="D65" s="255">
        <f t="shared" si="1"/>
        <v>52.65</v>
      </c>
      <c r="F65" s="257" t="s">
        <v>1132</v>
      </c>
      <c r="AT65" s="182" t="str">
        <f t="shared" ref="AT65:AT73" si="2">AT88</f>
        <v>Génisses 24 mois</v>
      </c>
      <c r="AU65" s="269"/>
      <c r="AV65" s="168">
        <f>CdTrp1!B16*$G$63</f>
        <v>12.635897435897435</v>
      </c>
      <c r="AW65" s="168">
        <f>CdTrp1!C16*$G$63</f>
        <v>12.635897435897435</v>
      </c>
      <c r="AX65" s="168">
        <f>CdTrp1!D16*$G$63</f>
        <v>12.635897435897435</v>
      </c>
      <c r="AY65" s="168">
        <f>CdTrp1!E16*$G$63</f>
        <v>12.635897435897435</v>
      </c>
      <c r="AZ65" s="168">
        <f>CdTrp1!F16*$G$63</f>
        <v>12.635897435897435</v>
      </c>
      <c r="BA65" s="168">
        <f>CdTrp1!G16*$G$63</f>
        <v>12.635897435897435</v>
      </c>
      <c r="BB65" s="168">
        <f>CdTrp1!H16*$G$63</f>
        <v>12.635897435897435</v>
      </c>
      <c r="BC65" s="168">
        <f>CdTrp1!I16*$G$63</f>
        <v>12.635897435897435</v>
      </c>
      <c r="BD65" s="168">
        <f>CdTrp1!J16*$G$63</f>
        <v>12.635897435897435</v>
      </c>
      <c r="BE65" s="168">
        <f>CdTrp1!K16*$G$63</f>
        <v>12.635897435897435</v>
      </c>
      <c r="BF65" s="168">
        <f>CdTrp1!L16*$G$63</f>
        <v>12.635897435897435</v>
      </c>
      <c r="BG65" s="168">
        <f>CdTrp1!M16*$G$63</f>
        <v>12.635897435897435</v>
      </c>
      <c r="BH65" s="168">
        <f>CdTrp1!N16*$G$63</f>
        <v>12.635897435897435</v>
      </c>
      <c r="BI65" s="168">
        <f>CdTrp1!O16*$G$63</f>
        <v>12.635897435897435</v>
      </c>
      <c r="BJ65" s="168">
        <f>CdTrp1!P16*$G$63</f>
        <v>12.635897435897435</v>
      </c>
      <c r="BK65" s="168">
        <f>CdTrp1!Q16*$G$63</f>
        <v>12.635897435897435</v>
      </c>
      <c r="BL65" s="168">
        <f>CdTrp1!R16*$G$63</f>
        <v>12.635897435897435</v>
      </c>
      <c r="BM65" s="168">
        <f>CdTrp1!S16*$G$63</f>
        <v>12.635897435897435</v>
      </c>
      <c r="BN65" s="168">
        <f>CdTrp1!T16*$G$63</f>
        <v>12.635897435897435</v>
      </c>
      <c r="BO65" s="168">
        <f>CdTrp1!U16*$G$63</f>
        <v>12.635897435897435</v>
      </c>
      <c r="BP65" s="168">
        <f>CdTrp1!V16*$G$63</f>
        <v>12.635897435897435</v>
      </c>
      <c r="BQ65" s="168">
        <f>CdTrp1!W16*$G$63</f>
        <v>12.635897435897435</v>
      </c>
      <c r="BR65" s="168">
        <f>CdTrp1!X16*$G$63</f>
        <v>12.635897435897435</v>
      </c>
      <c r="BS65" s="168">
        <f>CdTrp1!Y16*$G$63</f>
        <v>12.635897435897435</v>
      </c>
      <c r="BZ65" s="182" t="str">
        <f>+CdTrp2!A16</f>
        <v>lot2</v>
      </c>
      <c r="CA65" s="269"/>
      <c r="CB65" s="168">
        <f>CdTrp2!B16*$G$63</f>
        <v>0</v>
      </c>
      <c r="CC65" s="168">
        <f>CdTrp2!C16*$G$63</f>
        <v>0</v>
      </c>
      <c r="CD65" s="168">
        <f>CdTrp2!D16*$G$63</f>
        <v>0</v>
      </c>
      <c r="CE65" s="168">
        <f>CdTrp2!E16*$G$63</f>
        <v>0</v>
      </c>
      <c r="CF65" s="168">
        <f>CdTrp2!F16*$G$63</f>
        <v>0</v>
      </c>
      <c r="CG65" s="168">
        <f>CdTrp2!G16*$G$63</f>
        <v>0</v>
      </c>
      <c r="CH65" s="168">
        <f>CdTrp2!H16*$G$63</f>
        <v>0</v>
      </c>
      <c r="CI65" s="168">
        <f>CdTrp2!I16*$G$63</f>
        <v>0</v>
      </c>
      <c r="CJ65" s="168">
        <f>CdTrp2!J16*$G$63</f>
        <v>0</v>
      </c>
      <c r="CK65" s="168">
        <f>CdTrp2!K16*$G$63</f>
        <v>0</v>
      </c>
      <c r="CL65" s="168">
        <f>CdTrp2!L16*$G$63</f>
        <v>0</v>
      </c>
      <c r="CM65" s="168">
        <f>CdTrp2!M16*$G$63</f>
        <v>0</v>
      </c>
      <c r="CN65" s="168">
        <f>CdTrp2!N16*$G$63</f>
        <v>0</v>
      </c>
      <c r="CO65" s="168">
        <f>CdTrp2!O16*$G$63</f>
        <v>0</v>
      </c>
      <c r="CP65" s="168">
        <f>CdTrp2!P16*$G$63</f>
        <v>0</v>
      </c>
      <c r="CQ65" s="168">
        <f>CdTrp2!Q16*$G$63</f>
        <v>0</v>
      </c>
      <c r="CR65" s="168">
        <f>CdTrp2!R16*$G$63</f>
        <v>0</v>
      </c>
      <c r="CS65" s="168">
        <f>CdTrp2!S16*$G$63</f>
        <v>0</v>
      </c>
      <c r="CT65" s="168">
        <f>CdTrp2!T16*$G$63</f>
        <v>0</v>
      </c>
      <c r="CU65" s="168">
        <f>CdTrp2!U16*$G$63</f>
        <v>0</v>
      </c>
      <c r="CV65" s="168">
        <f>CdTrp2!V16*$G$63</f>
        <v>0</v>
      </c>
      <c r="CW65" s="168">
        <f>CdTrp2!W16*$G$63</f>
        <v>0</v>
      </c>
      <c r="CX65" s="168">
        <f>CdTrp2!X16*$G$63</f>
        <v>0</v>
      </c>
      <c r="CY65" s="168">
        <f>CdTrp2!Y16*$G$63</f>
        <v>0</v>
      </c>
      <c r="DC65" s="182" t="str">
        <f>+CdTrp3!A16</f>
        <v>lot2</v>
      </c>
      <c r="DD65" s="269"/>
      <c r="DE65" s="168">
        <f>CdTrp3!B16*$G$63</f>
        <v>0</v>
      </c>
      <c r="DF65" s="168">
        <f>CdTrp3!C16*$G$63</f>
        <v>0</v>
      </c>
      <c r="DG65" s="168">
        <f>CdTrp3!D16*$G$63</f>
        <v>0</v>
      </c>
      <c r="DH65" s="168">
        <f>CdTrp3!E16*$G$63</f>
        <v>0</v>
      </c>
      <c r="DI65" s="168">
        <f>CdTrp3!F16*$G$63</f>
        <v>0</v>
      </c>
      <c r="DJ65" s="168">
        <f>CdTrp3!G16*$G$63</f>
        <v>0</v>
      </c>
      <c r="DK65" s="168">
        <f>CdTrp3!H16*$G$63</f>
        <v>0</v>
      </c>
      <c r="DL65" s="168">
        <f>CdTrp3!I16*$G$63</f>
        <v>0</v>
      </c>
      <c r="DM65" s="168">
        <f>CdTrp3!J16*$G$63</f>
        <v>0</v>
      </c>
      <c r="DN65" s="168">
        <f>CdTrp3!K16*$G$63</f>
        <v>0</v>
      </c>
      <c r="DO65" s="168">
        <f>CdTrp3!L16*$G$63</f>
        <v>0</v>
      </c>
      <c r="DP65" s="168">
        <f>CdTrp3!M16*$G$63</f>
        <v>0</v>
      </c>
      <c r="DQ65" s="168">
        <f>CdTrp3!N16*$G$63</f>
        <v>0</v>
      </c>
      <c r="DR65" s="168">
        <f>CdTrp3!O16*$G$63</f>
        <v>0</v>
      </c>
      <c r="DS65" s="168">
        <f>CdTrp3!P16*$G$63</f>
        <v>0</v>
      </c>
      <c r="DT65" s="168">
        <f>CdTrp3!Q16*$G$63</f>
        <v>0</v>
      </c>
      <c r="DU65" s="168">
        <f>CdTrp3!R16*$G$63</f>
        <v>0</v>
      </c>
      <c r="DV65" s="168">
        <f>CdTrp3!S16*$G$63</f>
        <v>0</v>
      </c>
      <c r="DW65" s="168">
        <f>CdTrp3!T16*$G$63</f>
        <v>0</v>
      </c>
      <c r="DX65" s="168">
        <f>CdTrp3!U16*$G$63</f>
        <v>0</v>
      </c>
      <c r="DY65" s="168">
        <f>CdTrp3!V16*$G$63</f>
        <v>0</v>
      </c>
      <c r="DZ65" s="168">
        <f>CdTrp3!W16*$G$63</f>
        <v>0</v>
      </c>
      <c r="EA65" s="168">
        <f>CdTrp3!X16*$G$63</f>
        <v>0</v>
      </c>
      <c r="EB65" s="168">
        <f>CdTrp3!Y16*$G$63</f>
        <v>0</v>
      </c>
    </row>
    <row r="66" spans="2:132" x14ac:dyDescent="0.25">
      <c r="B66" s="14" t="s">
        <v>1133</v>
      </c>
      <c r="C66" s="168">
        <f>IF(Troupeau!D3="EQ",Troupeau!D17,0)+IF(Troupeau!C3="EQ",Troupeau!C17,0)</f>
        <v>0</v>
      </c>
      <c r="D66" s="255">
        <f t="shared" si="1"/>
        <v>0</v>
      </c>
      <c r="AT66" s="182" t="str">
        <f t="shared" si="2"/>
        <v>Génisses jeunes</v>
      </c>
      <c r="AU66" s="269"/>
      <c r="AV66" s="168">
        <f>CdTrp1!B17*$G$63</f>
        <v>12.635897435897435</v>
      </c>
      <c r="AW66" s="168">
        <f>CdTrp1!C17*$G$63</f>
        <v>12.635897435897435</v>
      </c>
      <c r="AX66" s="168">
        <f>CdTrp1!D17*$G$63</f>
        <v>12.635897435897435</v>
      </c>
      <c r="AY66" s="168">
        <f>CdTrp1!E17*$G$63</f>
        <v>12.635897435897435</v>
      </c>
      <c r="AZ66" s="168">
        <f>CdTrp1!F17*$G$63</f>
        <v>12.635897435897435</v>
      </c>
      <c r="BA66" s="168">
        <f>CdTrp1!G17*$G$63</f>
        <v>12.635897435897435</v>
      </c>
      <c r="BB66" s="168">
        <f>CdTrp1!H17*$G$63</f>
        <v>12.635897435897435</v>
      </c>
      <c r="BC66" s="168">
        <f>CdTrp1!I17*$G$63</f>
        <v>12.635897435897435</v>
      </c>
      <c r="BD66" s="168">
        <f>CdTrp1!J17*$G$63</f>
        <v>12.635897435897435</v>
      </c>
      <c r="BE66" s="168">
        <f>CdTrp1!K17*$G$63</f>
        <v>12.635897435897435</v>
      </c>
      <c r="BF66" s="168">
        <f>CdTrp1!L17*$G$63</f>
        <v>12.635897435897435</v>
      </c>
      <c r="BG66" s="168">
        <f>CdTrp1!M17*$G$63</f>
        <v>12.635897435897435</v>
      </c>
      <c r="BH66" s="168">
        <f>CdTrp1!N17*$G$63</f>
        <v>12.635897435897435</v>
      </c>
      <c r="BI66" s="168">
        <f>CdTrp1!O17*$G$63</f>
        <v>12.635897435897435</v>
      </c>
      <c r="BJ66" s="168">
        <f>CdTrp1!P17*$G$63</f>
        <v>12.635897435897435</v>
      </c>
      <c r="BK66" s="168">
        <f>CdTrp1!Q17*$G$63</f>
        <v>12.635897435897435</v>
      </c>
      <c r="BL66" s="168">
        <f>CdTrp1!R17*$G$63</f>
        <v>12.635897435897435</v>
      </c>
      <c r="BM66" s="168">
        <f>CdTrp1!S17*$G$63</f>
        <v>12.635897435897435</v>
      </c>
      <c r="BN66" s="168">
        <f>CdTrp1!T17*$G$63</f>
        <v>12.635897435897435</v>
      </c>
      <c r="BO66" s="168">
        <f>CdTrp1!U17*$G$63</f>
        <v>12.635897435897435</v>
      </c>
      <c r="BP66" s="168">
        <f>CdTrp1!V17*$G$63</f>
        <v>12.635897435897435</v>
      </c>
      <c r="BQ66" s="168">
        <f>CdTrp1!W17*$G$63</f>
        <v>12.635897435897435</v>
      </c>
      <c r="BR66" s="168">
        <f>CdTrp1!X17*$G$63</f>
        <v>12.635897435897435</v>
      </c>
      <c r="BS66" s="168">
        <f>CdTrp1!Y17*$G$63</f>
        <v>12.635897435897435</v>
      </c>
      <c r="BZ66" s="182" t="str">
        <f>+CdTrp2!A17</f>
        <v>lot3</v>
      </c>
      <c r="CA66" s="269"/>
      <c r="CB66" s="168">
        <f>CdTrp2!B17*$G$63</f>
        <v>0</v>
      </c>
      <c r="CC66" s="168">
        <f>CdTrp2!C17*$G$63</f>
        <v>0</v>
      </c>
      <c r="CD66" s="168">
        <f>CdTrp2!D17*$G$63</f>
        <v>0</v>
      </c>
      <c r="CE66" s="168">
        <f>CdTrp2!E17*$G$63</f>
        <v>0</v>
      </c>
      <c r="CF66" s="168">
        <f>CdTrp2!F17*$G$63</f>
        <v>0</v>
      </c>
      <c r="CG66" s="168">
        <f>CdTrp2!G17*$G$63</f>
        <v>0</v>
      </c>
      <c r="CH66" s="168">
        <f>CdTrp2!H17*$G$63</f>
        <v>0</v>
      </c>
      <c r="CI66" s="168">
        <f>CdTrp2!I17*$G$63</f>
        <v>0</v>
      </c>
      <c r="CJ66" s="168">
        <f>CdTrp2!J17*$G$63</f>
        <v>0</v>
      </c>
      <c r="CK66" s="168">
        <f>CdTrp2!K17*$G$63</f>
        <v>0</v>
      </c>
      <c r="CL66" s="168">
        <f>CdTrp2!L17*$G$63</f>
        <v>0</v>
      </c>
      <c r="CM66" s="168">
        <f>CdTrp2!M17*$G$63</f>
        <v>0</v>
      </c>
      <c r="CN66" s="168">
        <f>CdTrp2!N17*$G$63</f>
        <v>0</v>
      </c>
      <c r="CO66" s="168">
        <f>CdTrp2!O17*$G$63</f>
        <v>0</v>
      </c>
      <c r="CP66" s="168">
        <f>CdTrp2!P17*$G$63</f>
        <v>0</v>
      </c>
      <c r="CQ66" s="168">
        <f>CdTrp2!Q17*$G$63</f>
        <v>0</v>
      </c>
      <c r="CR66" s="168">
        <f>CdTrp2!R17*$G$63</f>
        <v>0</v>
      </c>
      <c r="CS66" s="168">
        <f>CdTrp2!S17*$G$63</f>
        <v>0</v>
      </c>
      <c r="CT66" s="168">
        <f>CdTrp2!T17*$G$63</f>
        <v>0</v>
      </c>
      <c r="CU66" s="168">
        <f>CdTrp2!U17*$G$63</f>
        <v>0</v>
      </c>
      <c r="CV66" s="168">
        <f>CdTrp2!V17*$G$63</f>
        <v>0</v>
      </c>
      <c r="CW66" s="168">
        <f>CdTrp2!W17*$G$63</f>
        <v>0</v>
      </c>
      <c r="CX66" s="168">
        <f>CdTrp2!X17*$G$63</f>
        <v>0</v>
      </c>
      <c r="CY66" s="168">
        <f>CdTrp2!Y17*$G$63</f>
        <v>0</v>
      </c>
      <c r="DC66" s="182" t="str">
        <f>+CdTrp3!A17</f>
        <v>lot3</v>
      </c>
      <c r="DD66" s="269"/>
      <c r="DE66" s="168">
        <f>CdTrp3!B17*$G$63</f>
        <v>0</v>
      </c>
      <c r="DF66" s="168">
        <f>CdTrp3!C17*$G$63</f>
        <v>0</v>
      </c>
      <c r="DG66" s="168">
        <f>CdTrp3!D17*$G$63</f>
        <v>0</v>
      </c>
      <c r="DH66" s="168">
        <f>CdTrp3!E17*$G$63</f>
        <v>0</v>
      </c>
      <c r="DI66" s="168">
        <f>CdTrp3!F17*$G$63</f>
        <v>0</v>
      </c>
      <c r="DJ66" s="168">
        <f>CdTrp3!G17*$G$63</f>
        <v>0</v>
      </c>
      <c r="DK66" s="168">
        <f>CdTrp3!H17*$G$63</f>
        <v>0</v>
      </c>
      <c r="DL66" s="168">
        <f>CdTrp3!I17*$G$63</f>
        <v>0</v>
      </c>
      <c r="DM66" s="168">
        <f>CdTrp3!J17*$G$63</f>
        <v>0</v>
      </c>
      <c r="DN66" s="168">
        <f>CdTrp3!K17*$G$63</f>
        <v>0</v>
      </c>
      <c r="DO66" s="168">
        <f>CdTrp3!L17*$G$63</f>
        <v>0</v>
      </c>
      <c r="DP66" s="168">
        <f>CdTrp3!M17*$G$63</f>
        <v>0</v>
      </c>
      <c r="DQ66" s="168">
        <f>CdTrp3!N17*$G$63</f>
        <v>0</v>
      </c>
      <c r="DR66" s="168">
        <f>CdTrp3!O17*$G$63</f>
        <v>0</v>
      </c>
      <c r="DS66" s="168">
        <f>CdTrp3!P17*$G$63</f>
        <v>0</v>
      </c>
      <c r="DT66" s="168">
        <f>CdTrp3!Q17*$G$63</f>
        <v>0</v>
      </c>
      <c r="DU66" s="168">
        <f>CdTrp3!R17*$G$63</f>
        <v>0</v>
      </c>
      <c r="DV66" s="168">
        <f>CdTrp3!S17*$G$63</f>
        <v>0</v>
      </c>
      <c r="DW66" s="168">
        <f>CdTrp3!T17*$G$63</f>
        <v>0</v>
      </c>
      <c r="DX66" s="168">
        <f>CdTrp3!U17*$G$63</f>
        <v>0</v>
      </c>
      <c r="DY66" s="168">
        <f>CdTrp3!V17*$G$63</f>
        <v>0</v>
      </c>
      <c r="DZ66" s="168">
        <f>CdTrp3!W17*$G$63</f>
        <v>0</v>
      </c>
      <c r="EA66" s="168">
        <f>CdTrp3!X17*$G$63</f>
        <v>0</v>
      </c>
      <c r="EB66" s="168">
        <f>CdTrp3!Y17*$G$63</f>
        <v>0</v>
      </c>
    </row>
    <row r="67" spans="2:132" x14ac:dyDescent="0.25">
      <c r="B67" s="14" t="s">
        <v>1134</v>
      </c>
      <c r="C67" s="168">
        <f>CdTrp1!AA49</f>
        <v>44.913333333333327</v>
      </c>
      <c r="D67" s="255">
        <f>ROUND(C67*$D$82/$C$82,3)</f>
        <v>59.116999999999997</v>
      </c>
      <c r="AT67" s="182" t="str">
        <f t="shared" si="2"/>
        <v>broutards</v>
      </c>
      <c r="AU67" s="269"/>
      <c r="AV67" s="168">
        <f>CdTrp1!B18*$G$63</f>
        <v>43.172649572649568</v>
      </c>
      <c r="AW67" s="168">
        <f>CdTrp1!C18*$G$63</f>
        <v>43.172649572649568</v>
      </c>
      <c r="AX67" s="168">
        <f>CdTrp1!D18*$G$63</f>
        <v>43.172649572649568</v>
      </c>
      <c r="AY67" s="168">
        <f>CdTrp1!E18*$G$63</f>
        <v>43.172649572649568</v>
      </c>
      <c r="AZ67" s="168">
        <f>CdTrp1!F18*$G$63</f>
        <v>43.172649572649568</v>
      </c>
      <c r="BA67" s="168">
        <f>CdTrp1!G18*$G$63</f>
        <v>43.172649572649568</v>
      </c>
      <c r="BB67" s="168">
        <f>CdTrp1!H18*$G$63</f>
        <v>0</v>
      </c>
      <c r="BC67" s="168">
        <f>CdTrp1!I18*$G$63</f>
        <v>0</v>
      </c>
      <c r="BD67" s="168">
        <f>CdTrp1!J18*$G$63</f>
        <v>0</v>
      </c>
      <c r="BE67" s="168">
        <f>CdTrp1!K18*$G$63</f>
        <v>0</v>
      </c>
      <c r="BF67" s="168">
        <f>CdTrp1!L18*$G$63</f>
        <v>0</v>
      </c>
      <c r="BG67" s="168">
        <f>CdTrp1!M18*$G$63</f>
        <v>0</v>
      </c>
      <c r="BH67" s="168">
        <f>CdTrp1!N18*$G$63</f>
        <v>0</v>
      </c>
      <c r="BI67" s="168">
        <f>CdTrp1!O18*$G$63</f>
        <v>0</v>
      </c>
      <c r="BJ67" s="168">
        <f>CdTrp1!P18*$G$63</f>
        <v>0</v>
      </c>
      <c r="BK67" s="168">
        <f>CdTrp1!Q18*$G$63</f>
        <v>0</v>
      </c>
      <c r="BL67" s="168">
        <f>CdTrp1!R18*$G$63</f>
        <v>0</v>
      </c>
      <c r="BM67" s="168">
        <f>CdTrp1!S18*$G$63</f>
        <v>0</v>
      </c>
      <c r="BN67" s="168">
        <f>CdTrp1!T18*$G$63</f>
        <v>0</v>
      </c>
      <c r="BO67" s="168">
        <f>CdTrp1!U18*$G$63</f>
        <v>38.960683760683764</v>
      </c>
      <c r="BP67" s="168">
        <f>CdTrp1!V18*$G$63</f>
        <v>40.013675213675214</v>
      </c>
      <c r="BQ67" s="168">
        <f>CdTrp1!W18*$G$63</f>
        <v>43.172649572649568</v>
      </c>
      <c r="BR67" s="168">
        <f>CdTrp1!X18*$G$63</f>
        <v>43.172649572649568</v>
      </c>
      <c r="BS67" s="168">
        <f>CdTrp1!Y18*$G$63</f>
        <v>43.172649572649568</v>
      </c>
      <c r="BZ67" s="182" t="str">
        <f>+CdTrp2!A18</f>
        <v>lot4</v>
      </c>
      <c r="CA67" s="269"/>
      <c r="CB67" s="168">
        <f>CdTrp2!B18*$G$63</f>
        <v>0</v>
      </c>
      <c r="CC67" s="168">
        <f>CdTrp2!C18*$G$63</f>
        <v>0</v>
      </c>
      <c r="CD67" s="168">
        <f>CdTrp2!D18*$G$63</f>
        <v>0</v>
      </c>
      <c r="CE67" s="168">
        <f>CdTrp2!E18*$G$63</f>
        <v>0</v>
      </c>
      <c r="CF67" s="168">
        <f>CdTrp2!F18*$G$63</f>
        <v>0</v>
      </c>
      <c r="CG67" s="168">
        <f>CdTrp2!G18*$G$63</f>
        <v>0</v>
      </c>
      <c r="CH67" s="168">
        <f>CdTrp2!H18*$G$63</f>
        <v>0</v>
      </c>
      <c r="CI67" s="168">
        <f>CdTrp2!I18*$G$63</f>
        <v>0</v>
      </c>
      <c r="CJ67" s="168">
        <f>CdTrp2!J18*$G$63</f>
        <v>0</v>
      </c>
      <c r="CK67" s="168">
        <f>CdTrp2!K18*$G$63</f>
        <v>0</v>
      </c>
      <c r="CL67" s="168">
        <f>CdTrp2!L18*$G$63</f>
        <v>0</v>
      </c>
      <c r="CM67" s="168">
        <f>CdTrp2!M18*$G$63</f>
        <v>0</v>
      </c>
      <c r="CN67" s="168">
        <f>CdTrp2!N18*$G$63</f>
        <v>0</v>
      </c>
      <c r="CO67" s="168">
        <f>CdTrp2!O18*$G$63</f>
        <v>0</v>
      </c>
      <c r="CP67" s="168">
        <f>CdTrp2!P18*$G$63</f>
        <v>0</v>
      </c>
      <c r="CQ67" s="168">
        <f>CdTrp2!Q18*$G$63</f>
        <v>0</v>
      </c>
      <c r="CR67" s="168">
        <f>CdTrp2!R18*$G$63</f>
        <v>0</v>
      </c>
      <c r="CS67" s="168">
        <f>CdTrp2!S18*$G$63</f>
        <v>0</v>
      </c>
      <c r="CT67" s="168">
        <f>CdTrp2!T18*$G$63</f>
        <v>0</v>
      </c>
      <c r="CU67" s="168">
        <f>CdTrp2!U18*$G$63</f>
        <v>0</v>
      </c>
      <c r="CV67" s="168">
        <f>CdTrp2!V18*$G$63</f>
        <v>0</v>
      </c>
      <c r="CW67" s="168">
        <f>CdTrp2!W18*$G$63</f>
        <v>0</v>
      </c>
      <c r="CX67" s="168">
        <f>CdTrp2!X18*$G$63</f>
        <v>0</v>
      </c>
      <c r="CY67" s="168">
        <f>CdTrp2!Y18*$G$63</f>
        <v>0</v>
      </c>
      <c r="DC67" s="182" t="str">
        <f>+CdTrp3!A18</f>
        <v>lot4</v>
      </c>
      <c r="DD67" s="269"/>
      <c r="DE67" s="168">
        <f>CdTrp3!B18*$G$63</f>
        <v>0</v>
      </c>
      <c r="DF67" s="168">
        <f>CdTrp3!C18*$G$63</f>
        <v>0</v>
      </c>
      <c r="DG67" s="168">
        <f>CdTrp3!D18*$G$63</f>
        <v>0</v>
      </c>
      <c r="DH67" s="168">
        <f>CdTrp3!E18*$G$63</f>
        <v>0</v>
      </c>
      <c r="DI67" s="168">
        <f>CdTrp3!F18*$G$63</f>
        <v>0</v>
      </c>
      <c r="DJ67" s="168">
        <f>CdTrp3!G18*$G$63</f>
        <v>0</v>
      </c>
      <c r="DK67" s="168">
        <f>CdTrp3!H18*$G$63</f>
        <v>0</v>
      </c>
      <c r="DL67" s="168">
        <f>CdTrp3!I18*$G$63</f>
        <v>0</v>
      </c>
      <c r="DM67" s="168">
        <f>CdTrp3!J18*$G$63</f>
        <v>0</v>
      </c>
      <c r="DN67" s="168">
        <f>CdTrp3!K18*$G$63</f>
        <v>0</v>
      </c>
      <c r="DO67" s="168">
        <f>CdTrp3!L18*$G$63</f>
        <v>0</v>
      </c>
      <c r="DP67" s="168">
        <f>CdTrp3!M18*$G$63</f>
        <v>0</v>
      </c>
      <c r="DQ67" s="168">
        <f>CdTrp3!N18*$G$63</f>
        <v>0</v>
      </c>
      <c r="DR67" s="168">
        <f>CdTrp3!O18*$G$63</f>
        <v>0</v>
      </c>
      <c r="DS67" s="168">
        <f>CdTrp3!P18*$G$63</f>
        <v>0</v>
      </c>
      <c r="DT67" s="168">
        <f>CdTrp3!Q18*$G$63</f>
        <v>0</v>
      </c>
      <c r="DU67" s="168">
        <f>CdTrp3!R18*$G$63</f>
        <v>0</v>
      </c>
      <c r="DV67" s="168">
        <f>CdTrp3!S18*$G$63</f>
        <v>0</v>
      </c>
      <c r="DW67" s="168">
        <f>CdTrp3!T18*$G$63</f>
        <v>0</v>
      </c>
      <c r="DX67" s="168">
        <f>CdTrp3!U18*$G$63</f>
        <v>0</v>
      </c>
      <c r="DY67" s="168">
        <f>CdTrp3!V18*$G$63</f>
        <v>0</v>
      </c>
      <c r="DZ67" s="168">
        <f>CdTrp3!W18*$G$63</f>
        <v>0</v>
      </c>
      <c r="EA67" s="168">
        <f>CdTrp3!X18*$G$63</f>
        <v>0</v>
      </c>
      <c r="EB67" s="168">
        <f>CdTrp3!Y18*$G$63</f>
        <v>0</v>
      </c>
    </row>
    <row r="68" spans="2:132" x14ac:dyDescent="0.25">
      <c r="B68" s="14" t="s">
        <v>1135</v>
      </c>
      <c r="C68" s="168">
        <f>CdTrp2!AA49</f>
        <v>0</v>
      </c>
      <c r="D68" s="255">
        <f>ROUND(C68*$D$82/$C$82,3)</f>
        <v>0</v>
      </c>
      <c r="AT68" s="182" t="str">
        <f t="shared" si="2"/>
        <v>génisses &lt; 1 an</v>
      </c>
      <c r="AU68" s="269"/>
      <c r="AV68" s="168">
        <f>CdTrp1!B19*$G$63</f>
        <v>0</v>
      </c>
      <c r="AW68" s="168">
        <f>CdTrp1!C19*$G$63</f>
        <v>0</v>
      </c>
      <c r="AX68" s="168">
        <f>CdTrp1!D19*$G$63</f>
        <v>2.1059829059829056</v>
      </c>
      <c r="AY68" s="168">
        <f>CdTrp1!E19*$G$63</f>
        <v>3.1589743589743593</v>
      </c>
      <c r="AZ68" s="168">
        <f>CdTrp1!F19*$G$63</f>
        <v>5.2649572649572649</v>
      </c>
      <c r="BA68" s="168">
        <f>CdTrp1!G19*$G$63</f>
        <v>8.4239316239316242</v>
      </c>
      <c r="BB68" s="168">
        <f>CdTrp1!H19*$G$63</f>
        <v>9.4769230769230788</v>
      </c>
      <c r="BC68" s="168">
        <f>CdTrp1!I19*$G$63</f>
        <v>11.582905982905981</v>
      </c>
      <c r="BD68" s="168">
        <f>CdTrp1!J19*$G$63</f>
        <v>12.635897435897435</v>
      </c>
      <c r="BE68" s="168">
        <f>CdTrp1!K19*$G$63</f>
        <v>12.635897435897435</v>
      </c>
      <c r="BF68" s="168">
        <f>CdTrp1!L19*$G$63</f>
        <v>12.635897435897435</v>
      </c>
      <c r="BG68" s="168">
        <f>CdTrp1!M19*$G$63</f>
        <v>12.635897435897435</v>
      </c>
      <c r="BH68" s="168">
        <f>CdTrp1!N19*$G$63</f>
        <v>12.635897435897435</v>
      </c>
      <c r="BI68" s="168">
        <f>CdTrp1!O19*$G$63</f>
        <v>12.635897435897435</v>
      </c>
      <c r="BJ68" s="168">
        <f>CdTrp1!P19*$G$63</f>
        <v>12.635897435897435</v>
      </c>
      <c r="BK68" s="168">
        <f>CdTrp1!Q19*$G$63</f>
        <v>12.635897435897435</v>
      </c>
      <c r="BL68" s="168">
        <f>CdTrp1!R19*$G$63</f>
        <v>12.635897435897435</v>
      </c>
      <c r="BM68" s="168">
        <f>CdTrp1!S19*$G$63</f>
        <v>12.635897435897435</v>
      </c>
      <c r="BN68" s="168">
        <f>CdTrp1!T19*$G$63</f>
        <v>9.4769230769230788</v>
      </c>
      <c r="BO68" s="168">
        <f>CdTrp1!U19*$G$63</f>
        <v>6.3179487179487186</v>
      </c>
      <c r="BP68" s="168">
        <f>CdTrp1!V19*$G$63</f>
        <v>3.1589743589743593</v>
      </c>
      <c r="BQ68" s="168">
        <f>CdTrp1!W19*$G$63</f>
        <v>0</v>
      </c>
      <c r="BR68" s="168">
        <f>CdTrp1!X19*$G$63</f>
        <v>0</v>
      </c>
      <c r="BS68" s="168">
        <f>CdTrp1!Y19*$G$63</f>
        <v>0</v>
      </c>
      <c r="BZ68" s="182" t="str">
        <f>+CdTrp2!A19</f>
        <v>lot5</v>
      </c>
      <c r="CA68" s="269"/>
      <c r="CB68" s="168">
        <f>CdTrp2!B19*$G$63</f>
        <v>0</v>
      </c>
      <c r="CC68" s="168">
        <f>CdTrp2!C19*$G$63</f>
        <v>0</v>
      </c>
      <c r="CD68" s="168">
        <f>CdTrp2!D19*$G$63</f>
        <v>0</v>
      </c>
      <c r="CE68" s="168">
        <f>CdTrp2!E19*$G$63</f>
        <v>0</v>
      </c>
      <c r="CF68" s="168">
        <f>CdTrp2!F19*$G$63</f>
        <v>0</v>
      </c>
      <c r="CG68" s="168">
        <f>CdTrp2!G19*$G$63</f>
        <v>0</v>
      </c>
      <c r="CH68" s="168">
        <f>CdTrp2!H19*$G$63</f>
        <v>0</v>
      </c>
      <c r="CI68" s="168">
        <f>CdTrp2!I19*$G$63</f>
        <v>0</v>
      </c>
      <c r="CJ68" s="168">
        <f>CdTrp2!J19*$G$63</f>
        <v>0</v>
      </c>
      <c r="CK68" s="168">
        <f>CdTrp2!K19*$G$63</f>
        <v>0</v>
      </c>
      <c r="CL68" s="168">
        <f>CdTrp2!L19*$G$63</f>
        <v>0</v>
      </c>
      <c r="CM68" s="168">
        <f>CdTrp2!M19*$G$63</f>
        <v>0</v>
      </c>
      <c r="CN68" s="168">
        <f>CdTrp2!N19*$G$63</f>
        <v>0</v>
      </c>
      <c r="CO68" s="168">
        <f>CdTrp2!O19*$G$63</f>
        <v>0</v>
      </c>
      <c r="CP68" s="168">
        <f>CdTrp2!P19*$G$63</f>
        <v>0</v>
      </c>
      <c r="CQ68" s="168">
        <f>CdTrp2!Q19*$G$63</f>
        <v>0</v>
      </c>
      <c r="CR68" s="168">
        <f>CdTrp2!R19*$G$63</f>
        <v>0</v>
      </c>
      <c r="CS68" s="168">
        <f>CdTrp2!S19*$G$63</f>
        <v>0</v>
      </c>
      <c r="CT68" s="168">
        <f>CdTrp2!T19*$G$63</f>
        <v>0</v>
      </c>
      <c r="CU68" s="168">
        <f>CdTrp2!U19*$G$63</f>
        <v>0</v>
      </c>
      <c r="CV68" s="168">
        <f>CdTrp2!V19*$G$63</f>
        <v>0</v>
      </c>
      <c r="CW68" s="168">
        <f>CdTrp2!W19*$G$63</f>
        <v>0</v>
      </c>
      <c r="CX68" s="168">
        <f>CdTrp2!X19*$G$63</f>
        <v>0</v>
      </c>
      <c r="CY68" s="168">
        <f>CdTrp2!Y19*$G$63</f>
        <v>0</v>
      </c>
      <c r="DC68" s="182" t="str">
        <f>+CdTrp3!A19</f>
        <v>lot5</v>
      </c>
      <c r="DD68" s="269"/>
      <c r="DE68" s="168">
        <f>CdTrp3!B19*$G$63</f>
        <v>0</v>
      </c>
      <c r="DF68" s="168">
        <f>CdTrp3!C19*$G$63</f>
        <v>0</v>
      </c>
      <c r="DG68" s="168">
        <f>CdTrp3!D19*$G$63</f>
        <v>0</v>
      </c>
      <c r="DH68" s="168">
        <f>CdTrp3!E19*$G$63</f>
        <v>0</v>
      </c>
      <c r="DI68" s="168">
        <f>CdTrp3!F19*$G$63</f>
        <v>0</v>
      </c>
      <c r="DJ68" s="168">
        <f>CdTrp3!G19*$G$63</f>
        <v>0</v>
      </c>
      <c r="DK68" s="168">
        <f>CdTrp3!H19*$G$63</f>
        <v>0</v>
      </c>
      <c r="DL68" s="168">
        <f>CdTrp3!I19*$G$63</f>
        <v>0</v>
      </c>
      <c r="DM68" s="168">
        <f>CdTrp3!J19*$G$63</f>
        <v>0</v>
      </c>
      <c r="DN68" s="168">
        <f>CdTrp3!K19*$G$63</f>
        <v>0</v>
      </c>
      <c r="DO68" s="168">
        <f>CdTrp3!L19*$G$63</f>
        <v>0</v>
      </c>
      <c r="DP68" s="168">
        <f>CdTrp3!M19*$G$63</f>
        <v>0</v>
      </c>
      <c r="DQ68" s="168">
        <f>CdTrp3!N19*$G$63</f>
        <v>0</v>
      </c>
      <c r="DR68" s="168">
        <f>CdTrp3!O19*$G$63</f>
        <v>0</v>
      </c>
      <c r="DS68" s="168">
        <f>CdTrp3!P19*$G$63</f>
        <v>0</v>
      </c>
      <c r="DT68" s="168">
        <f>CdTrp3!Q19*$G$63</f>
        <v>0</v>
      </c>
      <c r="DU68" s="168">
        <f>CdTrp3!R19*$G$63</f>
        <v>0</v>
      </c>
      <c r="DV68" s="168">
        <f>CdTrp3!S19*$G$63</f>
        <v>0</v>
      </c>
      <c r="DW68" s="168">
        <f>CdTrp3!T19*$G$63</f>
        <v>0</v>
      </c>
      <c r="DX68" s="168">
        <f>CdTrp3!U19*$G$63</f>
        <v>0</v>
      </c>
      <c r="DY68" s="168">
        <f>CdTrp3!V19*$G$63</f>
        <v>0</v>
      </c>
      <c r="DZ68" s="168">
        <f>CdTrp3!W19*$G$63</f>
        <v>0</v>
      </c>
      <c r="EA68" s="168">
        <f>CdTrp3!X19*$G$63</f>
        <v>0</v>
      </c>
      <c r="EB68" s="168">
        <f>CdTrp3!Y19*$G$63</f>
        <v>0</v>
      </c>
    </row>
    <row r="69" spans="2:132" x14ac:dyDescent="0.25">
      <c r="B69" s="14" t="s">
        <v>1136</v>
      </c>
      <c r="C69" s="168">
        <f>CdTrp3!AA49</f>
        <v>0</v>
      </c>
      <c r="D69" s="255">
        <f>ROUND(C69*$D$82/$C$82,3)</f>
        <v>0</v>
      </c>
      <c r="AT69" s="182" t="str">
        <f t="shared" si="2"/>
        <v>lot6</v>
      </c>
      <c r="AU69" s="269"/>
      <c r="AV69" s="168">
        <f>CdTrp1!B20*$G$63</f>
        <v>0</v>
      </c>
      <c r="AW69" s="168">
        <f>CdTrp1!C20*$G$63</f>
        <v>0</v>
      </c>
      <c r="AX69" s="168">
        <f>CdTrp1!D20*$G$63</f>
        <v>0</v>
      </c>
      <c r="AY69" s="168">
        <f>CdTrp1!E20*$G$63</f>
        <v>0</v>
      </c>
      <c r="AZ69" s="168">
        <f>CdTrp1!F20*$G$63</f>
        <v>0</v>
      </c>
      <c r="BA69" s="168">
        <f>CdTrp1!G20*$G$63</f>
        <v>0</v>
      </c>
      <c r="BB69" s="168">
        <f>CdTrp1!H20*$G$63</f>
        <v>0</v>
      </c>
      <c r="BC69" s="168">
        <f>CdTrp1!I20*$G$63</f>
        <v>0</v>
      </c>
      <c r="BD69" s="168">
        <f>CdTrp1!J20*$G$63</f>
        <v>0</v>
      </c>
      <c r="BE69" s="168">
        <f>CdTrp1!K20*$G$63</f>
        <v>0</v>
      </c>
      <c r="BF69" s="168">
        <f>CdTrp1!L20*$G$63</f>
        <v>0</v>
      </c>
      <c r="BG69" s="168">
        <f>CdTrp1!M20*$G$63</f>
        <v>0</v>
      </c>
      <c r="BH69" s="168">
        <f>CdTrp1!N20*$G$63</f>
        <v>0</v>
      </c>
      <c r="BI69" s="168">
        <f>CdTrp1!O20*$G$63</f>
        <v>0</v>
      </c>
      <c r="BJ69" s="168">
        <f>CdTrp1!P20*$G$63</f>
        <v>0</v>
      </c>
      <c r="BK69" s="168">
        <f>CdTrp1!Q20*$G$63</f>
        <v>0</v>
      </c>
      <c r="BL69" s="168">
        <f>CdTrp1!R20*$G$63</f>
        <v>0</v>
      </c>
      <c r="BM69" s="168">
        <f>CdTrp1!S20*$G$63</f>
        <v>0</v>
      </c>
      <c r="BN69" s="168">
        <f>CdTrp1!T20*$G$63</f>
        <v>0</v>
      </c>
      <c r="BO69" s="168">
        <f>CdTrp1!U20*$G$63</f>
        <v>0</v>
      </c>
      <c r="BP69" s="168">
        <f>CdTrp1!V20*$G$63</f>
        <v>0</v>
      </c>
      <c r="BQ69" s="168">
        <f>CdTrp1!W20*$G$63</f>
        <v>0</v>
      </c>
      <c r="BR69" s="168">
        <f>CdTrp1!X20*$G$63</f>
        <v>0</v>
      </c>
      <c r="BS69" s="168">
        <f>CdTrp1!Y20*$G$63</f>
        <v>0</v>
      </c>
      <c r="BZ69" s="182" t="str">
        <f>+CdTrp2!A20</f>
        <v>lot6</v>
      </c>
      <c r="CA69" s="269"/>
      <c r="CB69" s="168">
        <f>CdTrp2!B20*$G$63</f>
        <v>0</v>
      </c>
      <c r="CC69" s="168">
        <f>CdTrp2!C20*$G$63</f>
        <v>0</v>
      </c>
      <c r="CD69" s="168">
        <f>CdTrp2!D20*$G$63</f>
        <v>0</v>
      </c>
      <c r="CE69" s="168">
        <f>CdTrp2!E20*$G$63</f>
        <v>0</v>
      </c>
      <c r="CF69" s="168">
        <f>CdTrp2!F20*$G$63</f>
        <v>0</v>
      </c>
      <c r="CG69" s="168">
        <f>CdTrp2!G20*$G$63</f>
        <v>0</v>
      </c>
      <c r="CH69" s="168">
        <f>CdTrp2!H20*$G$63</f>
        <v>0</v>
      </c>
      <c r="CI69" s="168">
        <f>CdTrp2!I20*$G$63</f>
        <v>0</v>
      </c>
      <c r="CJ69" s="168">
        <f>CdTrp2!J20*$G$63</f>
        <v>0</v>
      </c>
      <c r="CK69" s="168">
        <f>CdTrp2!K20*$G$63</f>
        <v>0</v>
      </c>
      <c r="CL69" s="168">
        <f>CdTrp2!L20*$G$63</f>
        <v>0</v>
      </c>
      <c r="CM69" s="168">
        <f>CdTrp2!M20*$G$63</f>
        <v>0</v>
      </c>
      <c r="CN69" s="168">
        <f>CdTrp2!N20*$G$63</f>
        <v>0</v>
      </c>
      <c r="CO69" s="168">
        <f>CdTrp2!O20*$G$63</f>
        <v>0</v>
      </c>
      <c r="CP69" s="168">
        <f>CdTrp2!P20*$G$63</f>
        <v>0</v>
      </c>
      <c r="CQ69" s="168">
        <f>CdTrp2!Q20*$G$63</f>
        <v>0</v>
      </c>
      <c r="CR69" s="168">
        <f>CdTrp2!R20*$G$63</f>
        <v>0</v>
      </c>
      <c r="CS69" s="168">
        <f>CdTrp2!S20*$G$63</f>
        <v>0</v>
      </c>
      <c r="CT69" s="168">
        <f>CdTrp2!T20*$G$63</f>
        <v>0</v>
      </c>
      <c r="CU69" s="168">
        <f>CdTrp2!U20*$G$63</f>
        <v>0</v>
      </c>
      <c r="CV69" s="168">
        <f>CdTrp2!V20*$G$63</f>
        <v>0</v>
      </c>
      <c r="CW69" s="168">
        <f>CdTrp2!W20*$G$63</f>
        <v>0</v>
      </c>
      <c r="CX69" s="168">
        <f>CdTrp2!X20*$G$63</f>
        <v>0</v>
      </c>
      <c r="CY69" s="168">
        <f>CdTrp2!Y20*$G$63</f>
        <v>0</v>
      </c>
      <c r="DC69" s="182" t="str">
        <f>+CdTrp3!A20</f>
        <v>lot6</v>
      </c>
      <c r="DD69" s="269"/>
      <c r="DE69" s="168">
        <f>CdTrp3!B20*$G$63</f>
        <v>0</v>
      </c>
      <c r="DF69" s="168">
        <f>CdTrp3!C20*$G$63</f>
        <v>0</v>
      </c>
      <c r="DG69" s="168">
        <f>CdTrp3!D20*$G$63</f>
        <v>0</v>
      </c>
      <c r="DH69" s="168">
        <f>CdTrp3!E20*$G$63</f>
        <v>0</v>
      </c>
      <c r="DI69" s="168">
        <f>CdTrp3!F20*$G$63</f>
        <v>0</v>
      </c>
      <c r="DJ69" s="168">
        <f>CdTrp3!G20*$G$63</f>
        <v>0</v>
      </c>
      <c r="DK69" s="168">
        <f>CdTrp3!H20*$G$63</f>
        <v>0</v>
      </c>
      <c r="DL69" s="168">
        <f>CdTrp3!I20*$G$63</f>
        <v>0</v>
      </c>
      <c r="DM69" s="168">
        <f>CdTrp3!J20*$G$63</f>
        <v>0</v>
      </c>
      <c r="DN69" s="168">
        <f>CdTrp3!K20*$G$63</f>
        <v>0</v>
      </c>
      <c r="DO69" s="168">
        <f>CdTrp3!L20*$G$63</f>
        <v>0</v>
      </c>
      <c r="DP69" s="168">
        <f>CdTrp3!M20*$G$63</f>
        <v>0</v>
      </c>
      <c r="DQ69" s="168">
        <f>CdTrp3!N20*$G$63</f>
        <v>0</v>
      </c>
      <c r="DR69" s="168">
        <f>CdTrp3!O20*$G$63</f>
        <v>0</v>
      </c>
      <c r="DS69" s="168">
        <f>CdTrp3!P20*$G$63</f>
        <v>0</v>
      </c>
      <c r="DT69" s="168">
        <f>CdTrp3!Q20*$G$63</f>
        <v>0</v>
      </c>
      <c r="DU69" s="168">
        <f>CdTrp3!R20*$G$63</f>
        <v>0</v>
      </c>
      <c r="DV69" s="168">
        <f>CdTrp3!S20*$G$63</f>
        <v>0</v>
      </c>
      <c r="DW69" s="168">
        <f>CdTrp3!T20*$G$63</f>
        <v>0</v>
      </c>
      <c r="DX69" s="168">
        <f>CdTrp3!U20*$G$63</f>
        <v>0</v>
      </c>
      <c r="DY69" s="168">
        <f>CdTrp3!V20*$G$63</f>
        <v>0</v>
      </c>
      <c r="DZ69" s="168">
        <f>CdTrp3!W20*$G$63</f>
        <v>0</v>
      </c>
      <c r="EA69" s="168">
        <f>CdTrp3!X20*$G$63</f>
        <v>0</v>
      </c>
      <c r="EB69" s="168">
        <f>CdTrp3!Y20*$G$63</f>
        <v>0</v>
      </c>
    </row>
    <row r="70" spans="2:132" x14ac:dyDescent="0.25">
      <c r="B70" s="14" t="s">
        <v>1137</v>
      </c>
      <c r="C70" s="168">
        <f>SUM(C67:C69)</f>
        <v>44.913333333333327</v>
      </c>
      <c r="D70" s="255">
        <f>ROUND(C70*$D$82/$C$82,3)</f>
        <v>59.116999999999997</v>
      </c>
      <c r="AT70" s="182" t="str">
        <f t="shared" si="2"/>
        <v>lot7</v>
      </c>
      <c r="AU70" s="269"/>
      <c r="AV70" s="168">
        <f>CdTrp1!B21*$G$63</f>
        <v>0</v>
      </c>
      <c r="AW70" s="168">
        <f>CdTrp1!C21*$G$63</f>
        <v>0</v>
      </c>
      <c r="AX70" s="168">
        <f>CdTrp1!D21*$G$63</f>
        <v>0</v>
      </c>
      <c r="AY70" s="168">
        <f>CdTrp1!E21*$G$63</f>
        <v>0</v>
      </c>
      <c r="AZ70" s="168">
        <f>CdTrp1!F21*$G$63</f>
        <v>0</v>
      </c>
      <c r="BA70" s="168">
        <f>CdTrp1!G21*$G$63</f>
        <v>0</v>
      </c>
      <c r="BB70" s="168">
        <f>CdTrp1!H21*$G$63</f>
        <v>0</v>
      </c>
      <c r="BC70" s="168">
        <f>CdTrp1!I21*$G$63</f>
        <v>0</v>
      </c>
      <c r="BD70" s="168">
        <f>CdTrp1!J21*$G$63</f>
        <v>0</v>
      </c>
      <c r="BE70" s="168">
        <f>CdTrp1!K21*$G$63</f>
        <v>0</v>
      </c>
      <c r="BF70" s="168">
        <f>CdTrp1!L21*$G$63</f>
        <v>0</v>
      </c>
      <c r="BG70" s="168">
        <f>CdTrp1!M21*$G$63</f>
        <v>0</v>
      </c>
      <c r="BH70" s="168">
        <f>CdTrp1!N21*$G$63</f>
        <v>0</v>
      </c>
      <c r="BI70" s="168">
        <f>CdTrp1!O21*$G$63</f>
        <v>0</v>
      </c>
      <c r="BJ70" s="168">
        <f>CdTrp1!P21*$G$63</f>
        <v>0</v>
      </c>
      <c r="BK70" s="168">
        <f>CdTrp1!Q21*$G$63</f>
        <v>0</v>
      </c>
      <c r="BL70" s="168">
        <f>CdTrp1!R21*$G$63</f>
        <v>0</v>
      </c>
      <c r="BM70" s="168">
        <f>CdTrp1!S21*$G$63</f>
        <v>0</v>
      </c>
      <c r="BN70" s="168">
        <f>CdTrp1!T21*$G$63</f>
        <v>0</v>
      </c>
      <c r="BO70" s="168">
        <f>CdTrp1!U21*$G$63</f>
        <v>0</v>
      </c>
      <c r="BP70" s="168">
        <f>CdTrp1!V21*$G$63</f>
        <v>0</v>
      </c>
      <c r="BQ70" s="168">
        <f>CdTrp1!W21*$G$63</f>
        <v>0</v>
      </c>
      <c r="BR70" s="168">
        <f>CdTrp1!X21*$G$63</f>
        <v>0</v>
      </c>
      <c r="BS70" s="168">
        <f>CdTrp1!Y21*$G$63</f>
        <v>0</v>
      </c>
      <c r="BZ70" s="182" t="str">
        <f>+CdTrp2!A21</f>
        <v>lot7</v>
      </c>
      <c r="CA70" s="269"/>
      <c r="CB70" s="168">
        <f>CdTrp2!B21*$G$63</f>
        <v>0</v>
      </c>
      <c r="CC70" s="168">
        <f>CdTrp2!C21*$G$63</f>
        <v>0</v>
      </c>
      <c r="CD70" s="168">
        <f>CdTrp2!D21*$G$63</f>
        <v>0</v>
      </c>
      <c r="CE70" s="168">
        <f>CdTrp2!E21*$G$63</f>
        <v>0</v>
      </c>
      <c r="CF70" s="168">
        <f>CdTrp2!F21*$G$63</f>
        <v>0</v>
      </c>
      <c r="CG70" s="168">
        <f>CdTrp2!G21*$G$63</f>
        <v>0</v>
      </c>
      <c r="CH70" s="168">
        <f>CdTrp2!H21*$G$63</f>
        <v>0</v>
      </c>
      <c r="CI70" s="168">
        <f>CdTrp2!I21*$G$63</f>
        <v>0</v>
      </c>
      <c r="CJ70" s="168">
        <f>CdTrp2!J21*$G$63</f>
        <v>0</v>
      </c>
      <c r="CK70" s="168">
        <f>CdTrp2!K21*$G$63</f>
        <v>0</v>
      </c>
      <c r="CL70" s="168">
        <f>CdTrp2!L21*$G$63</f>
        <v>0</v>
      </c>
      <c r="CM70" s="168">
        <f>CdTrp2!M21*$G$63</f>
        <v>0</v>
      </c>
      <c r="CN70" s="168">
        <f>CdTrp2!N21*$G$63</f>
        <v>0</v>
      </c>
      <c r="CO70" s="168">
        <f>CdTrp2!O21*$G$63</f>
        <v>0</v>
      </c>
      <c r="CP70" s="168">
        <f>CdTrp2!P21*$G$63</f>
        <v>0</v>
      </c>
      <c r="CQ70" s="168">
        <f>CdTrp2!Q21*$G$63</f>
        <v>0</v>
      </c>
      <c r="CR70" s="168">
        <f>CdTrp2!R21*$G$63</f>
        <v>0</v>
      </c>
      <c r="CS70" s="168">
        <f>CdTrp2!S21*$G$63</f>
        <v>0</v>
      </c>
      <c r="CT70" s="168">
        <f>CdTrp2!T21*$G$63</f>
        <v>0</v>
      </c>
      <c r="CU70" s="168">
        <f>CdTrp2!U21*$G$63</f>
        <v>0</v>
      </c>
      <c r="CV70" s="168">
        <f>CdTrp2!V21*$G$63</f>
        <v>0</v>
      </c>
      <c r="CW70" s="168">
        <f>CdTrp2!W21*$G$63</f>
        <v>0</v>
      </c>
      <c r="CX70" s="168">
        <f>CdTrp2!X21*$G$63</f>
        <v>0</v>
      </c>
      <c r="CY70" s="168">
        <f>CdTrp2!Y21*$G$63</f>
        <v>0</v>
      </c>
      <c r="DC70" s="182" t="str">
        <f>+CdTrp3!A21</f>
        <v>lot7</v>
      </c>
      <c r="DD70" s="269"/>
      <c r="DE70" s="168">
        <f>CdTrp3!B21*$G$63</f>
        <v>0</v>
      </c>
      <c r="DF70" s="168">
        <f>CdTrp3!C21*$G$63</f>
        <v>0</v>
      </c>
      <c r="DG70" s="168">
        <f>CdTrp3!D21*$G$63</f>
        <v>0</v>
      </c>
      <c r="DH70" s="168">
        <f>CdTrp3!E21*$G$63</f>
        <v>0</v>
      </c>
      <c r="DI70" s="168">
        <f>CdTrp3!F21*$G$63</f>
        <v>0</v>
      </c>
      <c r="DJ70" s="168">
        <f>CdTrp3!G21*$G$63</f>
        <v>0</v>
      </c>
      <c r="DK70" s="168">
        <f>CdTrp3!H21*$G$63</f>
        <v>0</v>
      </c>
      <c r="DL70" s="168">
        <f>CdTrp3!I21*$G$63</f>
        <v>0</v>
      </c>
      <c r="DM70" s="168">
        <f>CdTrp3!J21*$G$63</f>
        <v>0</v>
      </c>
      <c r="DN70" s="168">
        <f>CdTrp3!K21*$G$63</f>
        <v>0</v>
      </c>
      <c r="DO70" s="168">
        <f>CdTrp3!L21*$G$63</f>
        <v>0</v>
      </c>
      <c r="DP70" s="168">
        <f>CdTrp3!M21*$G$63</f>
        <v>0</v>
      </c>
      <c r="DQ70" s="168">
        <f>CdTrp3!N21*$G$63</f>
        <v>0</v>
      </c>
      <c r="DR70" s="168">
        <f>CdTrp3!O21*$G$63</f>
        <v>0</v>
      </c>
      <c r="DS70" s="168">
        <f>CdTrp3!P21*$G$63</f>
        <v>0</v>
      </c>
      <c r="DT70" s="168">
        <f>CdTrp3!Q21*$G$63</f>
        <v>0</v>
      </c>
      <c r="DU70" s="168">
        <f>CdTrp3!R21*$G$63</f>
        <v>0</v>
      </c>
      <c r="DV70" s="168">
        <f>CdTrp3!S21*$G$63</f>
        <v>0</v>
      </c>
      <c r="DW70" s="168">
        <f>CdTrp3!T21*$G$63</f>
        <v>0</v>
      </c>
      <c r="DX70" s="168">
        <f>CdTrp3!U21*$G$63</f>
        <v>0</v>
      </c>
      <c r="DY70" s="168">
        <f>CdTrp3!V21*$G$63</f>
        <v>0</v>
      </c>
      <c r="DZ70" s="168">
        <f>CdTrp3!W21*$G$63</f>
        <v>0</v>
      </c>
      <c r="EA70" s="168">
        <f>CdTrp3!X21*$G$63</f>
        <v>0</v>
      </c>
      <c r="EB70" s="168">
        <f>CdTrp3!Y21*$G$63</f>
        <v>0</v>
      </c>
    </row>
    <row r="71" spans="2:132" x14ac:dyDescent="0.25">
      <c r="B71" s="14" t="s">
        <v>1138</v>
      </c>
      <c r="C71" s="168">
        <f>Scénario!K33</f>
        <v>2.7</v>
      </c>
      <c r="D71" s="255">
        <f t="shared" ref="D71:D80" si="3">ROUND(C71*$D$82/$C$82,3)</f>
        <v>3.5539999999999998</v>
      </c>
      <c r="AT71" s="182" t="str">
        <f t="shared" si="2"/>
        <v>lot8</v>
      </c>
      <c r="AU71" s="269"/>
      <c r="AV71" s="168">
        <f>CdTrp1!B22*$G$63</f>
        <v>0</v>
      </c>
      <c r="AW71" s="168">
        <f>CdTrp1!C22*$G$63</f>
        <v>0</v>
      </c>
      <c r="AX71" s="168">
        <f>CdTrp1!D22*$G$63</f>
        <v>0</v>
      </c>
      <c r="AY71" s="168">
        <f>CdTrp1!E22*$G$63</f>
        <v>0</v>
      </c>
      <c r="AZ71" s="168">
        <f>CdTrp1!F22*$G$63</f>
        <v>0</v>
      </c>
      <c r="BA71" s="168">
        <f>CdTrp1!G22*$G$63</f>
        <v>0</v>
      </c>
      <c r="BB71" s="168">
        <f>CdTrp1!H22*$G$63</f>
        <v>0</v>
      </c>
      <c r="BC71" s="168">
        <f>CdTrp1!I22*$G$63</f>
        <v>0</v>
      </c>
      <c r="BD71" s="168">
        <f>CdTrp1!J22*$G$63</f>
        <v>0</v>
      </c>
      <c r="BE71" s="168">
        <f>CdTrp1!K22*$G$63</f>
        <v>0</v>
      </c>
      <c r="BF71" s="168">
        <f>CdTrp1!L22*$G$63</f>
        <v>0</v>
      </c>
      <c r="BG71" s="168">
        <f>CdTrp1!M22*$G$63</f>
        <v>0</v>
      </c>
      <c r="BH71" s="168">
        <f>CdTrp1!N22*$G$63</f>
        <v>0</v>
      </c>
      <c r="BI71" s="168">
        <f>CdTrp1!O22*$G$63</f>
        <v>0</v>
      </c>
      <c r="BJ71" s="168">
        <f>CdTrp1!P22*$G$63</f>
        <v>0</v>
      </c>
      <c r="BK71" s="168">
        <f>CdTrp1!Q22*$G$63</f>
        <v>0</v>
      </c>
      <c r="BL71" s="168">
        <f>CdTrp1!R22*$G$63</f>
        <v>0</v>
      </c>
      <c r="BM71" s="168">
        <f>CdTrp1!S22*$G$63</f>
        <v>0</v>
      </c>
      <c r="BN71" s="168">
        <f>CdTrp1!T22*$G$63</f>
        <v>0</v>
      </c>
      <c r="BO71" s="168">
        <f>CdTrp1!U22*$G$63</f>
        <v>0</v>
      </c>
      <c r="BP71" s="168">
        <f>CdTrp1!V22*$G$63</f>
        <v>0</v>
      </c>
      <c r="BQ71" s="168">
        <f>CdTrp1!W22*$G$63</f>
        <v>0</v>
      </c>
      <c r="BR71" s="168">
        <f>CdTrp1!X22*$G$63</f>
        <v>0</v>
      </c>
      <c r="BS71" s="168">
        <f>CdTrp1!Y22*$G$63</f>
        <v>0</v>
      </c>
      <c r="BZ71" s="182" t="str">
        <f>+CdTrp2!A22</f>
        <v>lot8</v>
      </c>
      <c r="CA71" s="269"/>
      <c r="CB71" s="168">
        <f>CdTrp2!B22*$G$63</f>
        <v>0</v>
      </c>
      <c r="CC71" s="168">
        <f>CdTrp2!C22*$G$63</f>
        <v>0</v>
      </c>
      <c r="CD71" s="168">
        <f>CdTrp2!D22*$G$63</f>
        <v>0</v>
      </c>
      <c r="CE71" s="168">
        <f>CdTrp2!E22*$G$63</f>
        <v>0</v>
      </c>
      <c r="CF71" s="168">
        <f>CdTrp2!F22*$G$63</f>
        <v>0</v>
      </c>
      <c r="CG71" s="168">
        <f>CdTrp2!G22*$G$63</f>
        <v>0</v>
      </c>
      <c r="CH71" s="168">
        <f>CdTrp2!H22*$G$63</f>
        <v>0</v>
      </c>
      <c r="CI71" s="168">
        <f>CdTrp2!I22*$G$63</f>
        <v>0</v>
      </c>
      <c r="CJ71" s="168">
        <f>CdTrp2!J22*$G$63</f>
        <v>0</v>
      </c>
      <c r="CK71" s="168">
        <f>CdTrp2!K22*$G$63</f>
        <v>0</v>
      </c>
      <c r="CL71" s="168">
        <f>CdTrp2!L22*$G$63</f>
        <v>0</v>
      </c>
      <c r="CM71" s="168">
        <f>CdTrp2!M22*$G$63</f>
        <v>0</v>
      </c>
      <c r="CN71" s="168">
        <f>CdTrp2!N22*$G$63</f>
        <v>0</v>
      </c>
      <c r="CO71" s="168">
        <f>CdTrp2!O22*$G$63</f>
        <v>0</v>
      </c>
      <c r="CP71" s="168">
        <f>CdTrp2!P22*$G$63</f>
        <v>0</v>
      </c>
      <c r="CQ71" s="168">
        <f>CdTrp2!Q22*$G$63</f>
        <v>0</v>
      </c>
      <c r="CR71" s="168">
        <f>CdTrp2!R22*$G$63</f>
        <v>0</v>
      </c>
      <c r="CS71" s="168">
        <f>CdTrp2!S22*$G$63</f>
        <v>0</v>
      </c>
      <c r="CT71" s="168">
        <f>CdTrp2!T22*$G$63</f>
        <v>0</v>
      </c>
      <c r="CU71" s="168">
        <f>CdTrp2!U22*$G$63</f>
        <v>0</v>
      </c>
      <c r="CV71" s="168">
        <f>CdTrp2!V22*$G$63</f>
        <v>0</v>
      </c>
      <c r="CW71" s="168">
        <f>CdTrp2!W22*$G$63</f>
        <v>0</v>
      </c>
      <c r="CX71" s="168">
        <f>CdTrp2!X22*$G$63</f>
        <v>0</v>
      </c>
      <c r="CY71" s="168">
        <f>CdTrp2!Y22*$G$63</f>
        <v>0</v>
      </c>
      <c r="DC71" s="182" t="str">
        <f>+CdTrp3!A22</f>
        <v>lot8</v>
      </c>
      <c r="DD71" s="269"/>
      <c r="DE71" s="168">
        <f>CdTrp3!B22*$G$63</f>
        <v>0</v>
      </c>
      <c r="DF71" s="168">
        <f>CdTrp3!C22*$G$63</f>
        <v>0</v>
      </c>
      <c r="DG71" s="168">
        <f>CdTrp3!D22*$G$63</f>
        <v>0</v>
      </c>
      <c r="DH71" s="168">
        <f>CdTrp3!E22*$G$63</f>
        <v>0</v>
      </c>
      <c r="DI71" s="168">
        <f>CdTrp3!F22*$G$63</f>
        <v>0</v>
      </c>
      <c r="DJ71" s="168">
        <f>CdTrp3!G22*$G$63</f>
        <v>0</v>
      </c>
      <c r="DK71" s="168">
        <f>CdTrp3!H22*$G$63</f>
        <v>0</v>
      </c>
      <c r="DL71" s="168">
        <f>CdTrp3!I22*$G$63</f>
        <v>0</v>
      </c>
      <c r="DM71" s="168">
        <f>CdTrp3!J22*$G$63</f>
        <v>0</v>
      </c>
      <c r="DN71" s="168">
        <f>CdTrp3!K22*$G$63</f>
        <v>0</v>
      </c>
      <c r="DO71" s="168">
        <f>CdTrp3!L22*$G$63</f>
        <v>0</v>
      </c>
      <c r="DP71" s="168">
        <f>CdTrp3!M22*$G$63</f>
        <v>0</v>
      </c>
      <c r="DQ71" s="168">
        <f>CdTrp3!N22*$G$63</f>
        <v>0</v>
      </c>
      <c r="DR71" s="168">
        <f>CdTrp3!O22*$G$63</f>
        <v>0</v>
      </c>
      <c r="DS71" s="168">
        <f>CdTrp3!P22*$G$63</f>
        <v>0</v>
      </c>
      <c r="DT71" s="168">
        <f>CdTrp3!Q22*$G$63</f>
        <v>0</v>
      </c>
      <c r="DU71" s="168">
        <f>CdTrp3!R22*$G$63</f>
        <v>0</v>
      </c>
      <c r="DV71" s="168">
        <f>CdTrp3!S22*$G$63</f>
        <v>0</v>
      </c>
      <c r="DW71" s="168">
        <f>CdTrp3!T22*$G$63</f>
        <v>0</v>
      </c>
      <c r="DX71" s="168">
        <f>CdTrp3!U22*$G$63</f>
        <v>0</v>
      </c>
      <c r="DY71" s="168">
        <f>CdTrp3!V22*$G$63</f>
        <v>0</v>
      </c>
      <c r="DZ71" s="168">
        <f>CdTrp3!W22*$G$63</f>
        <v>0</v>
      </c>
      <c r="EA71" s="168">
        <f>CdTrp3!X22*$G$63</f>
        <v>0</v>
      </c>
      <c r="EB71" s="168">
        <f>CdTrp3!Y22*$G$63</f>
        <v>0</v>
      </c>
    </row>
    <row r="72" spans="2:132" x14ac:dyDescent="0.25">
      <c r="B72" s="14" t="s">
        <v>1139</v>
      </c>
      <c r="C72" s="168">
        <f>'Calcul éco'!$AA$228</f>
        <v>0</v>
      </c>
      <c r="D72" s="255">
        <f t="shared" si="3"/>
        <v>0</v>
      </c>
      <c r="AT72" s="182" t="str">
        <f t="shared" si="2"/>
        <v>lot9</v>
      </c>
      <c r="AU72" s="269"/>
      <c r="AV72" s="168">
        <f>CdTrp1!B23*$G$63</f>
        <v>0</v>
      </c>
      <c r="AW72" s="168">
        <f>CdTrp1!C23*$G$63</f>
        <v>0</v>
      </c>
      <c r="AX72" s="168">
        <f>CdTrp1!D23*$G$63</f>
        <v>0</v>
      </c>
      <c r="AY72" s="168">
        <f>CdTrp1!E23*$G$63</f>
        <v>0</v>
      </c>
      <c r="AZ72" s="168">
        <f>CdTrp1!F23*$G$63</f>
        <v>0</v>
      </c>
      <c r="BA72" s="168">
        <f>CdTrp1!G23*$G$63</f>
        <v>0</v>
      </c>
      <c r="BB72" s="168">
        <f>CdTrp1!H23*$G$63</f>
        <v>0</v>
      </c>
      <c r="BC72" s="168">
        <f>CdTrp1!I23*$G$63</f>
        <v>0</v>
      </c>
      <c r="BD72" s="168">
        <f>CdTrp1!J23*$G$63</f>
        <v>0</v>
      </c>
      <c r="BE72" s="168">
        <f>CdTrp1!K23*$G$63</f>
        <v>0</v>
      </c>
      <c r="BF72" s="168">
        <f>CdTrp1!L23*$G$63</f>
        <v>0</v>
      </c>
      <c r="BG72" s="168">
        <f>CdTrp1!M23*$G$63</f>
        <v>0</v>
      </c>
      <c r="BH72" s="168">
        <f>CdTrp1!N23*$G$63</f>
        <v>0</v>
      </c>
      <c r="BI72" s="168">
        <f>CdTrp1!O23*$G$63</f>
        <v>0</v>
      </c>
      <c r="BJ72" s="168">
        <f>CdTrp1!P23*$G$63</f>
        <v>0</v>
      </c>
      <c r="BK72" s="168">
        <f>CdTrp1!Q23*$G$63</f>
        <v>0</v>
      </c>
      <c r="BL72" s="168">
        <f>CdTrp1!R23*$G$63</f>
        <v>0</v>
      </c>
      <c r="BM72" s="168">
        <f>CdTrp1!S23*$G$63</f>
        <v>0</v>
      </c>
      <c r="BN72" s="168">
        <f>CdTrp1!T23*$G$63</f>
        <v>0</v>
      </c>
      <c r="BO72" s="168">
        <f>CdTrp1!U23*$G$63</f>
        <v>0</v>
      </c>
      <c r="BP72" s="168">
        <f>CdTrp1!V23*$G$63</f>
        <v>0</v>
      </c>
      <c r="BQ72" s="168">
        <f>CdTrp1!W23*$G$63</f>
        <v>0</v>
      </c>
      <c r="BR72" s="168">
        <f>CdTrp1!X23*$G$63</f>
        <v>0</v>
      </c>
      <c r="BS72" s="168">
        <f>CdTrp1!Y23*$G$63</f>
        <v>0</v>
      </c>
      <c r="BZ72" s="182" t="str">
        <f>+CdTrp2!A23</f>
        <v>lot9</v>
      </c>
      <c r="CA72" s="269"/>
      <c r="CB72" s="168">
        <f>CdTrp2!B23*$G$63</f>
        <v>0</v>
      </c>
      <c r="CC72" s="168">
        <f>CdTrp2!C23*$G$63</f>
        <v>0</v>
      </c>
      <c r="CD72" s="168">
        <f>CdTrp2!D23*$G$63</f>
        <v>0</v>
      </c>
      <c r="CE72" s="168">
        <f>CdTrp2!E23*$G$63</f>
        <v>0</v>
      </c>
      <c r="CF72" s="168">
        <f>CdTrp2!F23*$G$63</f>
        <v>0</v>
      </c>
      <c r="CG72" s="168">
        <f>CdTrp2!G23*$G$63</f>
        <v>0</v>
      </c>
      <c r="CH72" s="168">
        <f>CdTrp2!H23*$G$63</f>
        <v>0</v>
      </c>
      <c r="CI72" s="168">
        <f>CdTrp2!I23*$G$63</f>
        <v>0</v>
      </c>
      <c r="CJ72" s="168">
        <f>CdTrp2!J23*$G$63</f>
        <v>0</v>
      </c>
      <c r="CK72" s="168">
        <f>CdTrp2!K23*$G$63</f>
        <v>0</v>
      </c>
      <c r="CL72" s="168">
        <f>CdTrp2!L23*$G$63</f>
        <v>0</v>
      </c>
      <c r="CM72" s="168">
        <f>CdTrp2!M23*$G$63</f>
        <v>0</v>
      </c>
      <c r="CN72" s="168">
        <f>CdTrp2!N23*$G$63</f>
        <v>0</v>
      </c>
      <c r="CO72" s="168">
        <f>CdTrp2!O23*$G$63</f>
        <v>0</v>
      </c>
      <c r="CP72" s="168">
        <f>CdTrp2!P23*$G$63</f>
        <v>0</v>
      </c>
      <c r="CQ72" s="168">
        <f>CdTrp2!Q23*$G$63</f>
        <v>0</v>
      </c>
      <c r="CR72" s="168">
        <f>CdTrp2!R23*$G$63</f>
        <v>0</v>
      </c>
      <c r="CS72" s="168">
        <f>CdTrp2!S23*$G$63</f>
        <v>0</v>
      </c>
      <c r="CT72" s="168">
        <f>CdTrp2!T23*$G$63</f>
        <v>0</v>
      </c>
      <c r="CU72" s="168">
        <f>CdTrp2!U23*$G$63</f>
        <v>0</v>
      </c>
      <c r="CV72" s="168">
        <f>CdTrp2!V23*$G$63</f>
        <v>0</v>
      </c>
      <c r="CW72" s="168">
        <f>CdTrp2!W23*$G$63</f>
        <v>0</v>
      </c>
      <c r="CX72" s="168">
        <f>CdTrp2!X23*$G$63</f>
        <v>0</v>
      </c>
      <c r="CY72" s="168">
        <f>CdTrp2!Y23*$G$63</f>
        <v>0</v>
      </c>
      <c r="DC72" s="182" t="str">
        <f>+CdTrp3!A23</f>
        <v>lot9</v>
      </c>
      <c r="DD72" s="269"/>
      <c r="DE72" s="168">
        <f>CdTrp3!B23*$G$63</f>
        <v>0</v>
      </c>
      <c r="DF72" s="168">
        <f>CdTrp3!C23*$G$63</f>
        <v>0</v>
      </c>
      <c r="DG72" s="168">
        <f>CdTrp3!D23*$G$63</f>
        <v>0</v>
      </c>
      <c r="DH72" s="168">
        <f>CdTrp3!E23*$G$63</f>
        <v>0</v>
      </c>
      <c r="DI72" s="168">
        <f>CdTrp3!F23*$G$63</f>
        <v>0</v>
      </c>
      <c r="DJ72" s="168">
        <f>CdTrp3!G23*$G$63</f>
        <v>0</v>
      </c>
      <c r="DK72" s="168">
        <f>CdTrp3!H23*$G$63</f>
        <v>0</v>
      </c>
      <c r="DL72" s="168">
        <f>CdTrp3!I23*$G$63</f>
        <v>0</v>
      </c>
      <c r="DM72" s="168">
        <f>CdTrp3!J23*$G$63</f>
        <v>0</v>
      </c>
      <c r="DN72" s="168">
        <f>CdTrp3!K23*$G$63</f>
        <v>0</v>
      </c>
      <c r="DO72" s="168">
        <f>CdTrp3!L23*$G$63</f>
        <v>0</v>
      </c>
      <c r="DP72" s="168">
        <f>CdTrp3!M23*$G$63</f>
        <v>0</v>
      </c>
      <c r="DQ72" s="168">
        <f>CdTrp3!N23*$G$63</f>
        <v>0</v>
      </c>
      <c r="DR72" s="168">
        <f>CdTrp3!O23*$G$63</f>
        <v>0</v>
      </c>
      <c r="DS72" s="168">
        <f>CdTrp3!P23*$G$63</f>
        <v>0</v>
      </c>
      <c r="DT72" s="168">
        <f>CdTrp3!Q23*$G$63</f>
        <v>0</v>
      </c>
      <c r="DU72" s="168">
        <f>CdTrp3!R23*$G$63</f>
        <v>0</v>
      </c>
      <c r="DV72" s="168">
        <f>CdTrp3!S23*$G$63</f>
        <v>0</v>
      </c>
      <c r="DW72" s="168">
        <f>CdTrp3!T23*$G$63</f>
        <v>0</v>
      </c>
      <c r="DX72" s="168">
        <f>CdTrp3!U23*$G$63</f>
        <v>0</v>
      </c>
      <c r="DY72" s="168">
        <f>CdTrp3!V23*$G$63</f>
        <v>0</v>
      </c>
      <c r="DZ72" s="168">
        <f>CdTrp3!W23*$G$63</f>
        <v>0</v>
      </c>
      <c r="EA72" s="168">
        <f>CdTrp3!X23*$G$63</f>
        <v>0</v>
      </c>
      <c r="EB72" s="168">
        <f>CdTrp3!Y23*$G$63</f>
        <v>0</v>
      </c>
    </row>
    <row r="73" spans="2:132" x14ac:dyDescent="0.25">
      <c r="B73" s="14" t="s">
        <v>1140</v>
      </c>
      <c r="C73" s="168">
        <f>'Calcul éco'!$AC$228</f>
        <v>5</v>
      </c>
      <c r="D73" s="255">
        <f t="shared" si="3"/>
        <v>6.5810000000000004</v>
      </c>
      <c r="AT73" s="182" t="str">
        <f t="shared" si="2"/>
        <v>lot10</v>
      </c>
      <c r="AU73" s="269"/>
      <c r="AV73" s="168">
        <f>CdTrp1!B24*$G$63</f>
        <v>0</v>
      </c>
      <c r="AW73" s="168">
        <f>CdTrp1!C24*$G$63</f>
        <v>0</v>
      </c>
      <c r="AX73" s="168">
        <f>CdTrp1!D24*$G$63</f>
        <v>0</v>
      </c>
      <c r="AY73" s="168">
        <f>CdTrp1!E24*$G$63</f>
        <v>0</v>
      </c>
      <c r="AZ73" s="168">
        <f>CdTrp1!F24*$G$63</f>
        <v>0</v>
      </c>
      <c r="BA73" s="168">
        <f>CdTrp1!G24*$G$63</f>
        <v>0</v>
      </c>
      <c r="BB73" s="168">
        <f>CdTrp1!H24*$G$63</f>
        <v>0</v>
      </c>
      <c r="BC73" s="168">
        <f>CdTrp1!I24*$G$63</f>
        <v>0</v>
      </c>
      <c r="BD73" s="168">
        <f>CdTrp1!J24*$G$63</f>
        <v>0</v>
      </c>
      <c r="BE73" s="168">
        <f>CdTrp1!K24*$G$63</f>
        <v>0</v>
      </c>
      <c r="BF73" s="168">
        <f>CdTrp1!L24*$G$63</f>
        <v>0</v>
      </c>
      <c r="BG73" s="168">
        <f>CdTrp1!M24*$G$63</f>
        <v>0</v>
      </c>
      <c r="BH73" s="168">
        <f>CdTrp1!N24*$G$63</f>
        <v>0</v>
      </c>
      <c r="BI73" s="168">
        <f>CdTrp1!O24*$G$63</f>
        <v>0</v>
      </c>
      <c r="BJ73" s="168">
        <f>CdTrp1!P24*$G$63</f>
        <v>0</v>
      </c>
      <c r="BK73" s="168">
        <f>CdTrp1!Q24*$G$63</f>
        <v>0</v>
      </c>
      <c r="BL73" s="168">
        <f>CdTrp1!R24*$G$63</f>
        <v>0</v>
      </c>
      <c r="BM73" s="168">
        <f>CdTrp1!S24*$G$63</f>
        <v>0</v>
      </c>
      <c r="BN73" s="168">
        <f>CdTrp1!T24*$G$63</f>
        <v>0</v>
      </c>
      <c r="BO73" s="168">
        <f>CdTrp1!U24*$G$63</f>
        <v>0</v>
      </c>
      <c r="BP73" s="168">
        <f>CdTrp1!V24*$G$63</f>
        <v>0</v>
      </c>
      <c r="BQ73" s="168">
        <f>CdTrp1!W24*$G$63</f>
        <v>0</v>
      </c>
      <c r="BR73" s="168">
        <f>CdTrp1!X24*$G$63</f>
        <v>0</v>
      </c>
      <c r="BS73" s="168">
        <f>CdTrp1!Y24*$G$63</f>
        <v>0</v>
      </c>
      <c r="BZ73" s="182" t="str">
        <f>+CdTrp2!A24</f>
        <v>lot10</v>
      </c>
      <c r="CA73" s="269"/>
      <c r="CB73" s="168">
        <f>CdTrp2!B24*$G$63</f>
        <v>0</v>
      </c>
      <c r="CC73" s="168">
        <f>CdTrp2!C24*$G$63</f>
        <v>0</v>
      </c>
      <c r="CD73" s="168">
        <f>CdTrp2!D24*$G$63</f>
        <v>0</v>
      </c>
      <c r="CE73" s="168">
        <f>CdTrp2!E24*$G$63</f>
        <v>0</v>
      </c>
      <c r="CF73" s="168">
        <f>CdTrp2!F24*$G$63</f>
        <v>0</v>
      </c>
      <c r="CG73" s="168">
        <f>CdTrp2!G24*$G$63</f>
        <v>0</v>
      </c>
      <c r="CH73" s="168">
        <f>CdTrp2!H24*$G$63</f>
        <v>0</v>
      </c>
      <c r="CI73" s="168">
        <f>CdTrp2!I24*$G$63</f>
        <v>0</v>
      </c>
      <c r="CJ73" s="168">
        <f>CdTrp2!J24*$G$63</f>
        <v>0</v>
      </c>
      <c r="CK73" s="168">
        <f>CdTrp2!K24*$G$63</f>
        <v>0</v>
      </c>
      <c r="CL73" s="168">
        <f>CdTrp2!L24*$G$63</f>
        <v>0</v>
      </c>
      <c r="CM73" s="168">
        <f>CdTrp2!M24*$G$63</f>
        <v>0</v>
      </c>
      <c r="CN73" s="168">
        <f>CdTrp2!N24*$G$63</f>
        <v>0</v>
      </c>
      <c r="CO73" s="168">
        <f>CdTrp2!O24*$G$63</f>
        <v>0</v>
      </c>
      <c r="CP73" s="168">
        <f>CdTrp2!P24*$G$63</f>
        <v>0</v>
      </c>
      <c r="CQ73" s="168">
        <f>CdTrp2!Q24*$G$63</f>
        <v>0</v>
      </c>
      <c r="CR73" s="168">
        <f>CdTrp2!R24*$G$63</f>
        <v>0</v>
      </c>
      <c r="CS73" s="168">
        <f>CdTrp2!S24*$G$63</f>
        <v>0</v>
      </c>
      <c r="CT73" s="168">
        <f>CdTrp2!T24*$G$63</f>
        <v>0</v>
      </c>
      <c r="CU73" s="168">
        <f>CdTrp2!U24*$G$63</f>
        <v>0</v>
      </c>
      <c r="CV73" s="168">
        <f>CdTrp2!V24*$G$63</f>
        <v>0</v>
      </c>
      <c r="CW73" s="168">
        <f>CdTrp2!W24*$G$63</f>
        <v>0</v>
      </c>
      <c r="CX73" s="168">
        <f>CdTrp2!X24*$G$63</f>
        <v>0</v>
      </c>
      <c r="CY73" s="168">
        <f>CdTrp2!Y24*$G$63</f>
        <v>0</v>
      </c>
      <c r="DC73" s="182" t="str">
        <f>+CdTrp3!A24</f>
        <v>lot10</v>
      </c>
      <c r="DD73" s="269"/>
      <c r="DE73" s="168">
        <f>CdTrp3!B24*$G$63</f>
        <v>0</v>
      </c>
      <c r="DF73" s="168">
        <f>CdTrp3!C24*$G$63</f>
        <v>0</v>
      </c>
      <c r="DG73" s="168">
        <f>CdTrp3!D24*$G$63</f>
        <v>0</v>
      </c>
      <c r="DH73" s="168">
        <f>CdTrp3!E24*$G$63</f>
        <v>0</v>
      </c>
      <c r="DI73" s="168">
        <f>CdTrp3!F24*$G$63</f>
        <v>0</v>
      </c>
      <c r="DJ73" s="168">
        <f>CdTrp3!G24*$G$63</f>
        <v>0</v>
      </c>
      <c r="DK73" s="168">
        <f>CdTrp3!H24*$G$63</f>
        <v>0</v>
      </c>
      <c r="DL73" s="168">
        <f>CdTrp3!I24*$G$63</f>
        <v>0</v>
      </c>
      <c r="DM73" s="168">
        <f>CdTrp3!J24*$G$63</f>
        <v>0</v>
      </c>
      <c r="DN73" s="168">
        <f>CdTrp3!K24*$G$63</f>
        <v>0</v>
      </c>
      <c r="DO73" s="168">
        <f>CdTrp3!L24*$G$63</f>
        <v>0</v>
      </c>
      <c r="DP73" s="168">
        <f>CdTrp3!M24*$G$63</f>
        <v>0</v>
      </c>
      <c r="DQ73" s="168">
        <f>CdTrp3!N24*$G$63</f>
        <v>0</v>
      </c>
      <c r="DR73" s="168">
        <f>CdTrp3!O24*$G$63</f>
        <v>0</v>
      </c>
      <c r="DS73" s="168">
        <f>CdTrp3!P24*$G$63</f>
        <v>0</v>
      </c>
      <c r="DT73" s="168">
        <f>CdTrp3!Q24*$G$63</f>
        <v>0</v>
      </c>
      <c r="DU73" s="168">
        <f>CdTrp3!R24*$G$63</f>
        <v>0</v>
      </c>
      <c r="DV73" s="168">
        <f>CdTrp3!S24*$G$63</f>
        <v>0</v>
      </c>
      <c r="DW73" s="168">
        <f>CdTrp3!T24*$G$63</f>
        <v>0</v>
      </c>
      <c r="DX73" s="168">
        <f>CdTrp3!U24*$G$63</f>
        <v>0</v>
      </c>
      <c r="DY73" s="168">
        <f>CdTrp3!V24*$G$63</f>
        <v>0</v>
      </c>
      <c r="DZ73" s="168">
        <f>CdTrp3!W24*$G$63</f>
        <v>0</v>
      </c>
      <c r="EA73" s="168">
        <f>CdTrp3!X24*$G$63</f>
        <v>0</v>
      </c>
      <c r="EB73" s="168">
        <f>CdTrp3!Y24*$G$63</f>
        <v>0</v>
      </c>
    </row>
    <row r="74" spans="2:132" x14ac:dyDescent="0.25">
      <c r="B74" s="14" t="s">
        <v>1141</v>
      </c>
      <c r="C74" s="168">
        <f>C71+C73</f>
        <v>7.7</v>
      </c>
      <c r="D74" s="255">
        <f t="shared" si="3"/>
        <v>10.135</v>
      </c>
      <c r="AT74" s="2" t="s">
        <v>736</v>
      </c>
      <c r="AV74" s="33">
        <v>1</v>
      </c>
      <c r="AW74" s="33">
        <v>2</v>
      </c>
      <c r="AX74" s="33">
        <v>3</v>
      </c>
      <c r="AY74" s="33">
        <v>4</v>
      </c>
      <c r="AZ74" s="33">
        <v>5</v>
      </c>
      <c r="BA74" s="33">
        <v>6</v>
      </c>
      <c r="BB74" s="33">
        <v>7</v>
      </c>
      <c r="BC74" s="33">
        <v>8</v>
      </c>
      <c r="BD74" s="33">
        <v>9</v>
      </c>
      <c r="BE74" s="33">
        <v>10</v>
      </c>
      <c r="BF74" s="33">
        <v>11</v>
      </c>
      <c r="BG74" s="33">
        <v>12</v>
      </c>
      <c r="BH74" s="33">
        <v>13</v>
      </c>
      <c r="BI74" s="33">
        <v>14</v>
      </c>
      <c r="BJ74" s="33">
        <v>15</v>
      </c>
      <c r="BK74" s="33">
        <v>16</v>
      </c>
      <c r="BL74" s="33">
        <v>17</v>
      </c>
      <c r="BM74" s="33">
        <v>18</v>
      </c>
      <c r="BN74" s="33">
        <v>19</v>
      </c>
      <c r="BO74" s="33">
        <v>20</v>
      </c>
      <c r="BP74" s="33">
        <v>21</v>
      </c>
      <c r="BQ74" s="33">
        <v>22</v>
      </c>
      <c r="BR74" s="33">
        <v>23</v>
      </c>
      <c r="BS74" s="33">
        <v>24</v>
      </c>
      <c r="BZ74" s="2" t="s">
        <v>736</v>
      </c>
      <c r="CB74" s="33">
        <v>1</v>
      </c>
      <c r="CC74" s="33">
        <v>2</v>
      </c>
      <c r="CD74" s="33">
        <v>3</v>
      </c>
      <c r="CE74" s="33">
        <v>4</v>
      </c>
      <c r="CF74" s="33">
        <v>5</v>
      </c>
      <c r="CG74" s="33">
        <v>6</v>
      </c>
      <c r="CH74" s="33">
        <v>7</v>
      </c>
      <c r="CI74" s="33">
        <v>8</v>
      </c>
      <c r="CJ74" s="33">
        <v>9</v>
      </c>
      <c r="CK74" s="33">
        <v>10</v>
      </c>
      <c r="CL74" s="33">
        <v>11</v>
      </c>
      <c r="CM74" s="33">
        <v>12</v>
      </c>
      <c r="CN74" s="33">
        <v>13</v>
      </c>
      <c r="CO74" s="33">
        <v>14</v>
      </c>
      <c r="CP74" s="33">
        <v>15</v>
      </c>
      <c r="CQ74" s="33">
        <v>16</v>
      </c>
      <c r="CR74" s="33">
        <v>17</v>
      </c>
      <c r="CS74" s="33">
        <v>18</v>
      </c>
      <c r="CT74" s="33">
        <v>19</v>
      </c>
      <c r="CU74" s="33">
        <v>20</v>
      </c>
      <c r="CV74" s="33">
        <v>21</v>
      </c>
      <c r="CW74" s="33">
        <v>22</v>
      </c>
      <c r="CX74" s="33">
        <v>23</v>
      </c>
      <c r="CY74" s="33">
        <v>24</v>
      </c>
      <c r="DC74" s="2" t="s">
        <v>736</v>
      </c>
      <c r="DE74" s="33">
        <v>1</v>
      </c>
      <c r="DF74" s="33">
        <v>2</v>
      </c>
      <c r="DG74" s="33">
        <v>3</v>
      </c>
      <c r="DH74" s="33">
        <v>4</v>
      </c>
      <c r="DI74" s="33">
        <v>5</v>
      </c>
      <c r="DJ74" s="33">
        <v>6</v>
      </c>
      <c r="DK74" s="33">
        <v>7</v>
      </c>
      <c r="DL74" s="33">
        <v>8</v>
      </c>
      <c r="DM74" s="33">
        <v>9</v>
      </c>
      <c r="DN74" s="33">
        <v>10</v>
      </c>
      <c r="DO74" s="33">
        <v>11</v>
      </c>
      <c r="DP74" s="33">
        <v>12</v>
      </c>
      <c r="DQ74" s="33">
        <v>13</v>
      </c>
      <c r="DR74" s="33">
        <v>14</v>
      </c>
      <c r="DS74" s="33">
        <v>15</v>
      </c>
      <c r="DT74" s="33">
        <v>16</v>
      </c>
      <c r="DU74" s="33">
        <v>17</v>
      </c>
      <c r="DV74" s="33">
        <v>18</v>
      </c>
      <c r="DW74" s="33">
        <v>19</v>
      </c>
      <c r="DX74" s="33">
        <v>20</v>
      </c>
      <c r="DY74" s="33">
        <v>21</v>
      </c>
      <c r="DZ74" s="33">
        <v>22</v>
      </c>
      <c r="EA74" s="33">
        <v>23</v>
      </c>
      <c r="EB74" s="33">
        <v>24</v>
      </c>
    </row>
    <row r="75" spans="2:132" x14ac:dyDescent="0.25">
      <c r="B75" s="14" t="s">
        <v>1142</v>
      </c>
      <c r="C75" s="168">
        <f>'Alim -Surf'!$O$7+'Alim -Surf'!$O$29-C72-C73</f>
        <v>27.4</v>
      </c>
      <c r="D75" s="255">
        <f t="shared" si="3"/>
        <v>36.064999999999998</v>
      </c>
      <c r="AT75" s="182" t="str">
        <f t="shared" ref="AT75:AT82" si="4">AT87</f>
        <v xml:space="preserve">Vaches </v>
      </c>
      <c r="AV75" s="168">
        <f t="shared" ref="AV75:BS82" si="5">IF(AV64&gt;0,1,0)</f>
        <v>1</v>
      </c>
      <c r="AW75" s="168">
        <f t="shared" si="5"/>
        <v>1</v>
      </c>
      <c r="AX75" s="168">
        <f t="shared" si="5"/>
        <v>1</v>
      </c>
      <c r="AY75" s="168">
        <f t="shared" si="5"/>
        <v>1</v>
      </c>
      <c r="AZ75" s="168">
        <f t="shared" si="5"/>
        <v>1</v>
      </c>
      <c r="BA75" s="168">
        <f t="shared" si="5"/>
        <v>1</v>
      </c>
      <c r="BB75" s="168">
        <f t="shared" si="5"/>
        <v>1</v>
      </c>
      <c r="BC75" s="168">
        <f t="shared" si="5"/>
        <v>1</v>
      </c>
      <c r="BD75" s="168">
        <f t="shared" si="5"/>
        <v>1</v>
      </c>
      <c r="BE75" s="168">
        <f t="shared" si="5"/>
        <v>1</v>
      </c>
      <c r="BF75" s="168">
        <f t="shared" si="5"/>
        <v>1</v>
      </c>
      <c r="BG75" s="168">
        <f t="shared" si="5"/>
        <v>1</v>
      </c>
      <c r="BH75" s="168">
        <f t="shared" si="5"/>
        <v>1</v>
      </c>
      <c r="BI75" s="168">
        <f t="shared" si="5"/>
        <v>1</v>
      </c>
      <c r="BJ75" s="168">
        <f t="shared" si="5"/>
        <v>1</v>
      </c>
      <c r="BK75" s="168">
        <f t="shared" si="5"/>
        <v>1</v>
      </c>
      <c r="BL75" s="168">
        <f t="shared" si="5"/>
        <v>1</v>
      </c>
      <c r="BM75" s="168">
        <f t="shared" si="5"/>
        <v>1</v>
      </c>
      <c r="BN75" s="168">
        <f t="shared" si="5"/>
        <v>1</v>
      </c>
      <c r="BO75" s="168">
        <f t="shared" si="5"/>
        <v>1</v>
      </c>
      <c r="BP75" s="168">
        <f t="shared" si="5"/>
        <v>1</v>
      </c>
      <c r="BQ75" s="168">
        <f t="shared" si="5"/>
        <v>1</v>
      </c>
      <c r="BR75" s="168">
        <f t="shared" si="5"/>
        <v>1</v>
      </c>
      <c r="BS75" s="168">
        <f t="shared" si="5"/>
        <v>1</v>
      </c>
      <c r="BZ75" s="182" t="str">
        <f t="shared" ref="BZ75:BZ82" si="6">+BZ64</f>
        <v>lot1</v>
      </c>
      <c r="CB75" s="168">
        <f t="shared" ref="CB75:CY82" si="7">IF(CB64&gt;0,1,0)</f>
        <v>0</v>
      </c>
      <c r="CC75" s="168">
        <f t="shared" si="7"/>
        <v>0</v>
      </c>
      <c r="CD75" s="168">
        <f t="shared" si="7"/>
        <v>0</v>
      </c>
      <c r="CE75" s="168">
        <f t="shared" si="7"/>
        <v>0</v>
      </c>
      <c r="CF75" s="168">
        <f t="shared" si="7"/>
        <v>0</v>
      </c>
      <c r="CG75" s="168">
        <f t="shared" si="7"/>
        <v>0</v>
      </c>
      <c r="CH75" s="168">
        <f t="shared" si="7"/>
        <v>0</v>
      </c>
      <c r="CI75" s="168">
        <f t="shared" si="7"/>
        <v>0</v>
      </c>
      <c r="CJ75" s="168">
        <f t="shared" si="7"/>
        <v>0</v>
      </c>
      <c r="CK75" s="168">
        <f t="shared" si="7"/>
        <v>0</v>
      </c>
      <c r="CL75" s="168">
        <f t="shared" si="7"/>
        <v>0</v>
      </c>
      <c r="CM75" s="168">
        <f t="shared" si="7"/>
        <v>0</v>
      </c>
      <c r="CN75" s="168">
        <f t="shared" si="7"/>
        <v>0</v>
      </c>
      <c r="CO75" s="168">
        <f t="shared" si="7"/>
        <v>0</v>
      </c>
      <c r="CP75" s="168">
        <f t="shared" si="7"/>
        <v>0</v>
      </c>
      <c r="CQ75" s="168">
        <f t="shared" si="7"/>
        <v>0</v>
      </c>
      <c r="CR75" s="168">
        <f t="shared" si="7"/>
        <v>0</v>
      </c>
      <c r="CS75" s="168">
        <f t="shared" si="7"/>
        <v>0</v>
      </c>
      <c r="CT75" s="168">
        <f t="shared" si="7"/>
        <v>0</v>
      </c>
      <c r="CU75" s="168">
        <f t="shared" si="7"/>
        <v>0</v>
      </c>
      <c r="CV75" s="168">
        <f t="shared" si="7"/>
        <v>0</v>
      </c>
      <c r="CW75" s="168">
        <f t="shared" si="7"/>
        <v>0</v>
      </c>
      <c r="CX75" s="168">
        <f t="shared" si="7"/>
        <v>0</v>
      </c>
      <c r="CY75" s="168">
        <f t="shared" si="7"/>
        <v>0</v>
      </c>
      <c r="DC75" s="182" t="str">
        <f t="shared" ref="DC75:DC82" si="8">+DC64</f>
        <v>lot1</v>
      </c>
      <c r="DE75" s="168">
        <f t="shared" ref="DE75:EB82" si="9">IF(DE64&gt;0,1,0)</f>
        <v>0</v>
      </c>
      <c r="DF75" s="168">
        <f t="shared" si="9"/>
        <v>0</v>
      </c>
      <c r="DG75" s="168">
        <f t="shared" si="9"/>
        <v>0</v>
      </c>
      <c r="DH75" s="168">
        <f t="shared" si="9"/>
        <v>0</v>
      </c>
      <c r="DI75" s="168">
        <f t="shared" si="9"/>
        <v>0</v>
      </c>
      <c r="DJ75" s="168">
        <f t="shared" si="9"/>
        <v>0</v>
      </c>
      <c r="DK75" s="168">
        <f t="shared" si="9"/>
        <v>0</v>
      </c>
      <c r="DL75" s="168">
        <f t="shared" si="9"/>
        <v>0</v>
      </c>
      <c r="DM75" s="168">
        <f t="shared" si="9"/>
        <v>0</v>
      </c>
      <c r="DN75" s="168">
        <f t="shared" si="9"/>
        <v>0</v>
      </c>
      <c r="DO75" s="168">
        <f t="shared" si="9"/>
        <v>0</v>
      </c>
      <c r="DP75" s="168">
        <f t="shared" si="9"/>
        <v>0</v>
      </c>
      <c r="DQ75" s="168">
        <f t="shared" si="9"/>
        <v>0</v>
      </c>
      <c r="DR75" s="168">
        <f t="shared" si="9"/>
        <v>0</v>
      </c>
      <c r="DS75" s="168">
        <f t="shared" si="9"/>
        <v>0</v>
      </c>
      <c r="DT75" s="168">
        <f t="shared" si="9"/>
        <v>0</v>
      </c>
      <c r="DU75" s="168">
        <f t="shared" si="9"/>
        <v>0</v>
      </c>
      <c r="DV75" s="168">
        <f t="shared" si="9"/>
        <v>0</v>
      </c>
      <c r="DW75" s="168">
        <f t="shared" si="9"/>
        <v>0</v>
      </c>
      <c r="DX75" s="168">
        <f t="shared" si="9"/>
        <v>0</v>
      </c>
      <c r="DY75" s="168">
        <f t="shared" si="9"/>
        <v>0</v>
      </c>
      <c r="DZ75" s="168">
        <f t="shared" si="9"/>
        <v>0</v>
      </c>
      <c r="EA75" s="168">
        <f t="shared" si="9"/>
        <v>0</v>
      </c>
      <c r="EB75" s="168">
        <f t="shared" si="9"/>
        <v>0</v>
      </c>
    </row>
    <row r="76" spans="2:132" x14ac:dyDescent="0.25">
      <c r="B76" s="14" t="s">
        <v>1143</v>
      </c>
      <c r="C76" s="168">
        <f>'Calcul éco'!AO166</f>
        <v>5</v>
      </c>
      <c r="D76" s="255">
        <f t="shared" si="3"/>
        <v>6.5810000000000004</v>
      </c>
      <c r="AT76" s="182" t="str">
        <f t="shared" si="4"/>
        <v>Génisses 24 mois</v>
      </c>
      <c r="AV76" s="168">
        <f t="shared" si="5"/>
        <v>1</v>
      </c>
      <c r="AW76" s="168">
        <f t="shared" si="5"/>
        <v>1</v>
      </c>
      <c r="AX76" s="168">
        <f t="shared" si="5"/>
        <v>1</v>
      </c>
      <c r="AY76" s="168">
        <f t="shared" si="5"/>
        <v>1</v>
      </c>
      <c r="AZ76" s="168">
        <f t="shared" si="5"/>
        <v>1</v>
      </c>
      <c r="BA76" s="168">
        <f t="shared" si="5"/>
        <v>1</v>
      </c>
      <c r="BB76" s="168">
        <f t="shared" si="5"/>
        <v>1</v>
      </c>
      <c r="BC76" s="168">
        <f t="shared" si="5"/>
        <v>1</v>
      </c>
      <c r="BD76" s="168">
        <f t="shared" si="5"/>
        <v>1</v>
      </c>
      <c r="BE76" s="168">
        <f t="shared" si="5"/>
        <v>1</v>
      </c>
      <c r="BF76" s="168">
        <f t="shared" si="5"/>
        <v>1</v>
      </c>
      <c r="BG76" s="168">
        <f t="shared" si="5"/>
        <v>1</v>
      </c>
      <c r="BH76" s="168">
        <f t="shared" si="5"/>
        <v>1</v>
      </c>
      <c r="BI76" s="168">
        <f t="shared" si="5"/>
        <v>1</v>
      </c>
      <c r="BJ76" s="168">
        <f t="shared" si="5"/>
        <v>1</v>
      </c>
      <c r="BK76" s="168">
        <f t="shared" si="5"/>
        <v>1</v>
      </c>
      <c r="BL76" s="168">
        <f t="shared" si="5"/>
        <v>1</v>
      </c>
      <c r="BM76" s="168">
        <f t="shared" si="5"/>
        <v>1</v>
      </c>
      <c r="BN76" s="168">
        <f t="shared" si="5"/>
        <v>1</v>
      </c>
      <c r="BO76" s="168">
        <f t="shared" si="5"/>
        <v>1</v>
      </c>
      <c r="BP76" s="168">
        <f t="shared" si="5"/>
        <v>1</v>
      </c>
      <c r="BQ76" s="168">
        <f t="shared" si="5"/>
        <v>1</v>
      </c>
      <c r="BR76" s="168">
        <f t="shared" si="5"/>
        <v>1</v>
      </c>
      <c r="BS76" s="168">
        <f t="shared" si="5"/>
        <v>1</v>
      </c>
      <c r="BZ76" s="182" t="str">
        <f t="shared" si="6"/>
        <v>lot2</v>
      </c>
      <c r="CB76" s="168">
        <f t="shared" si="7"/>
        <v>0</v>
      </c>
      <c r="CC76" s="168">
        <f t="shared" si="7"/>
        <v>0</v>
      </c>
      <c r="CD76" s="168">
        <f t="shared" si="7"/>
        <v>0</v>
      </c>
      <c r="CE76" s="168">
        <f t="shared" si="7"/>
        <v>0</v>
      </c>
      <c r="CF76" s="168">
        <f t="shared" si="7"/>
        <v>0</v>
      </c>
      <c r="CG76" s="168">
        <f t="shared" si="7"/>
        <v>0</v>
      </c>
      <c r="CH76" s="168">
        <f t="shared" si="7"/>
        <v>0</v>
      </c>
      <c r="CI76" s="168">
        <f t="shared" si="7"/>
        <v>0</v>
      </c>
      <c r="CJ76" s="168">
        <f t="shared" si="7"/>
        <v>0</v>
      </c>
      <c r="CK76" s="168">
        <f t="shared" si="7"/>
        <v>0</v>
      </c>
      <c r="CL76" s="168">
        <f t="shared" si="7"/>
        <v>0</v>
      </c>
      <c r="CM76" s="168">
        <f t="shared" si="7"/>
        <v>0</v>
      </c>
      <c r="CN76" s="168">
        <f t="shared" si="7"/>
        <v>0</v>
      </c>
      <c r="CO76" s="168">
        <f t="shared" si="7"/>
        <v>0</v>
      </c>
      <c r="CP76" s="168">
        <f t="shared" si="7"/>
        <v>0</v>
      </c>
      <c r="CQ76" s="168">
        <f t="shared" si="7"/>
        <v>0</v>
      </c>
      <c r="CR76" s="168">
        <f t="shared" si="7"/>
        <v>0</v>
      </c>
      <c r="CS76" s="168">
        <f t="shared" si="7"/>
        <v>0</v>
      </c>
      <c r="CT76" s="168">
        <f t="shared" si="7"/>
        <v>0</v>
      </c>
      <c r="CU76" s="168">
        <f t="shared" si="7"/>
        <v>0</v>
      </c>
      <c r="CV76" s="168">
        <f t="shared" si="7"/>
        <v>0</v>
      </c>
      <c r="CW76" s="168">
        <f t="shared" si="7"/>
        <v>0</v>
      </c>
      <c r="CX76" s="168">
        <f t="shared" si="7"/>
        <v>0</v>
      </c>
      <c r="CY76" s="168">
        <f t="shared" si="7"/>
        <v>0</v>
      </c>
      <c r="DC76" s="182" t="str">
        <f t="shared" si="8"/>
        <v>lot2</v>
      </c>
      <c r="DE76" s="168">
        <f t="shared" si="9"/>
        <v>0</v>
      </c>
      <c r="DF76" s="168">
        <f t="shared" si="9"/>
        <v>0</v>
      </c>
      <c r="DG76" s="168">
        <f t="shared" si="9"/>
        <v>0</v>
      </c>
      <c r="DH76" s="168">
        <f t="shared" si="9"/>
        <v>0</v>
      </c>
      <c r="DI76" s="168">
        <f t="shared" si="9"/>
        <v>0</v>
      </c>
      <c r="DJ76" s="168">
        <f t="shared" si="9"/>
        <v>0</v>
      </c>
      <c r="DK76" s="168">
        <f t="shared" si="9"/>
        <v>0</v>
      </c>
      <c r="DL76" s="168">
        <f t="shared" si="9"/>
        <v>0</v>
      </c>
      <c r="DM76" s="168">
        <f t="shared" si="9"/>
        <v>0</v>
      </c>
      <c r="DN76" s="168">
        <f t="shared" si="9"/>
        <v>0</v>
      </c>
      <c r="DO76" s="168">
        <f t="shared" si="9"/>
        <v>0</v>
      </c>
      <c r="DP76" s="168">
        <f t="shared" si="9"/>
        <v>0</v>
      </c>
      <c r="DQ76" s="168">
        <f t="shared" si="9"/>
        <v>0</v>
      </c>
      <c r="DR76" s="168">
        <f t="shared" si="9"/>
        <v>0</v>
      </c>
      <c r="DS76" s="168">
        <f t="shared" si="9"/>
        <v>0</v>
      </c>
      <c r="DT76" s="168">
        <f t="shared" si="9"/>
        <v>0</v>
      </c>
      <c r="DU76" s="168">
        <f t="shared" si="9"/>
        <v>0</v>
      </c>
      <c r="DV76" s="168">
        <f t="shared" si="9"/>
        <v>0</v>
      </c>
      <c r="DW76" s="168">
        <f t="shared" si="9"/>
        <v>0</v>
      </c>
      <c r="DX76" s="168">
        <f t="shared" si="9"/>
        <v>0</v>
      </c>
      <c r="DY76" s="168">
        <f t="shared" si="9"/>
        <v>0</v>
      </c>
      <c r="DZ76" s="168">
        <f t="shared" si="9"/>
        <v>0</v>
      </c>
      <c r="EA76" s="168">
        <f t="shared" si="9"/>
        <v>0</v>
      </c>
      <c r="EB76" s="168">
        <f t="shared" si="9"/>
        <v>0</v>
      </c>
    </row>
    <row r="77" spans="2:132" x14ac:dyDescent="0.25">
      <c r="B77" s="14" t="s">
        <v>1144</v>
      </c>
      <c r="C77" s="168">
        <f>'Calcul éco'!AO169</f>
        <v>0</v>
      </c>
      <c r="D77" s="255">
        <f t="shared" si="3"/>
        <v>0</v>
      </c>
      <c r="AT77" s="182" t="str">
        <f t="shared" si="4"/>
        <v>Génisses jeunes</v>
      </c>
      <c r="AV77" s="168">
        <f t="shared" si="5"/>
        <v>1</v>
      </c>
      <c r="AW77" s="168">
        <f t="shared" si="5"/>
        <v>1</v>
      </c>
      <c r="AX77" s="168">
        <f t="shared" si="5"/>
        <v>1</v>
      </c>
      <c r="AY77" s="168">
        <f t="shared" si="5"/>
        <v>1</v>
      </c>
      <c r="AZ77" s="168">
        <f t="shared" si="5"/>
        <v>1</v>
      </c>
      <c r="BA77" s="168">
        <f t="shared" si="5"/>
        <v>1</v>
      </c>
      <c r="BB77" s="168">
        <f t="shared" si="5"/>
        <v>1</v>
      </c>
      <c r="BC77" s="168">
        <f t="shared" si="5"/>
        <v>1</v>
      </c>
      <c r="BD77" s="168">
        <f t="shared" si="5"/>
        <v>1</v>
      </c>
      <c r="BE77" s="168">
        <f t="shared" si="5"/>
        <v>1</v>
      </c>
      <c r="BF77" s="168">
        <f t="shared" si="5"/>
        <v>1</v>
      </c>
      <c r="BG77" s="168">
        <f t="shared" si="5"/>
        <v>1</v>
      </c>
      <c r="BH77" s="168">
        <f t="shared" si="5"/>
        <v>1</v>
      </c>
      <c r="BI77" s="168">
        <f t="shared" si="5"/>
        <v>1</v>
      </c>
      <c r="BJ77" s="168">
        <f t="shared" si="5"/>
        <v>1</v>
      </c>
      <c r="BK77" s="168">
        <f t="shared" si="5"/>
        <v>1</v>
      </c>
      <c r="BL77" s="168">
        <f t="shared" si="5"/>
        <v>1</v>
      </c>
      <c r="BM77" s="168">
        <f t="shared" si="5"/>
        <v>1</v>
      </c>
      <c r="BN77" s="168">
        <f t="shared" si="5"/>
        <v>1</v>
      </c>
      <c r="BO77" s="168">
        <f t="shared" si="5"/>
        <v>1</v>
      </c>
      <c r="BP77" s="168">
        <f t="shared" si="5"/>
        <v>1</v>
      </c>
      <c r="BQ77" s="168">
        <f t="shared" si="5"/>
        <v>1</v>
      </c>
      <c r="BR77" s="168">
        <f t="shared" si="5"/>
        <v>1</v>
      </c>
      <c r="BS77" s="168">
        <f t="shared" si="5"/>
        <v>1</v>
      </c>
      <c r="BZ77" s="182" t="str">
        <f t="shared" si="6"/>
        <v>lot3</v>
      </c>
      <c r="CB77" s="168">
        <f t="shared" si="7"/>
        <v>0</v>
      </c>
      <c r="CC77" s="168">
        <f t="shared" si="7"/>
        <v>0</v>
      </c>
      <c r="CD77" s="168">
        <f t="shared" si="7"/>
        <v>0</v>
      </c>
      <c r="CE77" s="168">
        <f t="shared" si="7"/>
        <v>0</v>
      </c>
      <c r="CF77" s="168">
        <f t="shared" si="7"/>
        <v>0</v>
      </c>
      <c r="CG77" s="168">
        <f t="shared" si="7"/>
        <v>0</v>
      </c>
      <c r="CH77" s="168">
        <f t="shared" si="7"/>
        <v>0</v>
      </c>
      <c r="CI77" s="168">
        <f t="shared" si="7"/>
        <v>0</v>
      </c>
      <c r="CJ77" s="168">
        <f t="shared" si="7"/>
        <v>0</v>
      </c>
      <c r="CK77" s="168">
        <f t="shared" si="7"/>
        <v>0</v>
      </c>
      <c r="CL77" s="168">
        <f t="shared" si="7"/>
        <v>0</v>
      </c>
      <c r="CM77" s="168">
        <f t="shared" si="7"/>
        <v>0</v>
      </c>
      <c r="CN77" s="168">
        <f t="shared" si="7"/>
        <v>0</v>
      </c>
      <c r="CO77" s="168">
        <f t="shared" si="7"/>
        <v>0</v>
      </c>
      <c r="CP77" s="168">
        <f t="shared" si="7"/>
        <v>0</v>
      </c>
      <c r="CQ77" s="168">
        <f t="shared" si="7"/>
        <v>0</v>
      </c>
      <c r="CR77" s="168">
        <f t="shared" si="7"/>
        <v>0</v>
      </c>
      <c r="CS77" s="168">
        <f t="shared" si="7"/>
        <v>0</v>
      </c>
      <c r="CT77" s="168">
        <f t="shared" si="7"/>
        <v>0</v>
      </c>
      <c r="CU77" s="168">
        <f t="shared" si="7"/>
        <v>0</v>
      </c>
      <c r="CV77" s="168">
        <f t="shared" si="7"/>
        <v>0</v>
      </c>
      <c r="CW77" s="168">
        <f t="shared" si="7"/>
        <v>0</v>
      </c>
      <c r="CX77" s="168">
        <f t="shared" si="7"/>
        <v>0</v>
      </c>
      <c r="CY77" s="168">
        <f t="shared" si="7"/>
        <v>0</v>
      </c>
      <c r="DC77" s="182" t="str">
        <f t="shared" si="8"/>
        <v>lot3</v>
      </c>
      <c r="DE77" s="168">
        <f t="shared" si="9"/>
        <v>0</v>
      </c>
      <c r="DF77" s="168">
        <f t="shared" si="9"/>
        <v>0</v>
      </c>
      <c r="DG77" s="168">
        <f t="shared" si="9"/>
        <v>0</v>
      </c>
      <c r="DH77" s="168">
        <f t="shared" si="9"/>
        <v>0</v>
      </c>
      <c r="DI77" s="168">
        <f t="shared" si="9"/>
        <v>0</v>
      </c>
      <c r="DJ77" s="168">
        <f t="shared" si="9"/>
        <v>0</v>
      </c>
      <c r="DK77" s="168">
        <f t="shared" si="9"/>
        <v>0</v>
      </c>
      <c r="DL77" s="168">
        <f t="shared" si="9"/>
        <v>0</v>
      </c>
      <c r="DM77" s="168">
        <f t="shared" si="9"/>
        <v>0</v>
      </c>
      <c r="DN77" s="168">
        <f t="shared" si="9"/>
        <v>0</v>
      </c>
      <c r="DO77" s="168">
        <f t="shared" si="9"/>
        <v>0</v>
      </c>
      <c r="DP77" s="168">
        <f t="shared" si="9"/>
        <v>0</v>
      </c>
      <c r="DQ77" s="168">
        <f t="shared" si="9"/>
        <v>0</v>
      </c>
      <c r="DR77" s="168">
        <f t="shared" si="9"/>
        <v>0</v>
      </c>
      <c r="DS77" s="168">
        <f t="shared" si="9"/>
        <v>0</v>
      </c>
      <c r="DT77" s="168">
        <f t="shared" si="9"/>
        <v>0</v>
      </c>
      <c r="DU77" s="168">
        <f t="shared" si="9"/>
        <v>0</v>
      </c>
      <c r="DV77" s="168">
        <f t="shared" si="9"/>
        <v>0</v>
      </c>
      <c r="DW77" s="168">
        <f t="shared" si="9"/>
        <v>0</v>
      </c>
      <c r="DX77" s="168">
        <f t="shared" si="9"/>
        <v>0</v>
      </c>
      <c r="DY77" s="168">
        <f t="shared" si="9"/>
        <v>0</v>
      </c>
      <c r="DZ77" s="168">
        <f t="shared" si="9"/>
        <v>0</v>
      </c>
      <c r="EA77" s="168">
        <f t="shared" si="9"/>
        <v>0</v>
      </c>
      <c r="EB77" s="168">
        <f t="shared" si="9"/>
        <v>0</v>
      </c>
    </row>
    <row r="78" spans="2:132" x14ac:dyDescent="0.25">
      <c r="B78" s="14" t="s">
        <v>1145</v>
      </c>
      <c r="C78" s="168">
        <f>'Calcul éco'!AO165</f>
        <v>27.63</v>
      </c>
      <c r="D78" s="255">
        <f t="shared" si="3"/>
        <v>36.368000000000002</v>
      </c>
      <c r="AT78" s="182" t="str">
        <f t="shared" si="4"/>
        <v>broutards</v>
      </c>
      <c r="AV78" s="168">
        <f t="shared" si="5"/>
        <v>1</v>
      </c>
      <c r="AW78" s="168">
        <f t="shared" si="5"/>
        <v>1</v>
      </c>
      <c r="AX78" s="168">
        <f t="shared" si="5"/>
        <v>1</v>
      </c>
      <c r="AY78" s="168">
        <f t="shared" si="5"/>
        <v>1</v>
      </c>
      <c r="AZ78" s="168">
        <f t="shared" si="5"/>
        <v>1</v>
      </c>
      <c r="BA78" s="168">
        <f t="shared" si="5"/>
        <v>1</v>
      </c>
      <c r="BB78" s="168">
        <f t="shared" si="5"/>
        <v>0</v>
      </c>
      <c r="BC78" s="168">
        <f t="shared" si="5"/>
        <v>0</v>
      </c>
      <c r="BD78" s="168">
        <f t="shared" si="5"/>
        <v>0</v>
      </c>
      <c r="BE78" s="168">
        <f t="shared" si="5"/>
        <v>0</v>
      </c>
      <c r="BF78" s="168">
        <f t="shared" si="5"/>
        <v>0</v>
      </c>
      <c r="BG78" s="168">
        <f t="shared" si="5"/>
        <v>0</v>
      </c>
      <c r="BH78" s="168">
        <f t="shared" si="5"/>
        <v>0</v>
      </c>
      <c r="BI78" s="168">
        <f t="shared" si="5"/>
        <v>0</v>
      </c>
      <c r="BJ78" s="168">
        <f t="shared" si="5"/>
        <v>0</v>
      </c>
      <c r="BK78" s="168">
        <f t="shared" si="5"/>
        <v>0</v>
      </c>
      <c r="BL78" s="168">
        <f t="shared" si="5"/>
        <v>0</v>
      </c>
      <c r="BM78" s="168">
        <f t="shared" si="5"/>
        <v>0</v>
      </c>
      <c r="BN78" s="168">
        <f t="shared" si="5"/>
        <v>0</v>
      </c>
      <c r="BO78" s="168">
        <f t="shared" si="5"/>
        <v>1</v>
      </c>
      <c r="BP78" s="168">
        <f t="shared" si="5"/>
        <v>1</v>
      </c>
      <c r="BQ78" s="168">
        <f t="shared" si="5"/>
        <v>1</v>
      </c>
      <c r="BR78" s="168">
        <f t="shared" si="5"/>
        <v>1</v>
      </c>
      <c r="BS78" s="168">
        <f t="shared" si="5"/>
        <v>1</v>
      </c>
      <c r="BZ78" s="182" t="str">
        <f t="shared" si="6"/>
        <v>lot4</v>
      </c>
      <c r="CB78" s="168">
        <f t="shared" si="7"/>
        <v>0</v>
      </c>
      <c r="CC78" s="168">
        <f t="shared" si="7"/>
        <v>0</v>
      </c>
      <c r="CD78" s="168">
        <f t="shared" si="7"/>
        <v>0</v>
      </c>
      <c r="CE78" s="168">
        <f t="shared" si="7"/>
        <v>0</v>
      </c>
      <c r="CF78" s="168">
        <f t="shared" si="7"/>
        <v>0</v>
      </c>
      <c r="CG78" s="168">
        <f t="shared" si="7"/>
        <v>0</v>
      </c>
      <c r="CH78" s="168">
        <f t="shared" si="7"/>
        <v>0</v>
      </c>
      <c r="CI78" s="168">
        <f t="shared" si="7"/>
        <v>0</v>
      </c>
      <c r="CJ78" s="168">
        <f t="shared" si="7"/>
        <v>0</v>
      </c>
      <c r="CK78" s="168">
        <f t="shared" si="7"/>
        <v>0</v>
      </c>
      <c r="CL78" s="168">
        <f t="shared" si="7"/>
        <v>0</v>
      </c>
      <c r="CM78" s="168">
        <f t="shared" si="7"/>
        <v>0</v>
      </c>
      <c r="CN78" s="168">
        <f t="shared" si="7"/>
        <v>0</v>
      </c>
      <c r="CO78" s="168">
        <f t="shared" si="7"/>
        <v>0</v>
      </c>
      <c r="CP78" s="168">
        <f t="shared" si="7"/>
        <v>0</v>
      </c>
      <c r="CQ78" s="168">
        <f t="shared" si="7"/>
        <v>0</v>
      </c>
      <c r="CR78" s="168">
        <f t="shared" si="7"/>
        <v>0</v>
      </c>
      <c r="CS78" s="168">
        <f t="shared" si="7"/>
        <v>0</v>
      </c>
      <c r="CT78" s="168">
        <f t="shared" si="7"/>
        <v>0</v>
      </c>
      <c r="CU78" s="168">
        <f t="shared" si="7"/>
        <v>0</v>
      </c>
      <c r="CV78" s="168">
        <f t="shared" si="7"/>
        <v>0</v>
      </c>
      <c r="CW78" s="168">
        <f t="shared" si="7"/>
        <v>0</v>
      </c>
      <c r="CX78" s="168">
        <f t="shared" si="7"/>
        <v>0</v>
      </c>
      <c r="CY78" s="168">
        <f t="shared" si="7"/>
        <v>0</v>
      </c>
      <c r="DC78" s="182" t="str">
        <f t="shared" si="8"/>
        <v>lot4</v>
      </c>
      <c r="DE78" s="168">
        <f t="shared" si="9"/>
        <v>0</v>
      </c>
      <c r="DF78" s="168">
        <f t="shared" si="9"/>
        <v>0</v>
      </c>
      <c r="DG78" s="168">
        <f t="shared" si="9"/>
        <v>0</v>
      </c>
      <c r="DH78" s="168">
        <f t="shared" si="9"/>
        <v>0</v>
      </c>
      <c r="DI78" s="168">
        <f t="shared" si="9"/>
        <v>0</v>
      </c>
      <c r="DJ78" s="168">
        <f t="shared" si="9"/>
        <v>0</v>
      </c>
      <c r="DK78" s="168">
        <f t="shared" si="9"/>
        <v>0</v>
      </c>
      <c r="DL78" s="168">
        <f t="shared" si="9"/>
        <v>0</v>
      </c>
      <c r="DM78" s="168">
        <f t="shared" si="9"/>
        <v>0</v>
      </c>
      <c r="DN78" s="168">
        <f t="shared" si="9"/>
        <v>0</v>
      </c>
      <c r="DO78" s="168">
        <f t="shared" si="9"/>
        <v>0</v>
      </c>
      <c r="DP78" s="168">
        <f t="shared" si="9"/>
        <v>0</v>
      </c>
      <c r="DQ78" s="168">
        <f t="shared" si="9"/>
        <v>0</v>
      </c>
      <c r="DR78" s="168">
        <f t="shared" si="9"/>
        <v>0</v>
      </c>
      <c r="DS78" s="168">
        <f t="shared" si="9"/>
        <v>0</v>
      </c>
      <c r="DT78" s="168">
        <f t="shared" si="9"/>
        <v>0</v>
      </c>
      <c r="DU78" s="168">
        <f t="shared" si="9"/>
        <v>0</v>
      </c>
      <c r="DV78" s="168">
        <f t="shared" si="9"/>
        <v>0</v>
      </c>
      <c r="DW78" s="168">
        <f t="shared" si="9"/>
        <v>0</v>
      </c>
      <c r="DX78" s="168">
        <f t="shared" si="9"/>
        <v>0</v>
      </c>
      <c r="DY78" s="168">
        <f t="shared" si="9"/>
        <v>0</v>
      </c>
      <c r="DZ78" s="168">
        <f t="shared" si="9"/>
        <v>0</v>
      </c>
      <c r="EA78" s="168">
        <f t="shared" si="9"/>
        <v>0</v>
      </c>
      <c r="EB78" s="168">
        <f t="shared" si="9"/>
        <v>0</v>
      </c>
    </row>
    <row r="79" spans="2:132" x14ac:dyDescent="0.25">
      <c r="B79" s="14" t="s">
        <v>1146</v>
      </c>
      <c r="C79" s="168">
        <f>'Calcul éco'!AO168</f>
        <v>0</v>
      </c>
      <c r="D79" s="255">
        <f t="shared" si="3"/>
        <v>0</v>
      </c>
      <c r="AT79" s="182" t="str">
        <f t="shared" si="4"/>
        <v>génisses &lt; 1 an</v>
      </c>
      <c r="AV79" s="168">
        <f t="shared" si="5"/>
        <v>0</v>
      </c>
      <c r="AW79" s="168">
        <f t="shared" si="5"/>
        <v>0</v>
      </c>
      <c r="AX79" s="168">
        <f t="shared" si="5"/>
        <v>1</v>
      </c>
      <c r="AY79" s="168">
        <f t="shared" si="5"/>
        <v>1</v>
      </c>
      <c r="AZ79" s="168">
        <f t="shared" si="5"/>
        <v>1</v>
      </c>
      <c r="BA79" s="168">
        <f t="shared" si="5"/>
        <v>1</v>
      </c>
      <c r="BB79" s="168">
        <f t="shared" si="5"/>
        <v>1</v>
      </c>
      <c r="BC79" s="168">
        <f t="shared" si="5"/>
        <v>1</v>
      </c>
      <c r="BD79" s="168">
        <f t="shared" si="5"/>
        <v>1</v>
      </c>
      <c r="BE79" s="168">
        <f t="shared" si="5"/>
        <v>1</v>
      </c>
      <c r="BF79" s="168">
        <f t="shared" si="5"/>
        <v>1</v>
      </c>
      <c r="BG79" s="168">
        <f t="shared" si="5"/>
        <v>1</v>
      </c>
      <c r="BH79" s="168">
        <f t="shared" si="5"/>
        <v>1</v>
      </c>
      <c r="BI79" s="168">
        <f t="shared" si="5"/>
        <v>1</v>
      </c>
      <c r="BJ79" s="168">
        <f t="shared" si="5"/>
        <v>1</v>
      </c>
      <c r="BK79" s="168">
        <f t="shared" si="5"/>
        <v>1</v>
      </c>
      <c r="BL79" s="168">
        <f t="shared" si="5"/>
        <v>1</v>
      </c>
      <c r="BM79" s="168">
        <f t="shared" si="5"/>
        <v>1</v>
      </c>
      <c r="BN79" s="168">
        <f t="shared" si="5"/>
        <v>1</v>
      </c>
      <c r="BO79" s="168">
        <f t="shared" si="5"/>
        <v>1</v>
      </c>
      <c r="BP79" s="168">
        <f t="shared" si="5"/>
        <v>1</v>
      </c>
      <c r="BQ79" s="168">
        <f t="shared" si="5"/>
        <v>0</v>
      </c>
      <c r="BR79" s="168">
        <f t="shared" si="5"/>
        <v>0</v>
      </c>
      <c r="BS79" s="168">
        <f t="shared" si="5"/>
        <v>0</v>
      </c>
      <c r="BZ79" s="182" t="str">
        <f t="shared" si="6"/>
        <v>lot5</v>
      </c>
      <c r="CB79" s="168">
        <f t="shared" si="7"/>
        <v>0</v>
      </c>
      <c r="CC79" s="168">
        <f t="shared" si="7"/>
        <v>0</v>
      </c>
      <c r="CD79" s="168">
        <f t="shared" si="7"/>
        <v>0</v>
      </c>
      <c r="CE79" s="168">
        <f t="shared" si="7"/>
        <v>0</v>
      </c>
      <c r="CF79" s="168">
        <f t="shared" si="7"/>
        <v>0</v>
      </c>
      <c r="CG79" s="168">
        <f t="shared" si="7"/>
        <v>0</v>
      </c>
      <c r="CH79" s="168">
        <f t="shared" si="7"/>
        <v>0</v>
      </c>
      <c r="CI79" s="168">
        <f t="shared" si="7"/>
        <v>0</v>
      </c>
      <c r="CJ79" s="168">
        <f t="shared" si="7"/>
        <v>0</v>
      </c>
      <c r="CK79" s="168">
        <f t="shared" si="7"/>
        <v>0</v>
      </c>
      <c r="CL79" s="168">
        <f t="shared" si="7"/>
        <v>0</v>
      </c>
      <c r="CM79" s="168">
        <f t="shared" si="7"/>
        <v>0</v>
      </c>
      <c r="CN79" s="168">
        <f t="shared" si="7"/>
        <v>0</v>
      </c>
      <c r="CO79" s="168">
        <f t="shared" si="7"/>
        <v>0</v>
      </c>
      <c r="CP79" s="168">
        <f t="shared" si="7"/>
        <v>0</v>
      </c>
      <c r="CQ79" s="168">
        <f t="shared" si="7"/>
        <v>0</v>
      </c>
      <c r="CR79" s="168">
        <f t="shared" si="7"/>
        <v>0</v>
      </c>
      <c r="CS79" s="168">
        <f t="shared" si="7"/>
        <v>0</v>
      </c>
      <c r="CT79" s="168">
        <f t="shared" si="7"/>
        <v>0</v>
      </c>
      <c r="CU79" s="168">
        <f t="shared" si="7"/>
        <v>0</v>
      </c>
      <c r="CV79" s="168">
        <f t="shared" si="7"/>
        <v>0</v>
      </c>
      <c r="CW79" s="168">
        <f t="shared" si="7"/>
        <v>0</v>
      </c>
      <c r="CX79" s="168">
        <f t="shared" si="7"/>
        <v>0</v>
      </c>
      <c r="CY79" s="168">
        <f t="shared" si="7"/>
        <v>0</v>
      </c>
      <c r="DC79" s="182" t="str">
        <f t="shared" si="8"/>
        <v>lot5</v>
      </c>
      <c r="DE79" s="168">
        <f t="shared" si="9"/>
        <v>0</v>
      </c>
      <c r="DF79" s="168">
        <f t="shared" si="9"/>
        <v>0</v>
      </c>
      <c r="DG79" s="168">
        <f t="shared" si="9"/>
        <v>0</v>
      </c>
      <c r="DH79" s="168">
        <f t="shared" si="9"/>
        <v>0</v>
      </c>
      <c r="DI79" s="168">
        <f t="shared" si="9"/>
        <v>0</v>
      </c>
      <c r="DJ79" s="168">
        <f t="shared" si="9"/>
        <v>0</v>
      </c>
      <c r="DK79" s="168">
        <f t="shared" si="9"/>
        <v>0</v>
      </c>
      <c r="DL79" s="168">
        <f t="shared" si="9"/>
        <v>0</v>
      </c>
      <c r="DM79" s="168">
        <f t="shared" si="9"/>
        <v>0</v>
      </c>
      <c r="DN79" s="168">
        <f t="shared" si="9"/>
        <v>0</v>
      </c>
      <c r="DO79" s="168">
        <f t="shared" si="9"/>
        <v>0</v>
      </c>
      <c r="DP79" s="168">
        <f t="shared" si="9"/>
        <v>0</v>
      </c>
      <c r="DQ79" s="168">
        <f t="shared" si="9"/>
        <v>0</v>
      </c>
      <c r="DR79" s="168">
        <f t="shared" si="9"/>
        <v>0</v>
      </c>
      <c r="DS79" s="168">
        <f t="shared" si="9"/>
        <v>0</v>
      </c>
      <c r="DT79" s="168">
        <f t="shared" si="9"/>
        <v>0</v>
      </c>
      <c r="DU79" s="168">
        <f t="shared" si="9"/>
        <v>0</v>
      </c>
      <c r="DV79" s="168">
        <f t="shared" si="9"/>
        <v>0</v>
      </c>
      <c r="DW79" s="168">
        <f t="shared" si="9"/>
        <v>0</v>
      </c>
      <c r="DX79" s="168">
        <f t="shared" si="9"/>
        <v>0</v>
      </c>
      <c r="DY79" s="168">
        <f t="shared" si="9"/>
        <v>0</v>
      </c>
      <c r="DZ79" s="168">
        <f t="shared" si="9"/>
        <v>0</v>
      </c>
      <c r="EA79" s="168">
        <f t="shared" si="9"/>
        <v>0</v>
      </c>
      <c r="EB79" s="168">
        <f t="shared" si="9"/>
        <v>0</v>
      </c>
    </row>
    <row r="80" spans="2:132" x14ac:dyDescent="0.25">
      <c r="B80" s="14" t="s">
        <v>1147</v>
      </c>
      <c r="C80" s="168">
        <f>'Calcul éco'!AO171</f>
        <v>0</v>
      </c>
      <c r="D80" s="255">
        <f t="shared" si="3"/>
        <v>0</v>
      </c>
      <c r="AT80" s="182" t="str">
        <f t="shared" si="4"/>
        <v>lot6</v>
      </c>
      <c r="AV80" s="168">
        <f t="shared" si="5"/>
        <v>0</v>
      </c>
      <c r="AW80" s="168">
        <f t="shared" si="5"/>
        <v>0</v>
      </c>
      <c r="AX80" s="168">
        <f t="shared" si="5"/>
        <v>0</v>
      </c>
      <c r="AY80" s="168">
        <f t="shared" si="5"/>
        <v>0</v>
      </c>
      <c r="AZ80" s="168">
        <f t="shared" si="5"/>
        <v>0</v>
      </c>
      <c r="BA80" s="168">
        <f t="shared" si="5"/>
        <v>0</v>
      </c>
      <c r="BB80" s="168">
        <f t="shared" si="5"/>
        <v>0</v>
      </c>
      <c r="BC80" s="168">
        <f t="shared" si="5"/>
        <v>0</v>
      </c>
      <c r="BD80" s="168">
        <f t="shared" si="5"/>
        <v>0</v>
      </c>
      <c r="BE80" s="168">
        <f t="shared" si="5"/>
        <v>0</v>
      </c>
      <c r="BF80" s="168">
        <f t="shared" si="5"/>
        <v>0</v>
      </c>
      <c r="BG80" s="168">
        <f t="shared" si="5"/>
        <v>0</v>
      </c>
      <c r="BH80" s="168">
        <f t="shared" si="5"/>
        <v>0</v>
      </c>
      <c r="BI80" s="168">
        <f t="shared" si="5"/>
        <v>0</v>
      </c>
      <c r="BJ80" s="168">
        <f t="shared" si="5"/>
        <v>0</v>
      </c>
      <c r="BK80" s="168">
        <f t="shared" si="5"/>
        <v>0</v>
      </c>
      <c r="BL80" s="168">
        <f t="shared" si="5"/>
        <v>0</v>
      </c>
      <c r="BM80" s="168">
        <f t="shared" si="5"/>
        <v>0</v>
      </c>
      <c r="BN80" s="168">
        <f t="shared" si="5"/>
        <v>0</v>
      </c>
      <c r="BO80" s="168">
        <f t="shared" si="5"/>
        <v>0</v>
      </c>
      <c r="BP80" s="168">
        <f t="shared" si="5"/>
        <v>0</v>
      </c>
      <c r="BQ80" s="168">
        <f t="shared" si="5"/>
        <v>0</v>
      </c>
      <c r="BR80" s="168">
        <f t="shared" si="5"/>
        <v>0</v>
      </c>
      <c r="BS80" s="168">
        <f t="shared" si="5"/>
        <v>0</v>
      </c>
      <c r="BZ80" s="182" t="str">
        <f t="shared" si="6"/>
        <v>lot6</v>
      </c>
      <c r="CB80" s="168">
        <f t="shared" si="7"/>
        <v>0</v>
      </c>
      <c r="CC80" s="168">
        <f t="shared" si="7"/>
        <v>0</v>
      </c>
      <c r="CD80" s="168">
        <f t="shared" si="7"/>
        <v>0</v>
      </c>
      <c r="CE80" s="168">
        <f t="shared" si="7"/>
        <v>0</v>
      </c>
      <c r="CF80" s="168">
        <f t="shared" si="7"/>
        <v>0</v>
      </c>
      <c r="CG80" s="168">
        <f t="shared" si="7"/>
        <v>0</v>
      </c>
      <c r="CH80" s="168">
        <f t="shared" si="7"/>
        <v>0</v>
      </c>
      <c r="CI80" s="168">
        <f t="shared" si="7"/>
        <v>0</v>
      </c>
      <c r="CJ80" s="168">
        <f t="shared" si="7"/>
        <v>0</v>
      </c>
      <c r="CK80" s="168">
        <f t="shared" si="7"/>
        <v>0</v>
      </c>
      <c r="CL80" s="168">
        <f t="shared" si="7"/>
        <v>0</v>
      </c>
      <c r="CM80" s="168">
        <f t="shared" si="7"/>
        <v>0</v>
      </c>
      <c r="CN80" s="168">
        <f t="shared" si="7"/>
        <v>0</v>
      </c>
      <c r="CO80" s="168">
        <f t="shared" si="7"/>
        <v>0</v>
      </c>
      <c r="CP80" s="168">
        <f t="shared" si="7"/>
        <v>0</v>
      </c>
      <c r="CQ80" s="168">
        <f t="shared" si="7"/>
        <v>0</v>
      </c>
      <c r="CR80" s="168">
        <f t="shared" si="7"/>
        <v>0</v>
      </c>
      <c r="CS80" s="168">
        <f t="shared" si="7"/>
        <v>0</v>
      </c>
      <c r="CT80" s="168">
        <f t="shared" si="7"/>
        <v>0</v>
      </c>
      <c r="CU80" s="168">
        <f t="shared" si="7"/>
        <v>0</v>
      </c>
      <c r="CV80" s="168">
        <f t="shared" si="7"/>
        <v>0</v>
      </c>
      <c r="CW80" s="168">
        <f t="shared" si="7"/>
        <v>0</v>
      </c>
      <c r="CX80" s="168">
        <f t="shared" si="7"/>
        <v>0</v>
      </c>
      <c r="CY80" s="168">
        <f t="shared" si="7"/>
        <v>0</v>
      </c>
      <c r="DC80" s="182" t="str">
        <f t="shared" si="8"/>
        <v>lot6</v>
      </c>
      <c r="DE80" s="168">
        <f t="shared" si="9"/>
        <v>0</v>
      </c>
      <c r="DF80" s="168">
        <f t="shared" si="9"/>
        <v>0</v>
      </c>
      <c r="DG80" s="168">
        <f t="shared" si="9"/>
        <v>0</v>
      </c>
      <c r="DH80" s="168">
        <f t="shared" si="9"/>
        <v>0</v>
      </c>
      <c r="DI80" s="168">
        <f t="shared" si="9"/>
        <v>0</v>
      </c>
      <c r="DJ80" s="168">
        <f t="shared" si="9"/>
        <v>0</v>
      </c>
      <c r="DK80" s="168">
        <f t="shared" si="9"/>
        <v>0</v>
      </c>
      <c r="DL80" s="168">
        <f t="shared" si="9"/>
        <v>0</v>
      </c>
      <c r="DM80" s="168">
        <f t="shared" si="9"/>
        <v>0</v>
      </c>
      <c r="DN80" s="168">
        <f t="shared" si="9"/>
        <v>0</v>
      </c>
      <c r="DO80" s="168">
        <f t="shared" si="9"/>
        <v>0</v>
      </c>
      <c r="DP80" s="168">
        <f t="shared" si="9"/>
        <v>0</v>
      </c>
      <c r="DQ80" s="168">
        <f t="shared" si="9"/>
        <v>0</v>
      </c>
      <c r="DR80" s="168">
        <f t="shared" si="9"/>
        <v>0</v>
      </c>
      <c r="DS80" s="168">
        <f t="shared" si="9"/>
        <v>0</v>
      </c>
      <c r="DT80" s="168">
        <f t="shared" si="9"/>
        <v>0</v>
      </c>
      <c r="DU80" s="168">
        <f t="shared" si="9"/>
        <v>0</v>
      </c>
      <c r="DV80" s="168">
        <f t="shared" si="9"/>
        <v>0</v>
      </c>
      <c r="DW80" s="168">
        <f t="shared" si="9"/>
        <v>0</v>
      </c>
      <c r="DX80" s="168">
        <f t="shared" si="9"/>
        <v>0</v>
      </c>
      <c r="DY80" s="168">
        <f t="shared" si="9"/>
        <v>0</v>
      </c>
      <c r="DZ80" s="168">
        <f t="shared" si="9"/>
        <v>0</v>
      </c>
      <c r="EA80" s="168">
        <f t="shared" si="9"/>
        <v>0</v>
      </c>
      <c r="EB80" s="168">
        <f t="shared" si="9"/>
        <v>0</v>
      </c>
    </row>
    <row r="81" spans="1:132" x14ac:dyDescent="0.25">
      <c r="B81" s="14" t="s">
        <v>1148</v>
      </c>
      <c r="C81" s="168">
        <f>C74+C75</f>
        <v>35.1</v>
      </c>
      <c r="D81" s="255">
        <f>ROUND(C81*$D$82/$C$82,3)</f>
        <v>46.2</v>
      </c>
      <c r="AT81" s="182" t="str">
        <f t="shared" si="4"/>
        <v>lot7</v>
      </c>
      <c r="AV81" s="168">
        <f t="shared" si="5"/>
        <v>0</v>
      </c>
      <c r="AW81" s="168">
        <f t="shared" si="5"/>
        <v>0</v>
      </c>
      <c r="AX81" s="168">
        <f t="shared" si="5"/>
        <v>0</v>
      </c>
      <c r="AY81" s="168">
        <f t="shared" si="5"/>
        <v>0</v>
      </c>
      <c r="AZ81" s="168">
        <f t="shared" si="5"/>
        <v>0</v>
      </c>
      <c r="BA81" s="168">
        <f t="shared" si="5"/>
        <v>0</v>
      </c>
      <c r="BB81" s="168">
        <f t="shared" si="5"/>
        <v>0</v>
      </c>
      <c r="BC81" s="168">
        <f t="shared" si="5"/>
        <v>0</v>
      </c>
      <c r="BD81" s="168">
        <f t="shared" si="5"/>
        <v>0</v>
      </c>
      <c r="BE81" s="168">
        <f t="shared" si="5"/>
        <v>0</v>
      </c>
      <c r="BF81" s="168">
        <f t="shared" si="5"/>
        <v>0</v>
      </c>
      <c r="BG81" s="168">
        <f t="shared" si="5"/>
        <v>0</v>
      </c>
      <c r="BH81" s="168">
        <f t="shared" si="5"/>
        <v>0</v>
      </c>
      <c r="BI81" s="168">
        <f t="shared" si="5"/>
        <v>0</v>
      </c>
      <c r="BJ81" s="168">
        <f t="shared" si="5"/>
        <v>0</v>
      </c>
      <c r="BK81" s="168">
        <f t="shared" si="5"/>
        <v>0</v>
      </c>
      <c r="BL81" s="168">
        <f t="shared" si="5"/>
        <v>0</v>
      </c>
      <c r="BM81" s="168">
        <f t="shared" si="5"/>
        <v>0</v>
      </c>
      <c r="BN81" s="168">
        <f t="shared" si="5"/>
        <v>0</v>
      </c>
      <c r="BO81" s="168">
        <f t="shared" si="5"/>
        <v>0</v>
      </c>
      <c r="BP81" s="168">
        <f t="shared" si="5"/>
        <v>0</v>
      </c>
      <c r="BQ81" s="168">
        <f t="shared" si="5"/>
        <v>0</v>
      </c>
      <c r="BR81" s="168">
        <f t="shared" si="5"/>
        <v>0</v>
      </c>
      <c r="BS81" s="168">
        <f t="shared" si="5"/>
        <v>0</v>
      </c>
      <c r="BZ81" s="182" t="str">
        <f t="shared" si="6"/>
        <v>lot7</v>
      </c>
      <c r="CB81" s="168">
        <f t="shared" si="7"/>
        <v>0</v>
      </c>
      <c r="CC81" s="168">
        <f t="shared" si="7"/>
        <v>0</v>
      </c>
      <c r="CD81" s="168">
        <f t="shared" si="7"/>
        <v>0</v>
      </c>
      <c r="CE81" s="168">
        <f t="shared" si="7"/>
        <v>0</v>
      </c>
      <c r="CF81" s="168">
        <f t="shared" si="7"/>
        <v>0</v>
      </c>
      <c r="CG81" s="168">
        <f t="shared" si="7"/>
        <v>0</v>
      </c>
      <c r="CH81" s="168">
        <f t="shared" si="7"/>
        <v>0</v>
      </c>
      <c r="CI81" s="168">
        <f t="shared" si="7"/>
        <v>0</v>
      </c>
      <c r="CJ81" s="168">
        <f t="shared" si="7"/>
        <v>0</v>
      </c>
      <c r="CK81" s="168">
        <f t="shared" si="7"/>
        <v>0</v>
      </c>
      <c r="CL81" s="168">
        <f t="shared" si="7"/>
        <v>0</v>
      </c>
      <c r="CM81" s="168">
        <f t="shared" si="7"/>
        <v>0</v>
      </c>
      <c r="CN81" s="168">
        <f t="shared" si="7"/>
        <v>0</v>
      </c>
      <c r="CO81" s="168">
        <f t="shared" si="7"/>
        <v>0</v>
      </c>
      <c r="CP81" s="168">
        <f t="shared" si="7"/>
        <v>0</v>
      </c>
      <c r="CQ81" s="168">
        <f t="shared" si="7"/>
        <v>0</v>
      </c>
      <c r="CR81" s="168">
        <f t="shared" si="7"/>
        <v>0</v>
      </c>
      <c r="CS81" s="168">
        <f t="shared" si="7"/>
        <v>0</v>
      </c>
      <c r="CT81" s="168">
        <f t="shared" si="7"/>
        <v>0</v>
      </c>
      <c r="CU81" s="168">
        <f t="shared" si="7"/>
        <v>0</v>
      </c>
      <c r="CV81" s="168">
        <f t="shared" si="7"/>
        <v>0</v>
      </c>
      <c r="CW81" s="168">
        <f t="shared" si="7"/>
        <v>0</v>
      </c>
      <c r="CX81" s="168">
        <f t="shared" si="7"/>
        <v>0</v>
      </c>
      <c r="CY81" s="168">
        <f t="shared" si="7"/>
        <v>0</v>
      </c>
      <c r="DC81" s="182" t="str">
        <f t="shared" si="8"/>
        <v>lot7</v>
      </c>
      <c r="DE81" s="168">
        <f t="shared" si="9"/>
        <v>0</v>
      </c>
      <c r="DF81" s="168">
        <f t="shared" si="9"/>
        <v>0</v>
      </c>
      <c r="DG81" s="168">
        <f t="shared" si="9"/>
        <v>0</v>
      </c>
      <c r="DH81" s="168">
        <f t="shared" si="9"/>
        <v>0</v>
      </c>
      <c r="DI81" s="168">
        <f t="shared" si="9"/>
        <v>0</v>
      </c>
      <c r="DJ81" s="168">
        <f t="shared" si="9"/>
        <v>0</v>
      </c>
      <c r="DK81" s="168">
        <f t="shared" si="9"/>
        <v>0</v>
      </c>
      <c r="DL81" s="168">
        <f t="shared" si="9"/>
        <v>0</v>
      </c>
      <c r="DM81" s="168">
        <f t="shared" si="9"/>
        <v>0</v>
      </c>
      <c r="DN81" s="168">
        <f t="shared" si="9"/>
        <v>0</v>
      </c>
      <c r="DO81" s="168">
        <f t="shared" si="9"/>
        <v>0</v>
      </c>
      <c r="DP81" s="168">
        <f t="shared" si="9"/>
        <v>0</v>
      </c>
      <c r="DQ81" s="168">
        <f t="shared" si="9"/>
        <v>0</v>
      </c>
      <c r="DR81" s="168">
        <f t="shared" si="9"/>
        <v>0</v>
      </c>
      <c r="DS81" s="168">
        <f t="shared" si="9"/>
        <v>0</v>
      </c>
      <c r="DT81" s="168">
        <f t="shared" si="9"/>
        <v>0</v>
      </c>
      <c r="DU81" s="168">
        <f t="shared" si="9"/>
        <v>0</v>
      </c>
      <c r="DV81" s="168">
        <f t="shared" si="9"/>
        <v>0</v>
      </c>
      <c r="DW81" s="168">
        <f t="shared" si="9"/>
        <v>0</v>
      </c>
      <c r="DX81" s="168">
        <f t="shared" si="9"/>
        <v>0</v>
      </c>
      <c r="DY81" s="168">
        <f t="shared" si="9"/>
        <v>0</v>
      </c>
      <c r="DZ81" s="168">
        <f t="shared" si="9"/>
        <v>0</v>
      </c>
      <c r="EA81" s="168">
        <f t="shared" si="9"/>
        <v>0</v>
      </c>
      <c r="EB81" s="168">
        <f t="shared" si="9"/>
        <v>0</v>
      </c>
    </row>
    <row r="82" spans="1:132" x14ac:dyDescent="0.25">
      <c r="B82" s="14" t="s">
        <v>1149</v>
      </c>
      <c r="C82" s="168">
        <f>C81+C80</f>
        <v>35.1</v>
      </c>
      <c r="D82" s="80">
        <v>46.2</v>
      </c>
      <c r="E82" s="85" t="s">
        <v>1150</v>
      </c>
      <c r="AT82" s="182" t="str">
        <f t="shared" si="4"/>
        <v>lot8</v>
      </c>
      <c r="AV82" s="168">
        <f t="shared" si="5"/>
        <v>0</v>
      </c>
      <c r="AW82" s="168">
        <f t="shared" si="5"/>
        <v>0</v>
      </c>
      <c r="AX82" s="168">
        <f t="shared" si="5"/>
        <v>0</v>
      </c>
      <c r="AY82" s="168">
        <f t="shared" si="5"/>
        <v>0</v>
      </c>
      <c r="AZ82" s="168">
        <f t="shared" si="5"/>
        <v>0</v>
      </c>
      <c r="BA82" s="168">
        <f t="shared" si="5"/>
        <v>0</v>
      </c>
      <c r="BB82" s="168">
        <f t="shared" si="5"/>
        <v>0</v>
      </c>
      <c r="BC82" s="168">
        <f t="shared" si="5"/>
        <v>0</v>
      </c>
      <c r="BD82" s="168">
        <f t="shared" si="5"/>
        <v>0</v>
      </c>
      <c r="BE82" s="168">
        <f t="shared" si="5"/>
        <v>0</v>
      </c>
      <c r="BF82" s="168">
        <f t="shared" si="5"/>
        <v>0</v>
      </c>
      <c r="BG82" s="168">
        <f t="shared" si="5"/>
        <v>0</v>
      </c>
      <c r="BH82" s="168">
        <f t="shared" si="5"/>
        <v>0</v>
      </c>
      <c r="BI82" s="168">
        <f t="shared" si="5"/>
        <v>0</v>
      </c>
      <c r="BJ82" s="168">
        <f t="shared" si="5"/>
        <v>0</v>
      </c>
      <c r="BK82" s="168">
        <f t="shared" si="5"/>
        <v>0</v>
      </c>
      <c r="BL82" s="168">
        <f t="shared" si="5"/>
        <v>0</v>
      </c>
      <c r="BM82" s="168">
        <f t="shared" si="5"/>
        <v>0</v>
      </c>
      <c r="BN82" s="168">
        <f t="shared" si="5"/>
        <v>0</v>
      </c>
      <c r="BO82" s="168">
        <f t="shared" si="5"/>
        <v>0</v>
      </c>
      <c r="BP82" s="168">
        <f t="shared" si="5"/>
        <v>0</v>
      </c>
      <c r="BQ82" s="168">
        <f t="shared" si="5"/>
        <v>0</v>
      </c>
      <c r="BR82" s="168">
        <f t="shared" si="5"/>
        <v>0</v>
      </c>
      <c r="BS82" s="168">
        <f t="shared" si="5"/>
        <v>0</v>
      </c>
      <c r="BZ82" s="182" t="str">
        <f t="shared" si="6"/>
        <v>lot8</v>
      </c>
      <c r="CB82" s="168">
        <f t="shared" si="7"/>
        <v>0</v>
      </c>
      <c r="CC82" s="168">
        <f t="shared" si="7"/>
        <v>0</v>
      </c>
      <c r="CD82" s="168">
        <f t="shared" si="7"/>
        <v>0</v>
      </c>
      <c r="CE82" s="168">
        <f t="shared" si="7"/>
        <v>0</v>
      </c>
      <c r="CF82" s="168">
        <f t="shared" si="7"/>
        <v>0</v>
      </c>
      <c r="CG82" s="168">
        <f t="shared" si="7"/>
        <v>0</v>
      </c>
      <c r="CH82" s="168">
        <f t="shared" si="7"/>
        <v>0</v>
      </c>
      <c r="CI82" s="168">
        <f t="shared" si="7"/>
        <v>0</v>
      </c>
      <c r="CJ82" s="168">
        <f t="shared" si="7"/>
        <v>0</v>
      </c>
      <c r="CK82" s="168">
        <f t="shared" si="7"/>
        <v>0</v>
      </c>
      <c r="CL82" s="168">
        <f t="shared" si="7"/>
        <v>0</v>
      </c>
      <c r="CM82" s="168">
        <f t="shared" si="7"/>
        <v>0</v>
      </c>
      <c r="CN82" s="168">
        <f t="shared" si="7"/>
        <v>0</v>
      </c>
      <c r="CO82" s="168">
        <f t="shared" si="7"/>
        <v>0</v>
      </c>
      <c r="CP82" s="168">
        <f t="shared" si="7"/>
        <v>0</v>
      </c>
      <c r="CQ82" s="168">
        <f t="shared" si="7"/>
        <v>0</v>
      </c>
      <c r="CR82" s="168">
        <f t="shared" si="7"/>
        <v>0</v>
      </c>
      <c r="CS82" s="168">
        <f t="shared" si="7"/>
        <v>0</v>
      </c>
      <c r="CT82" s="168">
        <f t="shared" si="7"/>
        <v>0</v>
      </c>
      <c r="CU82" s="168">
        <f t="shared" si="7"/>
        <v>0</v>
      </c>
      <c r="CV82" s="168">
        <f t="shared" si="7"/>
        <v>0</v>
      </c>
      <c r="CW82" s="168">
        <f t="shared" si="7"/>
        <v>0</v>
      </c>
      <c r="CX82" s="168">
        <f t="shared" si="7"/>
        <v>0</v>
      </c>
      <c r="CY82" s="168">
        <f t="shared" si="7"/>
        <v>0</v>
      </c>
      <c r="DC82" s="182" t="str">
        <f t="shared" si="8"/>
        <v>lot8</v>
      </c>
      <c r="DE82" s="168">
        <f t="shared" si="9"/>
        <v>0</v>
      </c>
      <c r="DF82" s="168">
        <f t="shared" si="9"/>
        <v>0</v>
      </c>
      <c r="DG82" s="168">
        <f t="shared" si="9"/>
        <v>0</v>
      </c>
      <c r="DH82" s="168">
        <f t="shared" si="9"/>
        <v>0</v>
      </c>
      <c r="DI82" s="168">
        <f t="shared" si="9"/>
        <v>0</v>
      </c>
      <c r="DJ82" s="168">
        <f t="shared" si="9"/>
        <v>0</v>
      </c>
      <c r="DK82" s="168">
        <f t="shared" si="9"/>
        <v>0</v>
      </c>
      <c r="DL82" s="168">
        <f t="shared" si="9"/>
        <v>0</v>
      </c>
      <c r="DM82" s="168">
        <f t="shared" si="9"/>
        <v>0</v>
      </c>
      <c r="DN82" s="168">
        <f t="shared" si="9"/>
        <v>0</v>
      </c>
      <c r="DO82" s="168">
        <f t="shared" si="9"/>
        <v>0</v>
      </c>
      <c r="DP82" s="168">
        <f t="shared" si="9"/>
        <v>0</v>
      </c>
      <c r="DQ82" s="168">
        <f t="shared" si="9"/>
        <v>0</v>
      </c>
      <c r="DR82" s="168">
        <f t="shared" si="9"/>
        <v>0</v>
      </c>
      <c r="DS82" s="168">
        <f t="shared" si="9"/>
        <v>0</v>
      </c>
      <c r="DT82" s="168">
        <f t="shared" si="9"/>
        <v>0</v>
      </c>
      <c r="DU82" s="168">
        <f t="shared" si="9"/>
        <v>0</v>
      </c>
      <c r="DV82" s="168">
        <f t="shared" si="9"/>
        <v>0</v>
      </c>
      <c r="DW82" s="168">
        <f t="shared" si="9"/>
        <v>0</v>
      </c>
      <c r="DX82" s="168">
        <f t="shared" si="9"/>
        <v>0</v>
      </c>
      <c r="DY82" s="168">
        <f t="shared" si="9"/>
        <v>0</v>
      </c>
      <c r="DZ82" s="168">
        <f t="shared" si="9"/>
        <v>0</v>
      </c>
      <c r="EA82" s="168">
        <f t="shared" si="9"/>
        <v>0</v>
      </c>
      <c r="EB82" s="168">
        <f t="shared" si="9"/>
        <v>0</v>
      </c>
    </row>
    <row r="83" spans="1:132" x14ac:dyDescent="0.25">
      <c r="B83" s="14" t="s">
        <v>1380</v>
      </c>
      <c r="C83" s="168">
        <f>Scénario!K4+Scénario!K6</f>
        <v>1</v>
      </c>
      <c r="D83" s="80">
        <v>1</v>
      </c>
      <c r="E83" s="85"/>
      <c r="AT83" s="182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Z83" s="182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DC83" s="182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8"/>
    </row>
    <row r="84" spans="1:132" x14ac:dyDescent="0.25">
      <c r="B84" s="14" t="s">
        <v>1151</v>
      </c>
      <c r="C84" s="168">
        <f>ROUND(C70/C82,3)</f>
        <v>1.28</v>
      </c>
      <c r="D84" s="168">
        <f>ROUND(D70/D82,3)</f>
        <v>1.28</v>
      </c>
      <c r="AT84" s="182" t="str">
        <f t="shared" ref="AT84:AT85" si="10">AT95</f>
        <v>lot9</v>
      </c>
      <c r="AV84" s="168">
        <f t="shared" ref="AV84:BS85" si="11">IF(AV72&gt;0,1,0)</f>
        <v>0</v>
      </c>
      <c r="AW84" s="168">
        <f t="shared" si="11"/>
        <v>0</v>
      </c>
      <c r="AX84" s="168">
        <f t="shared" si="11"/>
        <v>0</v>
      </c>
      <c r="AY84" s="168">
        <f t="shared" si="11"/>
        <v>0</v>
      </c>
      <c r="AZ84" s="168">
        <f t="shared" si="11"/>
        <v>0</v>
      </c>
      <c r="BA84" s="168">
        <f t="shared" si="11"/>
        <v>0</v>
      </c>
      <c r="BB84" s="168">
        <f t="shared" si="11"/>
        <v>0</v>
      </c>
      <c r="BC84" s="168">
        <f t="shared" si="11"/>
        <v>0</v>
      </c>
      <c r="BD84" s="168">
        <f t="shared" si="11"/>
        <v>0</v>
      </c>
      <c r="BE84" s="168">
        <f t="shared" si="11"/>
        <v>0</v>
      </c>
      <c r="BF84" s="168">
        <f t="shared" si="11"/>
        <v>0</v>
      </c>
      <c r="BG84" s="168">
        <f t="shared" si="11"/>
        <v>0</v>
      </c>
      <c r="BH84" s="168">
        <f t="shared" si="11"/>
        <v>0</v>
      </c>
      <c r="BI84" s="168">
        <f t="shared" si="11"/>
        <v>0</v>
      </c>
      <c r="BJ84" s="168">
        <f t="shared" si="11"/>
        <v>0</v>
      </c>
      <c r="BK84" s="168">
        <f t="shared" si="11"/>
        <v>0</v>
      </c>
      <c r="BL84" s="168">
        <f t="shared" si="11"/>
        <v>0</v>
      </c>
      <c r="BM84" s="168">
        <f t="shared" si="11"/>
        <v>0</v>
      </c>
      <c r="BN84" s="168">
        <f t="shared" si="11"/>
        <v>0</v>
      </c>
      <c r="BO84" s="168">
        <f t="shared" si="11"/>
        <v>0</v>
      </c>
      <c r="BP84" s="168">
        <f t="shared" si="11"/>
        <v>0</v>
      </c>
      <c r="BQ84" s="168">
        <f t="shared" si="11"/>
        <v>0</v>
      </c>
      <c r="BR84" s="168">
        <f t="shared" si="11"/>
        <v>0</v>
      </c>
      <c r="BS84" s="168">
        <f t="shared" si="11"/>
        <v>0</v>
      </c>
      <c r="BZ84" s="182" t="str">
        <f>+BZ72</f>
        <v>lot9</v>
      </c>
      <c r="CB84" s="168">
        <f t="shared" ref="CB84:CY85" si="12">IF(CB72&gt;0,1,0)</f>
        <v>0</v>
      </c>
      <c r="CC84" s="168">
        <f t="shared" si="12"/>
        <v>0</v>
      </c>
      <c r="CD84" s="168">
        <f t="shared" si="12"/>
        <v>0</v>
      </c>
      <c r="CE84" s="168">
        <f t="shared" si="12"/>
        <v>0</v>
      </c>
      <c r="CF84" s="168">
        <f t="shared" si="12"/>
        <v>0</v>
      </c>
      <c r="CG84" s="168">
        <f t="shared" si="12"/>
        <v>0</v>
      </c>
      <c r="CH84" s="168">
        <f t="shared" si="12"/>
        <v>0</v>
      </c>
      <c r="CI84" s="168">
        <f t="shared" si="12"/>
        <v>0</v>
      </c>
      <c r="CJ84" s="168">
        <f t="shared" si="12"/>
        <v>0</v>
      </c>
      <c r="CK84" s="168">
        <f t="shared" si="12"/>
        <v>0</v>
      </c>
      <c r="CL84" s="168">
        <f t="shared" si="12"/>
        <v>0</v>
      </c>
      <c r="CM84" s="168">
        <f t="shared" si="12"/>
        <v>0</v>
      </c>
      <c r="CN84" s="168">
        <f t="shared" si="12"/>
        <v>0</v>
      </c>
      <c r="CO84" s="168">
        <f t="shared" si="12"/>
        <v>0</v>
      </c>
      <c r="CP84" s="168">
        <f t="shared" si="12"/>
        <v>0</v>
      </c>
      <c r="CQ84" s="168">
        <f t="shared" si="12"/>
        <v>0</v>
      </c>
      <c r="CR84" s="168">
        <f t="shared" si="12"/>
        <v>0</v>
      </c>
      <c r="CS84" s="168">
        <f t="shared" si="12"/>
        <v>0</v>
      </c>
      <c r="CT84" s="168">
        <f t="shared" si="12"/>
        <v>0</v>
      </c>
      <c r="CU84" s="168">
        <f t="shared" si="12"/>
        <v>0</v>
      </c>
      <c r="CV84" s="168">
        <f t="shared" si="12"/>
        <v>0</v>
      </c>
      <c r="CW84" s="168">
        <f t="shared" si="12"/>
        <v>0</v>
      </c>
      <c r="CX84" s="168">
        <f t="shared" si="12"/>
        <v>0</v>
      </c>
      <c r="CY84" s="168">
        <f t="shared" si="12"/>
        <v>0</v>
      </c>
      <c r="DC84" s="182" t="str">
        <f>+DC72</f>
        <v>lot9</v>
      </c>
      <c r="DE84" s="168">
        <f t="shared" ref="DE84:EB85" si="13">IF(DE72&gt;0,1,0)</f>
        <v>0</v>
      </c>
      <c r="DF84" s="168">
        <f t="shared" si="13"/>
        <v>0</v>
      </c>
      <c r="DG84" s="168">
        <f t="shared" si="13"/>
        <v>0</v>
      </c>
      <c r="DH84" s="168">
        <f t="shared" si="13"/>
        <v>0</v>
      </c>
      <c r="DI84" s="168">
        <f t="shared" si="13"/>
        <v>0</v>
      </c>
      <c r="DJ84" s="168">
        <f t="shared" si="13"/>
        <v>0</v>
      </c>
      <c r="DK84" s="168">
        <f t="shared" si="13"/>
        <v>0</v>
      </c>
      <c r="DL84" s="168">
        <f t="shared" si="13"/>
        <v>0</v>
      </c>
      <c r="DM84" s="168">
        <f t="shared" si="13"/>
        <v>0</v>
      </c>
      <c r="DN84" s="168">
        <f t="shared" si="13"/>
        <v>0</v>
      </c>
      <c r="DO84" s="168">
        <f t="shared" si="13"/>
        <v>0</v>
      </c>
      <c r="DP84" s="168">
        <f t="shared" si="13"/>
        <v>0</v>
      </c>
      <c r="DQ84" s="168">
        <f t="shared" si="13"/>
        <v>0</v>
      </c>
      <c r="DR84" s="168">
        <f t="shared" si="13"/>
        <v>0</v>
      </c>
      <c r="DS84" s="168">
        <f t="shared" si="13"/>
        <v>0</v>
      </c>
      <c r="DT84" s="168">
        <f t="shared" si="13"/>
        <v>0</v>
      </c>
      <c r="DU84" s="168">
        <f t="shared" si="13"/>
        <v>0</v>
      </c>
      <c r="DV84" s="168">
        <f t="shared" si="13"/>
        <v>0</v>
      </c>
      <c r="DW84" s="168">
        <f t="shared" si="13"/>
        <v>0</v>
      </c>
      <c r="DX84" s="168">
        <f t="shared" si="13"/>
        <v>0</v>
      </c>
      <c r="DY84" s="168">
        <f t="shared" si="13"/>
        <v>0</v>
      </c>
      <c r="DZ84" s="168">
        <f t="shared" si="13"/>
        <v>0</v>
      </c>
      <c r="EA84" s="168">
        <f t="shared" si="13"/>
        <v>0</v>
      </c>
      <c r="EB84" s="168">
        <f t="shared" si="13"/>
        <v>0</v>
      </c>
    </row>
    <row r="85" spans="1:132" x14ac:dyDescent="0.25">
      <c r="A85" s="2" t="s">
        <v>1152</v>
      </c>
      <c r="B85" s="14" t="s">
        <v>1153</v>
      </c>
      <c r="C85" s="168">
        <f>'Calcul éco'!$U$228</f>
        <v>21.58</v>
      </c>
      <c r="D85" s="258">
        <f>ROUND(C85*$D$82/$C$82,3)</f>
        <v>28.404</v>
      </c>
      <c r="AT85" s="182" t="str">
        <f t="shared" si="10"/>
        <v>lot10</v>
      </c>
      <c r="AV85" s="168">
        <f t="shared" si="11"/>
        <v>0</v>
      </c>
      <c r="AW85" s="168">
        <f t="shared" si="11"/>
        <v>0</v>
      </c>
      <c r="AX85" s="168">
        <f t="shared" si="11"/>
        <v>0</v>
      </c>
      <c r="AY85" s="168">
        <f t="shared" si="11"/>
        <v>0</v>
      </c>
      <c r="AZ85" s="168">
        <f t="shared" si="11"/>
        <v>0</v>
      </c>
      <c r="BA85" s="168">
        <f t="shared" si="11"/>
        <v>0</v>
      </c>
      <c r="BB85" s="168">
        <f t="shared" si="11"/>
        <v>0</v>
      </c>
      <c r="BC85" s="168">
        <f t="shared" si="11"/>
        <v>0</v>
      </c>
      <c r="BD85" s="168">
        <f t="shared" si="11"/>
        <v>0</v>
      </c>
      <c r="BE85" s="168">
        <f t="shared" si="11"/>
        <v>0</v>
      </c>
      <c r="BF85" s="168">
        <f t="shared" si="11"/>
        <v>0</v>
      </c>
      <c r="BG85" s="168">
        <f t="shared" si="11"/>
        <v>0</v>
      </c>
      <c r="BH85" s="168">
        <f t="shared" si="11"/>
        <v>0</v>
      </c>
      <c r="BI85" s="168">
        <f t="shared" si="11"/>
        <v>0</v>
      </c>
      <c r="BJ85" s="168">
        <f t="shared" si="11"/>
        <v>0</v>
      </c>
      <c r="BK85" s="168">
        <f t="shared" si="11"/>
        <v>0</v>
      </c>
      <c r="BL85" s="168">
        <f t="shared" si="11"/>
        <v>0</v>
      </c>
      <c r="BM85" s="168">
        <f t="shared" si="11"/>
        <v>0</v>
      </c>
      <c r="BN85" s="168">
        <f t="shared" si="11"/>
        <v>0</v>
      </c>
      <c r="BO85" s="168">
        <f t="shared" si="11"/>
        <v>0</v>
      </c>
      <c r="BP85" s="168">
        <f t="shared" si="11"/>
        <v>0</v>
      </c>
      <c r="BQ85" s="168">
        <f t="shared" si="11"/>
        <v>0</v>
      </c>
      <c r="BR85" s="168">
        <f t="shared" si="11"/>
        <v>0</v>
      </c>
      <c r="BS85" s="168">
        <f t="shared" si="11"/>
        <v>0</v>
      </c>
      <c r="BZ85" s="182" t="str">
        <f>+BZ73</f>
        <v>lot10</v>
      </c>
      <c r="CB85" s="168">
        <f t="shared" si="12"/>
        <v>0</v>
      </c>
      <c r="CC85" s="168">
        <f t="shared" si="12"/>
        <v>0</v>
      </c>
      <c r="CD85" s="168">
        <f t="shared" si="12"/>
        <v>0</v>
      </c>
      <c r="CE85" s="168">
        <f t="shared" si="12"/>
        <v>0</v>
      </c>
      <c r="CF85" s="168">
        <f t="shared" si="12"/>
        <v>0</v>
      </c>
      <c r="CG85" s="168">
        <f t="shared" si="12"/>
        <v>0</v>
      </c>
      <c r="CH85" s="168">
        <f t="shared" si="12"/>
        <v>0</v>
      </c>
      <c r="CI85" s="168">
        <f t="shared" si="12"/>
        <v>0</v>
      </c>
      <c r="CJ85" s="168">
        <f t="shared" si="12"/>
        <v>0</v>
      </c>
      <c r="CK85" s="168">
        <f t="shared" si="12"/>
        <v>0</v>
      </c>
      <c r="CL85" s="168">
        <f t="shared" si="12"/>
        <v>0</v>
      </c>
      <c r="CM85" s="168">
        <f t="shared" si="12"/>
        <v>0</v>
      </c>
      <c r="CN85" s="168">
        <f t="shared" si="12"/>
        <v>0</v>
      </c>
      <c r="CO85" s="168">
        <f t="shared" si="12"/>
        <v>0</v>
      </c>
      <c r="CP85" s="168">
        <f t="shared" si="12"/>
        <v>0</v>
      </c>
      <c r="CQ85" s="168">
        <f t="shared" si="12"/>
        <v>0</v>
      </c>
      <c r="CR85" s="168">
        <f t="shared" si="12"/>
        <v>0</v>
      </c>
      <c r="CS85" s="168">
        <f t="shared" si="12"/>
        <v>0</v>
      </c>
      <c r="CT85" s="168">
        <f t="shared" si="12"/>
        <v>0</v>
      </c>
      <c r="CU85" s="168">
        <f t="shared" si="12"/>
        <v>0</v>
      </c>
      <c r="CV85" s="168">
        <f t="shared" si="12"/>
        <v>0</v>
      </c>
      <c r="CW85" s="168">
        <f t="shared" si="12"/>
        <v>0</v>
      </c>
      <c r="CX85" s="168">
        <f t="shared" si="12"/>
        <v>0</v>
      </c>
      <c r="CY85" s="168">
        <f t="shared" si="12"/>
        <v>0</v>
      </c>
      <c r="DC85" s="182" t="str">
        <f>+DC73</f>
        <v>lot10</v>
      </c>
      <c r="DE85" s="168">
        <f t="shared" si="13"/>
        <v>0</v>
      </c>
      <c r="DF85" s="168">
        <f t="shared" si="13"/>
        <v>0</v>
      </c>
      <c r="DG85" s="168">
        <f t="shared" si="13"/>
        <v>0</v>
      </c>
      <c r="DH85" s="168">
        <f t="shared" si="13"/>
        <v>0</v>
      </c>
      <c r="DI85" s="168">
        <f t="shared" si="13"/>
        <v>0</v>
      </c>
      <c r="DJ85" s="168">
        <f t="shared" si="13"/>
        <v>0</v>
      </c>
      <c r="DK85" s="168">
        <f t="shared" si="13"/>
        <v>0</v>
      </c>
      <c r="DL85" s="168">
        <f t="shared" si="13"/>
        <v>0</v>
      </c>
      <c r="DM85" s="168">
        <f t="shared" si="13"/>
        <v>0</v>
      </c>
      <c r="DN85" s="168">
        <f t="shared" si="13"/>
        <v>0</v>
      </c>
      <c r="DO85" s="168">
        <f t="shared" si="13"/>
        <v>0</v>
      </c>
      <c r="DP85" s="168">
        <f t="shared" si="13"/>
        <v>0</v>
      </c>
      <c r="DQ85" s="168">
        <f t="shared" si="13"/>
        <v>0</v>
      </c>
      <c r="DR85" s="168">
        <f t="shared" si="13"/>
        <v>0</v>
      </c>
      <c r="DS85" s="168">
        <f t="shared" si="13"/>
        <v>0</v>
      </c>
      <c r="DT85" s="168">
        <f t="shared" si="13"/>
        <v>0</v>
      </c>
      <c r="DU85" s="168">
        <f t="shared" si="13"/>
        <v>0</v>
      </c>
      <c r="DV85" s="168">
        <f t="shared" si="13"/>
        <v>0</v>
      </c>
      <c r="DW85" s="168">
        <f t="shared" si="13"/>
        <v>0</v>
      </c>
      <c r="DX85" s="168">
        <f t="shared" si="13"/>
        <v>0</v>
      </c>
      <c r="DY85" s="168">
        <f t="shared" si="13"/>
        <v>0</v>
      </c>
      <c r="DZ85" s="168">
        <f t="shared" si="13"/>
        <v>0</v>
      </c>
      <c r="EA85" s="168">
        <f t="shared" si="13"/>
        <v>0</v>
      </c>
      <c r="EB85" s="168">
        <f t="shared" si="13"/>
        <v>0</v>
      </c>
    </row>
    <row r="86" spans="1:132" x14ac:dyDescent="0.25">
      <c r="B86" s="14" t="s">
        <v>1154</v>
      </c>
      <c r="C86" s="168">
        <f>'Calcul éco'!$V$228</f>
        <v>4.42</v>
      </c>
      <c r="D86" s="258">
        <f t="shared" ref="D86:D97" si="14">ROUND(C86*$D$82/$C$82,3)</f>
        <v>5.8179999999999996</v>
      </c>
      <c r="AT86" s="184" t="s">
        <v>745</v>
      </c>
      <c r="AU86" s="177"/>
      <c r="AV86" s="268"/>
      <c r="AW86" s="268"/>
      <c r="AX86" s="268"/>
      <c r="AY86" s="268"/>
      <c r="AZ86" s="268"/>
      <c r="BA86" s="268"/>
      <c r="BB86" s="268"/>
      <c r="BC86" s="268"/>
      <c r="BD86" s="268"/>
      <c r="BE86" s="268"/>
      <c r="BF86" s="268"/>
      <c r="BG86" s="268"/>
      <c r="BH86" s="268"/>
      <c r="BI86" s="268"/>
      <c r="BJ86" s="268"/>
      <c r="BK86" s="268"/>
      <c r="BL86" s="268"/>
      <c r="BM86" s="268"/>
      <c r="BN86" s="268"/>
      <c r="BO86" s="268"/>
      <c r="BP86" s="268"/>
      <c r="BQ86" s="268"/>
      <c r="BR86" s="268"/>
      <c r="BS86" s="268"/>
      <c r="BZ86" s="184" t="s">
        <v>745</v>
      </c>
      <c r="CA86" s="177"/>
      <c r="CB86" s="268"/>
      <c r="CC86" s="268"/>
      <c r="CD86" s="268"/>
      <c r="CE86" s="268"/>
      <c r="CF86" s="268"/>
      <c r="CG86" s="268"/>
      <c r="CH86" s="268"/>
      <c r="CI86" s="268"/>
      <c r="CJ86" s="268"/>
      <c r="CK86" s="268"/>
      <c r="CL86" s="268"/>
      <c r="CM86" s="268"/>
      <c r="CN86" s="268"/>
      <c r="CO86" s="268"/>
      <c r="CP86" s="268"/>
      <c r="CQ86" s="268"/>
      <c r="CR86" s="268"/>
      <c r="CS86" s="268"/>
      <c r="CT86" s="268"/>
      <c r="CU86" s="268"/>
      <c r="CV86" s="268"/>
      <c r="CW86" s="268"/>
      <c r="CX86" s="268"/>
      <c r="CY86" s="268"/>
      <c r="DC86" s="184" t="s">
        <v>745</v>
      </c>
      <c r="DD86" s="177"/>
      <c r="DE86" s="268"/>
      <c r="DF86" s="268"/>
      <c r="DG86" s="268"/>
      <c r="DH86" s="268"/>
      <c r="DI86" s="268"/>
      <c r="DJ86" s="268"/>
      <c r="DK86" s="268"/>
      <c r="DL86" s="268"/>
      <c r="DM86" s="268"/>
      <c r="DN86" s="268"/>
      <c r="DO86" s="268"/>
      <c r="DP86" s="268"/>
      <c r="DQ86" s="268"/>
      <c r="DR86" s="268"/>
      <c r="DS86" s="268"/>
      <c r="DT86" s="268"/>
      <c r="DU86" s="268"/>
      <c r="DV86" s="268"/>
      <c r="DW86" s="268"/>
      <c r="DX86" s="268"/>
      <c r="DY86" s="268"/>
      <c r="DZ86" s="268"/>
      <c r="EA86" s="268"/>
      <c r="EB86" s="268"/>
    </row>
    <row r="87" spans="1:132" x14ac:dyDescent="0.25">
      <c r="B87" s="14" t="s">
        <v>1155</v>
      </c>
      <c r="C87" s="168">
        <f>'Calcul éco'!$W$228</f>
        <v>0</v>
      </c>
      <c r="D87" s="258">
        <f t="shared" si="14"/>
        <v>0</v>
      </c>
      <c r="AT87" s="182" t="str">
        <f>CdTrp1!A15</f>
        <v xml:space="preserve">Vaches </v>
      </c>
      <c r="AU87" s="185" t="str">
        <f>Scénario!K96</f>
        <v>fort</v>
      </c>
      <c r="AV87" s="168">
        <f t="shared" ref="AV87:BK96" si="15">IF($AU87="fort",2,IF($AU87="faible",1,0))</f>
        <v>2</v>
      </c>
      <c r="AW87" s="168">
        <f t="shared" si="15"/>
        <v>2</v>
      </c>
      <c r="AX87" s="168">
        <f t="shared" si="15"/>
        <v>2</v>
      </c>
      <c r="AY87" s="168">
        <f t="shared" si="15"/>
        <v>2</v>
      </c>
      <c r="AZ87" s="168">
        <f t="shared" si="15"/>
        <v>2</v>
      </c>
      <c r="BA87" s="168">
        <f t="shared" si="15"/>
        <v>2</v>
      </c>
      <c r="BB87" s="168">
        <f t="shared" si="15"/>
        <v>2</v>
      </c>
      <c r="BC87" s="168">
        <f t="shared" si="15"/>
        <v>2</v>
      </c>
      <c r="BD87" s="168">
        <f t="shared" si="15"/>
        <v>2</v>
      </c>
      <c r="BE87" s="168">
        <f t="shared" si="15"/>
        <v>2</v>
      </c>
      <c r="BF87" s="168">
        <f t="shared" si="15"/>
        <v>2</v>
      </c>
      <c r="BG87" s="168">
        <f t="shared" si="15"/>
        <v>2</v>
      </c>
      <c r="BH87" s="168">
        <f t="shared" si="15"/>
        <v>2</v>
      </c>
      <c r="BI87" s="168">
        <f t="shared" si="15"/>
        <v>2</v>
      </c>
      <c r="BJ87" s="168">
        <f t="shared" si="15"/>
        <v>2</v>
      </c>
      <c r="BK87" s="168">
        <f t="shared" si="15"/>
        <v>2</v>
      </c>
      <c r="BL87" s="168">
        <f t="shared" ref="BL87:BS96" si="16">IF($AU87="fort",2,IF($AU87="faible",1,0))</f>
        <v>2</v>
      </c>
      <c r="BM87" s="168">
        <f t="shared" si="16"/>
        <v>2</v>
      </c>
      <c r="BN87" s="168">
        <f t="shared" si="16"/>
        <v>2</v>
      </c>
      <c r="BO87" s="168">
        <f t="shared" si="16"/>
        <v>2</v>
      </c>
      <c r="BP87" s="168">
        <f t="shared" si="16"/>
        <v>2</v>
      </c>
      <c r="BQ87" s="168">
        <f t="shared" si="16"/>
        <v>2</v>
      </c>
      <c r="BR87" s="168">
        <f t="shared" si="16"/>
        <v>2</v>
      </c>
      <c r="BS87" s="168">
        <f t="shared" si="16"/>
        <v>2</v>
      </c>
      <c r="BV87" t="s">
        <v>746</v>
      </c>
      <c r="BZ87" s="182" t="str">
        <f t="shared" ref="BZ87:BZ96" si="17">+BZ64</f>
        <v>lot1</v>
      </c>
      <c r="CA87" s="185">
        <f>Scénario!K106</f>
        <v>0</v>
      </c>
      <c r="CB87" s="168">
        <f>IF($CA87="fort",2,IF($AU87="faible",1,0))</f>
        <v>0</v>
      </c>
      <c r="CC87" s="168">
        <f t="shared" ref="CC87:CY96" si="18">IF($CA87="fort",2,IF($AU87="faible",1,0))</f>
        <v>0</v>
      </c>
      <c r="CD87" s="168">
        <f t="shared" si="18"/>
        <v>0</v>
      </c>
      <c r="CE87" s="168">
        <f t="shared" si="18"/>
        <v>0</v>
      </c>
      <c r="CF87" s="168">
        <f t="shared" si="18"/>
        <v>0</v>
      </c>
      <c r="CG87" s="168">
        <f t="shared" si="18"/>
        <v>0</v>
      </c>
      <c r="CH87" s="168">
        <f t="shared" si="18"/>
        <v>0</v>
      </c>
      <c r="CI87" s="168">
        <f t="shared" si="18"/>
        <v>0</v>
      </c>
      <c r="CJ87" s="168">
        <f t="shared" si="18"/>
        <v>0</v>
      </c>
      <c r="CK87" s="168">
        <f t="shared" si="18"/>
        <v>0</v>
      </c>
      <c r="CL87" s="168">
        <f t="shared" si="18"/>
        <v>0</v>
      </c>
      <c r="CM87" s="168">
        <f t="shared" si="18"/>
        <v>0</v>
      </c>
      <c r="CN87" s="168">
        <f t="shared" si="18"/>
        <v>0</v>
      </c>
      <c r="CO87" s="168">
        <f t="shared" si="18"/>
        <v>0</v>
      </c>
      <c r="CP87" s="168">
        <f t="shared" si="18"/>
        <v>0</v>
      </c>
      <c r="CQ87" s="168">
        <f t="shared" si="18"/>
        <v>0</v>
      </c>
      <c r="CR87" s="168">
        <f t="shared" si="18"/>
        <v>0</v>
      </c>
      <c r="CS87" s="168">
        <f t="shared" si="18"/>
        <v>0</v>
      </c>
      <c r="CT87" s="168">
        <f t="shared" si="18"/>
        <v>0</v>
      </c>
      <c r="CU87" s="168">
        <f t="shared" si="18"/>
        <v>0</v>
      </c>
      <c r="CV87" s="168">
        <f t="shared" si="18"/>
        <v>0</v>
      </c>
      <c r="CW87" s="168">
        <f t="shared" si="18"/>
        <v>0</v>
      </c>
      <c r="CX87" s="168">
        <f t="shared" si="18"/>
        <v>0</v>
      </c>
      <c r="CY87" s="168">
        <f t="shared" si="18"/>
        <v>0</v>
      </c>
      <c r="DC87" s="182" t="str">
        <f t="shared" ref="DC87:DC96" si="19">+DC64</f>
        <v>lot1</v>
      </c>
      <c r="DD87" s="185">
        <f>Scénario!K116</f>
        <v>0</v>
      </c>
      <c r="DE87" s="168">
        <f>IF($DD87="fort",2,IF($DD87="faible",1,0))</f>
        <v>0</v>
      </c>
      <c r="DF87" s="168">
        <f t="shared" ref="DF87:EB96" si="20">IF($DD87="fort",2,IF($DD87="faible",1,0))</f>
        <v>0</v>
      </c>
      <c r="DG87" s="168">
        <f t="shared" si="20"/>
        <v>0</v>
      </c>
      <c r="DH87" s="168">
        <f t="shared" si="20"/>
        <v>0</v>
      </c>
      <c r="DI87" s="168">
        <f t="shared" si="20"/>
        <v>0</v>
      </c>
      <c r="DJ87" s="168">
        <f t="shared" si="20"/>
        <v>0</v>
      </c>
      <c r="DK87" s="168">
        <f t="shared" si="20"/>
        <v>0</v>
      </c>
      <c r="DL87" s="168">
        <f t="shared" si="20"/>
        <v>0</v>
      </c>
      <c r="DM87" s="168">
        <f t="shared" si="20"/>
        <v>0</v>
      </c>
      <c r="DN87" s="168">
        <f t="shared" si="20"/>
        <v>0</v>
      </c>
      <c r="DO87" s="168">
        <f t="shared" si="20"/>
        <v>0</v>
      </c>
      <c r="DP87" s="168">
        <f t="shared" si="20"/>
        <v>0</v>
      </c>
      <c r="DQ87" s="168">
        <f t="shared" si="20"/>
        <v>0</v>
      </c>
      <c r="DR87" s="168">
        <f t="shared" si="20"/>
        <v>0</v>
      </c>
      <c r="DS87" s="168">
        <f t="shared" si="20"/>
        <v>0</v>
      </c>
      <c r="DT87" s="168">
        <f t="shared" si="20"/>
        <v>0</v>
      </c>
      <c r="DU87" s="168">
        <f t="shared" si="20"/>
        <v>0</v>
      </c>
      <c r="DV87" s="168">
        <f t="shared" si="20"/>
        <v>0</v>
      </c>
      <c r="DW87" s="168">
        <f t="shared" si="20"/>
        <v>0</v>
      </c>
      <c r="DX87" s="168">
        <f t="shared" si="20"/>
        <v>0</v>
      </c>
      <c r="DY87" s="168">
        <f t="shared" si="20"/>
        <v>0</v>
      </c>
      <c r="DZ87" s="168">
        <f t="shared" si="20"/>
        <v>0</v>
      </c>
      <c r="EA87" s="168">
        <f t="shared" si="20"/>
        <v>0</v>
      </c>
      <c r="EB87" s="168">
        <f t="shared" si="20"/>
        <v>0</v>
      </c>
    </row>
    <row r="88" spans="1:132" x14ac:dyDescent="0.25">
      <c r="B88" s="14" t="s">
        <v>555</v>
      </c>
      <c r="C88" s="168">
        <f>Scénario!K43</f>
        <v>2.1579999999999999</v>
      </c>
      <c r="D88" s="258">
        <f t="shared" si="14"/>
        <v>2.84</v>
      </c>
      <c r="AT88" s="182" t="str">
        <f>CdTrp1!A16</f>
        <v>Génisses 24 mois</v>
      </c>
      <c r="AU88" s="185" t="str">
        <f>Scénario!K97</f>
        <v>faible</v>
      </c>
      <c r="AV88" s="168">
        <f t="shared" si="15"/>
        <v>1</v>
      </c>
      <c r="AW88" s="168">
        <f t="shared" si="15"/>
        <v>1</v>
      </c>
      <c r="AX88" s="168">
        <f t="shared" si="15"/>
        <v>1</v>
      </c>
      <c r="AY88" s="168">
        <f t="shared" si="15"/>
        <v>1</v>
      </c>
      <c r="AZ88" s="168">
        <f t="shared" si="15"/>
        <v>1</v>
      </c>
      <c r="BA88" s="168">
        <f t="shared" si="15"/>
        <v>1</v>
      </c>
      <c r="BB88" s="168">
        <f t="shared" si="15"/>
        <v>1</v>
      </c>
      <c r="BC88" s="168">
        <f t="shared" si="15"/>
        <v>1</v>
      </c>
      <c r="BD88" s="168">
        <f t="shared" si="15"/>
        <v>1</v>
      </c>
      <c r="BE88" s="168">
        <f t="shared" si="15"/>
        <v>1</v>
      </c>
      <c r="BF88" s="168">
        <f t="shared" si="15"/>
        <v>1</v>
      </c>
      <c r="BG88" s="168">
        <f t="shared" si="15"/>
        <v>1</v>
      </c>
      <c r="BH88" s="168">
        <f t="shared" si="15"/>
        <v>1</v>
      </c>
      <c r="BI88" s="168">
        <f t="shared" si="15"/>
        <v>1</v>
      </c>
      <c r="BJ88" s="168">
        <f t="shared" si="15"/>
        <v>1</v>
      </c>
      <c r="BK88" s="168">
        <f t="shared" si="15"/>
        <v>1</v>
      </c>
      <c r="BL88" s="168">
        <f t="shared" si="16"/>
        <v>1</v>
      </c>
      <c r="BM88" s="168">
        <f t="shared" si="16"/>
        <v>1</v>
      </c>
      <c r="BN88" s="168">
        <f t="shared" si="16"/>
        <v>1</v>
      </c>
      <c r="BO88" s="168">
        <f t="shared" si="16"/>
        <v>1</v>
      </c>
      <c r="BP88" s="168">
        <f t="shared" si="16"/>
        <v>1</v>
      </c>
      <c r="BQ88" s="168">
        <f t="shared" si="16"/>
        <v>1</v>
      </c>
      <c r="BR88" s="168">
        <f t="shared" si="16"/>
        <v>1</v>
      </c>
      <c r="BS88" s="168">
        <f t="shared" si="16"/>
        <v>1</v>
      </c>
      <c r="BU88">
        <v>2</v>
      </c>
      <c r="BV88" t="s">
        <v>619</v>
      </c>
      <c r="BZ88" s="182" t="str">
        <f t="shared" si="17"/>
        <v>lot2</v>
      </c>
      <c r="CA88" s="185">
        <f>Scénario!K107</f>
        <v>0</v>
      </c>
      <c r="CB88" s="168">
        <f t="shared" ref="CB88:CB96" si="21">IF($CA88="fort",2,IF($AU88="faible",1,0))</f>
        <v>1</v>
      </c>
      <c r="CC88" s="168">
        <f t="shared" si="18"/>
        <v>1</v>
      </c>
      <c r="CD88" s="168">
        <f t="shared" si="18"/>
        <v>1</v>
      </c>
      <c r="CE88" s="168">
        <f t="shared" si="18"/>
        <v>1</v>
      </c>
      <c r="CF88" s="168">
        <f t="shared" si="18"/>
        <v>1</v>
      </c>
      <c r="CG88" s="168">
        <f t="shared" si="18"/>
        <v>1</v>
      </c>
      <c r="CH88" s="168">
        <f t="shared" si="18"/>
        <v>1</v>
      </c>
      <c r="CI88" s="168">
        <f t="shared" si="18"/>
        <v>1</v>
      </c>
      <c r="CJ88" s="168">
        <f t="shared" si="18"/>
        <v>1</v>
      </c>
      <c r="CK88" s="168">
        <f t="shared" si="18"/>
        <v>1</v>
      </c>
      <c r="CL88" s="168">
        <f t="shared" si="18"/>
        <v>1</v>
      </c>
      <c r="CM88" s="168">
        <f t="shared" si="18"/>
        <v>1</v>
      </c>
      <c r="CN88" s="168">
        <f t="shared" si="18"/>
        <v>1</v>
      </c>
      <c r="CO88" s="168">
        <f t="shared" si="18"/>
        <v>1</v>
      </c>
      <c r="CP88" s="168">
        <f t="shared" si="18"/>
        <v>1</v>
      </c>
      <c r="CQ88" s="168">
        <f t="shared" si="18"/>
        <v>1</v>
      </c>
      <c r="CR88" s="168">
        <f t="shared" si="18"/>
        <v>1</v>
      </c>
      <c r="CS88" s="168">
        <f t="shared" si="18"/>
        <v>1</v>
      </c>
      <c r="CT88" s="168">
        <f t="shared" si="18"/>
        <v>1</v>
      </c>
      <c r="CU88" s="168">
        <f t="shared" si="18"/>
        <v>1</v>
      </c>
      <c r="CV88" s="168">
        <f t="shared" si="18"/>
        <v>1</v>
      </c>
      <c r="CW88" s="168">
        <f t="shared" si="18"/>
        <v>1</v>
      </c>
      <c r="CX88" s="168">
        <f t="shared" si="18"/>
        <v>1</v>
      </c>
      <c r="CY88" s="168">
        <f t="shared" si="18"/>
        <v>1</v>
      </c>
      <c r="DC88" s="182" t="str">
        <f t="shared" si="19"/>
        <v>lot2</v>
      </c>
      <c r="DD88" s="185">
        <f>Scénario!K117</f>
        <v>0</v>
      </c>
      <c r="DE88" s="168">
        <f t="shared" ref="DE88:DE96" si="22">IF($DD88="fort",2,IF($DD88="faible",1,0))</f>
        <v>0</v>
      </c>
      <c r="DF88" s="168">
        <f t="shared" si="20"/>
        <v>0</v>
      </c>
      <c r="DG88" s="168">
        <f t="shared" si="20"/>
        <v>0</v>
      </c>
      <c r="DH88" s="168">
        <f t="shared" si="20"/>
        <v>0</v>
      </c>
      <c r="DI88" s="168">
        <f t="shared" si="20"/>
        <v>0</v>
      </c>
      <c r="DJ88" s="168">
        <f t="shared" si="20"/>
        <v>0</v>
      </c>
      <c r="DK88" s="168">
        <f t="shared" si="20"/>
        <v>0</v>
      </c>
      <c r="DL88" s="168">
        <f t="shared" si="20"/>
        <v>0</v>
      </c>
      <c r="DM88" s="168">
        <f t="shared" si="20"/>
        <v>0</v>
      </c>
      <c r="DN88" s="168">
        <f t="shared" si="20"/>
        <v>0</v>
      </c>
      <c r="DO88" s="168">
        <f t="shared" si="20"/>
        <v>0</v>
      </c>
      <c r="DP88" s="168">
        <f t="shared" si="20"/>
        <v>0</v>
      </c>
      <c r="DQ88" s="168">
        <f t="shared" si="20"/>
        <v>0</v>
      </c>
      <c r="DR88" s="168">
        <f t="shared" si="20"/>
        <v>0</v>
      </c>
      <c r="DS88" s="168">
        <f t="shared" si="20"/>
        <v>0</v>
      </c>
      <c r="DT88" s="168">
        <f t="shared" si="20"/>
        <v>0</v>
      </c>
      <c r="DU88" s="168">
        <f t="shared" si="20"/>
        <v>0</v>
      </c>
      <c r="DV88" s="168">
        <f t="shared" si="20"/>
        <v>0</v>
      </c>
      <c r="DW88" s="168">
        <f t="shared" si="20"/>
        <v>0</v>
      </c>
      <c r="DX88" s="168">
        <f t="shared" si="20"/>
        <v>0</v>
      </c>
      <c r="DY88" s="168">
        <f t="shared" si="20"/>
        <v>0</v>
      </c>
      <c r="DZ88" s="168">
        <f t="shared" si="20"/>
        <v>0</v>
      </c>
      <c r="EA88" s="168">
        <f t="shared" si="20"/>
        <v>0</v>
      </c>
      <c r="EB88" s="168">
        <f t="shared" si="20"/>
        <v>0</v>
      </c>
    </row>
    <row r="89" spans="1:132" x14ac:dyDescent="0.25">
      <c r="B89" s="14" t="s">
        <v>544</v>
      </c>
      <c r="C89" s="168">
        <f>Scénario!K32</f>
        <v>0</v>
      </c>
      <c r="D89" s="258">
        <f t="shared" si="14"/>
        <v>0</v>
      </c>
      <c r="AT89" s="182" t="str">
        <f>CdTrp1!A17</f>
        <v>Génisses jeunes</v>
      </c>
      <c r="AU89" s="185" t="str">
        <f>Scénario!K98</f>
        <v>faible</v>
      </c>
      <c r="AV89" s="168">
        <f t="shared" si="15"/>
        <v>1</v>
      </c>
      <c r="AW89" s="168">
        <f t="shared" si="15"/>
        <v>1</v>
      </c>
      <c r="AX89" s="168">
        <f t="shared" si="15"/>
        <v>1</v>
      </c>
      <c r="AY89" s="168">
        <f t="shared" si="15"/>
        <v>1</v>
      </c>
      <c r="AZ89" s="168">
        <f t="shared" si="15"/>
        <v>1</v>
      </c>
      <c r="BA89" s="168">
        <f t="shared" si="15"/>
        <v>1</v>
      </c>
      <c r="BB89" s="168">
        <f t="shared" si="15"/>
        <v>1</v>
      </c>
      <c r="BC89" s="168">
        <f t="shared" si="15"/>
        <v>1</v>
      </c>
      <c r="BD89" s="168">
        <f t="shared" si="15"/>
        <v>1</v>
      </c>
      <c r="BE89" s="168">
        <f t="shared" si="15"/>
        <v>1</v>
      </c>
      <c r="BF89" s="168">
        <f t="shared" si="15"/>
        <v>1</v>
      </c>
      <c r="BG89" s="168">
        <f t="shared" si="15"/>
        <v>1</v>
      </c>
      <c r="BH89" s="168">
        <f t="shared" si="15"/>
        <v>1</v>
      </c>
      <c r="BI89" s="168">
        <f t="shared" si="15"/>
        <v>1</v>
      </c>
      <c r="BJ89" s="168">
        <f t="shared" si="15"/>
        <v>1</v>
      </c>
      <c r="BK89" s="168">
        <f t="shared" si="15"/>
        <v>1</v>
      </c>
      <c r="BL89" s="168">
        <f t="shared" si="16"/>
        <v>1</v>
      </c>
      <c r="BM89" s="168">
        <f t="shared" si="16"/>
        <v>1</v>
      </c>
      <c r="BN89" s="168">
        <f t="shared" si="16"/>
        <v>1</v>
      </c>
      <c r="BO89" s="168">
        <f t="shared" si="16"/>
        <v>1</v>
      </c>
      <c r="BP89" s="168">
        <f t="shared" si="16"/>
        <v>1</v>
      </c>
      <c r="BQ89" s="168">
        <f t="shared" si="16"/>
        <v>1</v>
      </c>
      <c r="BR89" s="168">
        <f t="shared" si="16"/>
        <v>1</v>
      </c>
      <c r="BS89" s="168">
        <f t="shared" si="16"/>
        <v>1</v>
      </c>
      <c r="BU89">
        <v>1</v>
      </c>
      <c r="BV89" t="s">
        <v>620</v>
      </c>
      <c r="BZ89" s="182" t="str">
        <f t="shared" si="17"/>
        <v>lot3</v>
      </c>
      <c r="CA89" s="185">
        <f>Scénario!K108</f>
        <v>0</v>
      </c>
      <c r="CB89" s="168">
        <f t="shared" si="21"/>
        <v>1</v>
      </c>
      <c r="CC89" s="168">
        <f t="shared" si="18"/>
        <v>1</v>
      </c>
      <c r="CD89" s="168">
        <f t="shared" si="18"/>
        <v>1</v>
      </c>
      <c r="CE89" s="168">
        <f t="shared" si="18"/>
        <v>1</v>
      </c>
      <c r="CF89" s="168">
        <f t="shared" si="18"/>
        <v>1</v>
      </c>
      <c r="CG89" s="168">
        <f t="shared" si="18"/>
        <v>1</v>
      </c>
      <c r="CH89" s="168">
        <f t="shared" si="18"/>
        <v>1</v>
      </c>
      <c r="CI89" s="168">
        <f t="shared" si="18"/>
        <v>1</v>
      </c>
      <c r="CJ89" s="168">
        <f t="shared" si="18"/>
        <v>1</v>
      </c>
      <c r="CK89" s="168">
        <f t="shared" si="18"/>
        <v>1</v>
      </c>
      <c r="CL89" s="168">
        <f t="shared" si="18"/>
        <v>1</v>
      </c>
      <c r="CM89" s="168">
        <f t="shared" si="18"/>
        <v>1</v>
      </c>
      <c r="CN89" s="168">
        <f t="shared" si="18"/>
        <v>1</v>
      </c>
      <c r="CO89" s="168">
        <f t="shared" si="18"/>
        <v>1</v>
      </c>
      <c r="CP89" s="168">
        <f t="shared" si="18"/>
        <v>1</v>
      </c>
      <c r="CQ89" s="168">
        <f t="shared" si="18"/>
        <v>1</v>
      </c>
      <c r="CR89" s="168">
        <f t="shared" si="18"/>
        <v>1</v>
      </c>
      <c r="CS89" s="168">
        <f t="shared" si="18"/>
        <v>1</v>
      </c>
      <c r="CT89" s="168">
        <f t="shared" si="18"/>
        <v>1</v>
      </c>
      <c r="CU89" s="168">
        <f t="shared" si="18"/>
        <v>1</v>
      </c>
      <c r="CV89" s="168">
        <f t="shared" si="18"/>
        <v>1</v>
      </c>
      <c r="CW89" s="168">
        <f t="shared" si="18"/>
        <v>1</v>
      </c>
      <c r="CX89" s="168">
        <f t="shared" si="18"/>
        <v>1</v>
      </c>
      <c r="CY89" s="168">
        <f t="shared" si="18"/>
        <v>1</v>
      </c>
      <c r="DC89" s="182" t="str">
        <f t="shared" si="19"/>
        <v>lot3</v>
      </c>
      <c r="DD89" s="185">
        <f>Scénario!K118</f>
        <v>0</v>
      </c>
      <c r="DE89" s="168">
        <f t="shared" si="22"/>
        <v>0</v>
      </c>
      <c r="DF89" s="168">
        <f t="shared" si="20"/>
        <v>0</v>
      </c>
      <c r="DG89" s="168">
        <f t="shared" si="20"/>
        <v>0</v>
      </c>
      <c r="DH89" s="168">
        <f t="shared" si="20"/>
        <v>0</v>
      </c>
      <c r="DI89" s="168">
        <f t="shared" si="20"/>
        <v>0</v>
      </c>
      <c r="DJ89" s="168">
        <f t="shared" si="20"/>
        <v>0</v>
      </c>
      <c r="DK89" s="168">
        <f t="shared" si="20"/>
        <v>0</v>
      </c>
      <c r="DL89" s="168">
        <f t="shared" si="20"/>
        <v>0</v>
      </c>
      <c r="DM89" s="168">
        <f t="shared" si="20"/>
        <v>0</v>
      </c>
      <c r="DN89" s="168">
        <f t="shared" si="20"/>
        <v>0</v>
      </c>
      <c r="DO89" s="168">
        <f t="shared" si="20"/>
        <v>0</v>
      </c>
      <c r="DP89" s="168">
        <f t="shared" si="20"/>
        <v>0</v>
      </c>
      <c r="DQ89" s="168">
        <f t="shared" si="20"/>
        <v>0</v>
      </c>
      <c r="DR89" s="168">
        <f t="shared" si="20"/>
        <v>0</v>
      </c>
      <c r="DS89" s="168">
        <f t="shared" si="20"/>
        <v>0</v>
      </c>
      <c r="DT89" s="168">
        <f t="shared" si="20"/>
        <v>0</v>
      </c>
      <c r="DU89" s="168">
        <f t="shared" si="20"/>
        <v>0</v>
      </c>
      <c r="DV89" s="168">
        <f t="shared" si="20"/>
        <v>0</v>
      </c>
      <c r="DW89" s="168">
        <f t="shared" si="20"/>
        <v>0</v>
      </c>
      <c r="DX89" s="168">
        <f t="shared" si="20"/>
        <v>0</v>
      </c>
      <c r="DY89" s="168">
        <f t="shared" si="20"/>
        <v>0</v>
      </c>
      <c r="DZ89" s="168">
        <f t="shared" si="20"/>
        <v>0</v>
      </c>
      <c r="EA89" s="168">
        <f t="shared" si="20"/>
        <v>0</v>
      </c>
      <c r="EB89" s="168">
        <f t="shared" si="20"/>
        <v>0</v>
      </c>
    </row>
    <row r="90" spans="1:132" x14ac:dyDescent="0.25">
      <c r="A90" s="2" t="s">
        <v>1156</v>
      </c>
      <c r="B90" s="14" t="s">
        <v>306</v>
      </c>
      <c r="C90" s="168">
        <f>Scénario!K34</f>
        <v>2.7</v>
      </c>
      <c r="D90" s="258">
        <f t="shared" si="14"/>
        <v>3.5539999999999998</v>
      </c>
      <c r="G90" s="85" t="s">
        <v>1157</v>
      </c>
      <c r="AT90" s="182" t="str">
        <f>CdTrp1!A18</f>
        <v>broutards</v>
      </c>
      <c r="AU90" s="185" t="str">
        <f>Scénario!K99</f>
        <v>fort</v>
      </c>
      <c r="AV90" s="168">
        <f t="shared" si="15"/>
        <v>2</v>
      </c>
      <c r="AW90" s="168">
        <f t="shared" si="15"/>
        <v>2</v>
      </c>
      <c r="AX90" s="168">
        <f t="shared" si="15"/>
        <v>2</v>
      </c>
      <c r="AY90" s="168">
        <f t="shared" si="15"/>
        <v>2</v>
      </c>
      <c r="AZ90" s="168">
        <f t="shared" si="15"/>
        <v>2</v>
      </c>
      <c r="BA90" s="168">
        <f t="shared" si="15"/>
        <v>2</v>
      </c>
      <c r="BB90" s="168">
        <f t="shared" si="15"/>
        <v>2</v>
      </c>
      <c r="BC90" s="168">
        <f t="shared" si="15"/>
        <v>2</v>
      </c>
      <c r="BD90" s="168">
        <f t="shared" si="15"/>
        <v>2</v>
      </c>
      <c r="BE90" s="168">
        <f t="shared" si="15"/>
        <v>2</v>
      </c>
      <c r="BF90" s="168">
        <f t="shared" si="15"/>
        <v>2</v>
      </c>
      <c r="BG90" s="168">
        <f t="shared" si="15"/>
        <v>2</v>
      </c>
      <c r="BH90" s="168">
        <f t="shared" si="15"/>
        <v>2</v>
      </c>
      <c r="BI90" s="168">
        <f t="shared" si="15"/>
        <v>2</v>
      </c>
      <c r="BJ90" s="168">
        <f t="shared" si="15"/>
        <v>2</v>
      </c>
      <c r="BK90" s="168">
        <f t="shared" si="15"/>
        <v>2</v>
      </c>
      <c r="BL90" s="168">
        <f t="shared" si="16"/>
        <v>2</v>
      </c>
      <c r="BM90" s="168">
        <f t="shared" si="16"/>
        <v>2</v>
      </c>
      <c r="BN90" s="168">
        <f t="shared" si="16"/>
        <v>2</v>
      </c>
      <c r="BO90" s="168">
        <f t="shared" si="16"/>
        <v>2</v>
      </c>
      <c r="BP90" s="168">
        <f t="shared" si="16"/>
        <v>2</v>
      </c>
      <c r="BQ90" s="168">
        <f t="shared" si="16"/>
        <v>2</v>
      </c>
      <c r="BR90" s="168">
        <f t="shared" si="16"/>
        <v>2</v>
      </c>
      <c r="BS90" s="168">
        <f t="shared" si="16"/>
        <v>2</v>
      </c>
      <c r="BZ90" s="182" t="str">
        <f t="shared" si="17"/>
        <v>lot4</v>
      </c>
      <c r="CA90" s="185">
        <f>Scénario!K109</f>
        <v>0</v>
      </c>
      <c r="CB90" s="168">
        <f t="shared" si="21"/>
        <v>0</v>
      </c>
      <c r="CC90" s="168">
        <f t="shared" si="18"/>
        <v>0</v>
      </c>
      <c r="CD90" s="168">
        <f t="shared" si="18"/>
        <v>0</v>
      </c>
      <c r="CE90" s="168">
        <f t="shared" si="18"/>
        <v>0</v>
      </c>
      <c r="CF90" s="168">
        <f t="shared" si="18"/>
        <v>0</v>
      </c>
      <c r="CG90" s="168">
        <f t="shared" si="18"/>
        <v>0</v>
      </c>
      <c r="CH90" s="168">
        <f t="shared" si="18"/>
        <v>0</v>
      </c>
      <c r="CI90" s="168">
        <f t="shared" si="18"/>
        <v>0</v>
      </c>
      <c r="CJ90" s="168">
        <f t="shared" si="18"/>
        <v>0</v>
      </c>
      <c r="CK90" s="168">
        <f t="shared" si="18"/>
        <v>0</v>
      </c>
      <c r="CL90" s="168">
        <f t="shared" si="18"/>
        <v>0</v>
      </c>
      <c r="CM90" s="168">
        <f t="shared" si="18"/>
        <v>0</v>
      </c>
      <c r="CN90" s="168">
        <f t="shared" si="18"/>
        <v>0</v>
      </c>
      <c r="CO90" s="168">
        <f t="shared" si="18"/>
        <v>0</v>
      </c>
      <c r="CP90" s="168">
        <f t="shared" si="18"/>
        <v>0</v>
      </c>
      <c r="CQ90" s="168">
        <f t="shared" si="18"/>
        <v>0</v>
      </c>
      <c r="CR90" s="168">
        <f t="shared" si="18"/>
        <v>0</v>
      </c>
      <c r="CS90" s="168">
        <f t="shared" si="18"/>
        <v>0</v>
      </c>
      <c r="CT90" s="168">
        <f t="shared" si="18"/>
        <v>0</v>
      </c>
      <c r="CU90" s="168">
        <f t="shared" si="18"/>
        <v>0</v>
      </c>
      <c r="CV90" s="168">
        <f t="shared" si="18"/>
        <v>0</v>
      </c>
      <c r="CW90" s="168">
        <f t="shared" si="18"/>
        <v>0</v>
      </c>
      <c r="CX90" s="168">
        <f t="shared" si="18"/>
        <v>0</v>
      </c>
      <c r="CY90" s="168">
        <f t="shared" si="18"/>
        <v>0</v>
      </c>
      <c r="DC90" s="182" t="str">
        <f t="shared" si="19"/>
        <v>lot4</v>
      </c>
      <c r="DD90" s="185">
        <f>Scénario!K119</f>
        <v>0</v>
      </c>
      <c r="DE90" s="168">
        <f t="shared" si="22"/>
        <v>0</v>
      </c>
      <c r="DF90" s="168">
        <f t="shared" si="20"/>
        <v>0</v>
      </c>
      <c r="DG90" s="168">
        <f t="shared" si="20"/>
        <v>0</v>
      </c>
      <c r="DH90" s="168">
        <f t="shared" si="20"/>
        <v>0</v>
      </c>
      <c r="DI90" s="168">
        <f t="shared" si="20"/>
        <v>0</v>
      </c>
      <c r="DJ90" s="168">
        <f t="shared" si="20"/>
        <v>0</v>
      </c>
      <c r="DK90" s="168">
        <f t="shared" si="20"/>
        <v>0</v>
      </c>
      <c r="DL90" s="168">
        <f t="shared" si="20"/>
        <v>0</v>
      </c>
      <c r="DM90" s="168">
        <f t="shared" si="20"/>
        <v>0</v>
      </c>
      <c r="DN90" s="168">
        <f t="shared" si="20"/>
        <v>0</v>
      </c>
      <c r="DO90" s="168">
        <f t="shared" si="20"/>
        <v>0</v>
      </c>
      <c r="DP90" s="168">
        <f t="shared" si="20"/>
        <v>0</v>
      </c>
      <c r="DQ90" s="168">
        <f t="shared" si="20"/>
        <v>0</v>
      </c>
      <c r="DR90" s="168">
        <f t="shared" si="20"/>
        <v>0</v>
      </c>
      <c r="DS90" s="168">
        <f t="shared" si="20"/>
        <v>0</v>
      </c>
      <c r="DT90" s="168">
        <f t="shared" si="20"/>
        <v>0</v>
      </c>
      <c r="DU90" s="168">
        <f t="shared" si="20"/>
        <v>0</v>
      </c>
      <c r="DV90" s="168">
        <f t="shared" si="20"/>
        <v>0</v>
      </c>
      <c r="DW90" s="168">
        <f t="shared" si="20"/>
        <v>0</v>
      </c>
      <c r="DX90" s="168">
        <f t="shared" si="20"/>
        <v>0</v>
      </c>
      <c r="DY90" s="168">
        <f t="shared" si="20"/>
        <v>0</v>
      </c>
      <c r="DZ90" s="168">
        <f t="shared" si="20"/>
        <v>0</v>
      </c>
      <c r="EA90" s="168">
        <f t="shared" si="20"/>
        <v>0</v>
      </c>
      <c r="EB90" s="168">
        <f t="shared" si="20"/>
        <v>0</v>
      </c>
    </row>
    <row r="91" spans="1:132" x14ac:dyDescent="0.25">
      <c r="B91" s="14" t="s">
        <v>547</v>
      </c>
      <c r="C91" s="168">
        <f>Scénario!K35</f>
        <v>0</v>
      </c>
      <c r="D91" s="258">
        <f t="shared" si="14"/>
        <v>0</v>
      </c>
      <c r="AT91" s="182" t="str">
        <f>CdTrp1!A19</f>
        <v>génisses &lt; 1 an</v>
      </c>
      <c r="AU91" s="185" t="str">
        <f>Scénario!K100</f>
        <v>fort</v>
      </c>
      <c r="AV91" s="168">
        <f t="shared" si="15"/>
        <v>2</v>
      </c>
      <c r="AW91" s="168">
        <f t="shared" si="15"/>
        <v>2</v>
      </c>
      <c r="AX91" s="168">
        <f t="shared" si="15"/>
        <v>2</v>
      </c>
      <c r="AY91" s="168">
        <f t="shared" si="15"/>
        <v>2</v>
      </c>
      <c r="AZ91" s="168">
        <f t="shared" si="15"/>
        <v>2</v>
      </c>
      <c r="BA91" s="168">
        <f t="shared" si="15"/>
        <v>2</v>
      </c>
      <c r="BB91" s="168">
        <f t="shared" si="15"/>
        <v>2</v>
      </c>
      <c r="BC91" s="168">
        <f t="shared" si="15"/>
        <v>2</v>
      </c>
      <c r="BD91" s="168">
        <f t="shared" si="15"/>
        <v>2</v>
      </c>
      <c r="BE91" s="168">
        <f t="shared" si="15"/>
        <v>2</v>
      </c>
      <c r="BF91" s="168">
        <f t="shared" si="15"/>
        <v>2</v>
      </c>
      <c r="BG91" s="168">
        <f t="shared" si="15"/>
        <v>2</v>
      </c>
      <c r="BH91" s="168">
        <f t="shared" si="15"/>
        <v>2</v>
      </c>
      <c r="BI91" s="168">
        <f t="shared" si="15"/>
        <v>2</v>
      </c>
      <c r="BJ91" s="168">
        <f t="shared" si="15"/>
        <v>2</v>
      </c>
      <c r="BK91" s="168">
        <f t="shared" si="15"/>
        <v>2</v>
      </c>
      <c r="BL91" s="168">
        <f t="shared" si="16"/>
        <v>2</v>
      </c>
      <c r="BM91" s="168">
        <f t="shared" si="16"/>
        <v>2</v>
      </c>
      <c r="BN91" s="168">
        <f t="shared" si="16"/>
        <v>2</v>
      </c>
      <c r="BO91" s="168">
        <f t="shared" si="16"/>
        <v>2</v>
      </c>
      <c r="BP91" s="168">
        <f t="shared" si="16"/>
        <v>2</v>
      </c>
      <c r="BQ91" s="168">
        <f t="shared" si="16"/>
        <v>2</v>
      </c>
      <c r="BR91" s="168">
        <f t="shared" si="16"/>
        <v>2</v>
      </c>
      <c r="BS91" s="168">
        <f t="shared" si="16"/>
        <v>2</v>
      </c>
      <c r="BZ91" s="182" t="str">
        <f t="shared" si="17"/>
        <v>lot5</v>
      </c>
      <c r="CA91" s="185">
        <f>Scénario!K110</f>
        <v>0</v>
      </c>
      <c r="CB91" s="168">
        <f t="shared" si="21"/>
        <v>0</v>
      </c>
      <c r="CC91" s="168">
        <f t="shared" si="18"/>
        <v>0</v>
      </c>
      <c r="CD91" s="168">
        <f t="shared" si="18"/>
        <v>0</v>
      </c>
      <c r="CE91" s="168">
        <f t="shared" si="18"/>
        <v>0</v>
      </c>
      <c r="CF91" s="168">
        <f t="shared" si="18"/>
        <v>0</v>
      </c>
      <c r="CG91" s="168">
        <f t="shared" si="18"/>
        <v>0</v>
      </c>
      <c r="CH91" s="168">
        <f t="shared" si="18"/>
        <v>0</v>
      </c>
      <c r="CI91" s="168">
        <f t="shared" si="18"/>
        <v>0</v>
      </c>
      <c r="CJ91" s="168">
        <f t="shared" si="18"/>
        <v>0</v>
      </c>
      <c r="CK91" s="168">
        <f t="shared" si="18"/>
        <v>0</v>
      </c>
      <c r="CL91" s="168">
        <f t="shared" si="18"/>
        <v>0</v>
      </c>
      <c r="CM91" s="168">
        <f t="shared" si="18"/>
        <v>0</v>
      </c>
      <c r="CN91" s="168">
        <f t="shared" si="18"/>
        <v>0</v>
      </c>
      <c r="CO91" s="168">
        <f t="shared" si="18"/>
        <v>0</v>
      </c>
      <c r="CP91" s="168">
        <f t="shared" si="18"/>
        <v>0</v>
      </c>
      <c r="CQ91" s="168">
        <f t="shared" si="18"/>
        <v>0</v>
      </c>
      <c r="CR91" s="168">
        <f t="shared" si="18"/>
        <v>0</v>
      </c>
      <c r="CS91" s="168">
        <f t="shared" si="18"/>
        <v>0</v>
      </c>
      <c r="CT91" s="168">
        <f t="shared" si="18"/>
        <v>0</v>
      </c>
      <c r="CU91" s="168">
        <f t="shared" si="18"/>
        <v>0</v>
      </c>
      <c r="CV91" s="168">
        <f t="shared" si="18"/>
        <v>0</v>
      </c>
      <c r="CW91" s="168">
        <f t="shared" si="18"/>
        <v>0</v>
      </c>
      <c r="CX91" s="168">
        <f t="shared" si="18"/>
        <v>0</v>
      </c>
      <c r="CY91" s="168">
        <f t="shared" si="18"/>
        <v>0</v>
      </c>
      <c r="DC91" s="182" t="str">
        <f t="shared" si="19"/>
        <v>lot5</v>
      </c>
      <c r="DD91" s="185">
        <f>Scénario!K120</f>
        <v>0</v>
      </c>
      <c r="DE91" s="168">
        <f t="shared" si="22"/>
        <v>0</v>
      </c>
      <c r="DF91" s="168">
        <f t="shared" si="20"/>
        <v>0</v>
      </c>
      <c r="DG91" s="168">
        <f t="shared" si="20"/>
        <v>0</v>
      </c>
      <c r="DH91" s="168">
        <f t="shared" si="20"/>
        <v>0</v>
      </c>
      <c r="DI91" s="168">
        <f t="shared" si="20"/>
        <v>0</v>
      </c>
      <c r="DJ91" s="168">
        <f t="shared" si="20"/>
        <v>0</v>
      </c>
      <c r="DK91" s="168">
        <f t="shared" si="20"/>
        <v>0</v>
      </c>
      <c r="DL91" s="168">
        <f t="shared" si="20"/>
        <v>0</v>
      </c>
      <c r="DM91" s="168">
        <f t="shared" si="20"/>
        <v>0</v>
      </c>
      <c r="DN91" s="168">
        <f t="shared" si="20"/>
        <v>0</v>
      </c>
      <c r="DO91" s="168">
        <f t="shared" si="20"/>
        <v>0</v>
      </c>
      <c r="DP91" s="168">
        <f t="shared" si="20"/>
        <v>0</v>
      </c>
      <c r="DQ91" s="168">
        <f t="shared" si="20"/>
        <v>0</v>
      </c>
      <c r="DR91" s="168">
        <f t="shared" si="20"/>
        <v>0</v>
      </c>
      <c r="DS91" s="168">
        <f t="shared" si="20"/>
        <v>0</v>
      </c>
      <c r="DT91" s="168">
        <f t="shared" si="20"/>
        <v>0</v>
      </c>
      <c r="DU91" s="168">
        <f t="shared" si="20"/>
        <v>0</v>
      </c>
      <c r="DV91" s="168">
        <f t="shared" si="20"/>
        <v>0</v>
      </c>
      <c r="DW91" s="168">
        <f t="shared" si="20"/>
        <v>0</v>
      </c>
      <c r="DX91" s="168">
        <f t="shared" si="20"/>
        <v>0</v>
      </c>
      <c r="DY91" s="168">
        <f t="shared" si="20"/>
        <v>0</v>
      </c>
      <c r="DZ91" s="168">
        <f t="shared" si="20"/>
        <v>0</v>
      </c>
      <c r="EA91" s="168">
        <f t="shared" si="20"/>
        <v>0</v>
      </c>
      <c r="EB91" s="168">
        <f t="shared" si="20"/>
        <v>0</v>
      </c>
    </row>
    <row r="92" spans="1:132" x14ac:dyDescent="0.25">
      <c r="B92" s="14" t="s">
        <v>548</v>
      </c>
      <c r="C92" s="168">
        <f>Scénario!K36</f>
        <v>0</v>
      </c>
      <c r="D92" s="258">
        <f t="shared" si="14"/>
        <v>0</v>
      </c>
      <c r="G92" s="2" t="s">
        <v>1158</v>
      </c>
      <c r="AT92" s="182" t="str">
        <f>CdTrp1!A20</f>
        <v>lot6</v>
      </c>
      <c r="AU92" s="185">
        <f>Scénario!K101</f>
        <v>0</v>
      </c>
      <c r="AV92" s="168">
        <f t="shared" si="15"/>
        <v>0</v>
      </c>
      <c r="AW92" s="168">
        <f t="shared" si="15"/>
        <v>0</v>
      </c>
      <c r="AX92" s="168">
        <f t="shared" si="15"/>
        <v>0</v>
      </c>
      <c r="AY92" s="168">
        <f t="shared" si="15"/>
        <v>0</v>
      </c>
      <c r="AZ92" s="168">
        <f t="shared" si="15"/>
        <v>0</v>
      </c>
      <c r="BA92" s="168">
        <f t="shared" si="15"/>
        <v>0</v>
      </c>
      <c r="BB92" s="168">
        <f t="shared" si="15"/>
        <v>0</v>
      </c>
      <c r="BC92" s="168">
        <f t="shared" si="15"/>
        <v>0</v>
      </c>
      <c r="BD92" s="168">
        <f t="shared" si="15"/>
        <v>0</v>
      </c>
      <c r="BE92" s="168">
        <f t="shared" si="15"/>
        <v>0</v>
      </c>
      <c r="BF92" s="168">
        <f t="shared" si="15"/>
        <v>0</v>
      </c>
      <c r="BG92" s="168">
        <f t="shared" si="15"/>
        <v>0</v>
      </c>
      <c r="BH92" s="168">
        <f t="shared" si="15"/>
        <v>0</v>
      </c>
      <c r="BI92" s="168">
        <f t="shared" si="15"/>
        <v>0</v>
      </c>
      <c r="BJ92" s="168">
        <f t="shared" si="15"/>
        <v>0</v>
      </c>
      <c r="BK92" s="168">
        <f t="shared" si="15"/>
        <v>0</v>
      </c>
      <c r="BL92" s="168">
        <f t="shared" si="16"/>
        <v>0</v>
      </c>
      <c r="BM92" s="168">
        <f t="shared" si="16"/>
        <v>0</v>
      </c>
      <c r="BN92" s="168">
        <f t="shared" si="16"/>
        <v>0</v>
      </c>
      <c r="BO92" s="168">
        <f t="shared" si="16"/>
        <v>0</v>
      </c>
      <c r="BP92" s="168">
        <f t="shared" si="16"/>
        <v>0</v>
      </c>
      <c r="BQ92" s="168">
        <f t="shared" si="16"/>
        <v>0</v>
      </c>
      <c r="BR92" s="168">
        <f t="shared" si="16"/>
        <v>0</v>
      </c>
      <c r="BS92" s="168">
        <f t="shared" si="16"/>
        <v>0</v>
      </c>
      <c r="BT92" s="5"/>
      <c r="BY92" s="5"/>
      <c r="BZ92" s="182" t="str">
        <f t="shared" si="17"/>
        <v>lot6</v>
      </c>
      <c r="CA92" s="185">
        <f>Scénario!K111</f>
        <v>0</v>
      </c>
      <c r="CB92" s="168">
        <f t="shared" si="21"/>
        <v>0</v>
      </c>
      <c r="CC92" s="168">
        <f t="shared" si="18"/>
        <v>0</v>
      </c>
      <c r="CD92" s="168">
        <f t="shared" si="18"/>
        <v>0</v>
      </c>
      <c r="CE92" s="168">
        <f t="shared" si="18"/>
        <v>0</v>
      </c>
      <c r="CF92" s="168">
        <f t="shared" si="18"/>
        <v>0</v>
      </c>
      <c r="CG92" s="168">
        <f t="shared" si="18"/>
        <v>0</v>
      </c>
      <c r="CH92" s="168">
        <f t="shared" si="18"/>
        <v>0</v>
      </c>
      <c r="CI92" s="168">
        <f t="shared" si="18"/>
        <v>0</v>
      </c>
      <c r="CJ92" s="168">
        <f t="shared" si="18"/>
        <v>0</v>
      </c>
      <c r="CK92" s="168">
        <f t="shared" si="18"/>
        <v>0</v>
      </c>
      <c r="CL92" s="168">
        <f t="shared" si="18"/>
        <v>0</v>
      </c>
      <c r="CM92" s="168">
        <f t="shared" si="18"/>
        <v>0</v>
      </c>
      <c r="CN92" s="168">
        <f t="shared" si="18"/>
        <v>0</v>
      </c>
      <c r="CO92" s="168">
        <f t="shared" si="18"/>
        <v>0</v>
      </c>
      <c r="CP92" s="168">
        <f t="shared" si="18"/>
        <v>0</v>
      </c>
      <c r="CQ92" s="168">
        <f t="shared" si="18"/>
        <v>0</v>
      </c>
      <c r="CR92" s="168">
        <f t="shared" si="18"/>
        <v>0</v>
      </c>
      <c r="CS92" s="168">
        <f t="shared" si="18"/>
        <v>0</v>
      </c>
      <c r="CT92" s="168">
        <f t="shared" si="18"/>
        <v>0</v>
      </c>
      <c r="CU92" s="168">
        <f t="shared" si="18"/>
        <v>0</v>
      </c>
      <c r="CV92" s="168">
        <f t="shared" si="18"/>
        <v>0</v>
      </c>
      <c r="CW92" s="168">
        <f t="shared" si="18"/>
        <v>0</v>
      </c>
      <c r="CX92" s="168">
        <f t="shared" si="18"/>
        <v>0</v>
      </c>
      <c r="CY92" s="168">
        <f t="shared" si="18"/>
        <v>0</v>
      </c>
      <c r="CZ92" s="5"/>
      <c r="DA92" s="5"/>
      <c r="DB92" s="5"/>
      <c r="DC92" s="182" t="str">
        <f t="shared" si="19"/>
        <v>lot6</v>
      </c>
      <c r="DD92" s="185">
        <f>Scénario!K121</f>
        <v>0</v>
      </c>
      <c r="DE92" s="168">
        <f t="shared" si="22"/>
        <v>0</v>
      </c>
      <c r="DF92" s="168">
        <f t="shared" si="20"/>
        <v>0</v>
      </c>
      <c r="DG92" s="168">
        <f t="shared" si="20"/>
        <v>0</v>
      </c>
      <c r="DH92" s="168">
        <f t="shared" si="20"/>
        <v>0</v>
      </c>
      <c r="DI92" s="168">
        <f t="shared" si="20"/>
        <v>0</v>
      </c>
      <c r="DJ92" s="168">
        <f t="shared" si="20"/>
        <v>0</v>
      </c>
      <c r="DK92" s="168">
        <f t="shared" si="20"/>
        <v>0</v>
      </c>
      <c r="DL92" s="168">
        <f t="shared" si="20"/>
        <v>0</v>
      </c>
      <c r="DM92" s="168">
        <f t="shared" si="20"/>
        <v>0</v>
      </c>
      <c r="DN92" s="168">
        <f t="shared" si="20"/>
        <v>0</v>
      </c>
      <c r="DO92" s="168">
        <f t="shared" si="20"/>
        <v>0</v>
      </c>
      <c r="DP92" s="168">
        <f t="shared" si="20"/>
        <v>0</v>
      </c>
      <c r="DQ92" s="168">
        <f t="shared" si="20"/>
        <v>0</v>
      </c>
      <c r="DR92" s="168">
        <f t="shared" si="20"/>
        <v>0</v>
      </c>
      <c r="DS92" s="168">
        <f t="shared" si="20"/>
        <v>0</v>
      </c>
      <c r="DT92" s="168">
        <f t="shared" si="20"/>
        <v>0</v>
      </c>
      <c r="DU92" s="168">
        <f t="shared" si="20"/>
        <v>0</v>
      </c>
      <c r="DV92" s="168">
        <f t="shared" si="20"/>
        <v>0</v>
      </c>
      <c r="DW92" s="168">
        <f t="shared" si="20"/>
        <v>0</v>
      </c>
      <c r="DX92" s="168">
        <f t="shared" si="20"/>
        <v>0</v>
      </c>
      <c r="DY92" s="168">
        <f t="shared" si="20"/>
        <v>0</v>
      </c>
      <c r="DZ92" s="168">
        <f t="shared" si="20"/>
        <v>0</v>
      </c>
      <c r="EA92" s="168">
        <f t="shared" si="20"/>
        <v>0</v>
      </c>
      <c r="EB92" s="168">
        <f t="shared" si="20"/>
        <v>0</v>
      </c>
    </row>
    <row r="93" spans="1:132" x14ac:dyDescent="0.25">
      <c r="B93" s="14" t="s">
        <v>549</v>
      </c>
      <c r="C93" s="168">
        <f>Scénario!K37</f>
        <v>0</v>
      </c>
      <c r="D93" s="258">
        <f t="shared" si="14"/>
        <v>0</v>
      </c>
      <c r="H93" s="2">
        <v>1</v>
      </c>
      <c r="I93" s="2">
        <v>2</v>
      </c>
      <c r="J93" s="2">
        <v>3</v>
      </c>
      <c r="K93" s="2">
        <v>4</v>
      </c>
      <c r="L93" s="2">
        <v>5</v>
      </c>
      <c r="M93" s="2">
        <v>6</v>
      </c>
      <c r="N93" s="2">
        <v>7</v>
      </c>
      <c r="O93" s="2">
        <v>8</v>
      </c>
      <c r="P93" s="2">
        <v>9</v>
      </c>
      <c r="Q93" s="2">
        <v>10</v>
      </c>
      <c r="R93" s="2">
        <v>11</v>
      </c>
      <c r="S93" s="2">
        <v>12</v>
      </c>
      <c r="T93" s="2">
        <v>13</v>
      </c>
      <c r="U93" s="2">
        <v>14</v>
      </c>
      <c r="V93" s="2">
        <v>15</v>
      </c>
      <c r="W93" s="2">
        <v>16</v>
      </c>
      <c r="X93" s="2">
        <v>17</v>
      </c>
      <c r="Y93" s="2">
        <v>18</v>
      </c>
      <c r="Z93" s="2">
        <v>19</v>
      </c>
      <c r="AA93" s="2">
        <v>20</v>
      </c>
      <c r="AB93" s="2">
        <v>21</v>
      </c>
      <c r="AC93" s="2">
        <v>22</v>
      </c>
      <c r="AD93" s="2">
        <v>23</v>
      </c>
      <c r="AE93" s="2">
        <v>24</v>
      </c>
      <c r="AT93" s="182" t="str">
        <f>CdTrp1!A21</f>
        <v>lot7</v>
      </c>
      <c r="AU93" s="185">
        <f>Scénario!K102</f>
        <v>0</v>
      </c>
      <c r="AV93" s="168">
        <f t="shared" si="15"/>
        <v>0</v>
      </c>
      <c r="AW93" s="168">
        <f t="shared" si="15"/>
        <v>0</v>
      </c>
      <c r="AX93" s="168">
        <f t="shared" si="15"/>
        <v>0</v>
      </c>
      <c r="AY93" s="168">
        <f t="shared" si="15"/>
        <v>0</v>
      </c>
      <c r="AZ93" s="168">
        <f t="shared" si="15"/>
        <v>0</v>
      </c>
      <c r="BA93" s="168">
        <f t="shared" si="15"/>
        <v>0</v>
      </c>
      <c r="BB93" s="168">
        <f t="shared" si="15"/>
        <v>0</v>
      </c>
      <c r="BC93" s="168">
        <f t="shared" si="15"/>
        <v>0</v>
      </c>
      <c r="BD93" s="168">
        <f t="shared" si="15"/>
        <v>0</v>
      </c>
      <c r="BE93" s="168">
        <f t="shared" si="15"/>
        <v>0</v>
      </c>
      <c r="BF93" s="168">
        <f t="shared" si="15"/>
        <v>0</v>
      </c>
      <c r="BG93" s="168">
        <f t="shared" si="15"/>
        <v>0</v>
      </c>
      <c r="BH93" s="168">
        <f t="shared" si="15"/>
        <v>0</v>
      </c>
      <c r="BI93" s="168">
        <f t="shared" si="15"/>
        <v>0</v>
      </c>
      <c r="BJ93" s="168">
        <f t="shared" si="15"/>
        <v>0</v>
      </c>
      <c r="BK93" s="168">
        <f t="shared" si="15"/>
        <v>0</v>
      </c>
      <c r="BL93" s="168">
        <f t="shared" si="16"/>
        <v>0</v>
      </c>
      <c r="BM93" s="168">
        <f t="shared" si="16"/>
        <v>0</v>
      </c>
      <c r="BN93" s="168">
        <f t="shared" si="16"/>
        <v>0</v>
      </c>
      <c r="BO93" s="168">
        <f t="shared" si="16"/>
        <v>0</v>
      </c>
      <c r="BP93" s="168">
        <f t="shared" si="16"/>
        <v>0</v>
      </c>
      <c r="BQ93" s="168">
        <f t="shared" si="16"/>
        <v>0</v>
      </c>
      <c r="BR93" s="168">
        <f t="shared" si="16"/>
        <v>0</v>
      </c>
      <c r="BS93" s="168">
        <f t="shared" si="16"/>
        <v>0</v>
      </c>
      <c r="BT93" s="5"/>
      <c r="BY93" s="5"/>
      <c r="BZ93" s="182" t="str">
        <f t="shared" si="17"/>
        <v>lot7</v>
      </c>
      <c r="CA93" s="185">
        <f>Scénario!K112</f>
        <v>0</v>
      </c>
      <c r="CB93" s="168">
        <f t="shared" si="21"/>
        <v>0</v>
      </c>
      <c r="CC93" s="168">
        <f t="shared" si="18"/>
        <v>0</v>
      </c>
      <c r="CD93" s="168">
        <f t="shared" si="18"/>
        <v>0</v>
      </c>
      <c r="CE93" s="168">
        <f t="shared" si="18"/>
        <v>0</v>
      </c>
      <c r="CF93" s="168">
        <f t="shared" si="18"/>
        <v>0</v>
      </c>
      <c r="CG93" s="168">
        <f t="shared" si="18"/>
        <v>0</v>
      </c>
      <c r="CH93" s="168">
        <f t="shared" si="18"/>
        <v>0</v>
      </c>
      <c r="CI93" s="168">
        <f t="shared" si="18"/>
        <v>0</v>
      </c>
      <c r="CJ93" s="168">
        <f t="shared" si="18"/>
        <v>0</v>
      </c>
      <c r="CK93" s="168">
        <f t="shared" si="18"/>
        <v>0</v>
      </c>
      <c r="CL93" s="168">
        <f t="shared" si="18"/>
        <v>0</v>
      </c>
      <c r="CM93" s="168">
        <f t="shared" si="18"/>
        <v>0</v>
      </c>
      <c r="CN93" s="168">
        <f t="shared" si="18"/>
        <v>0</v>
      </c>
      <c r="CO93" s="168">
        <f t="shared" si="18"/>
        <v>0</v>
      </c>
      <c r="CP93" s="168">
        <f t="shared" si="18"/>
        <v>0</v>
      </c>
      <c r="CQ93" s="168">
        <f t="shared" si="18"/>
        <v>0</v>
      </c>
      <c r="CR93" s="168">
        <f t="shared" si="18"/>
        <v>0</v>
      </c>
      <c r="CS93" s="168">
        <f t="shared" si="18"/>
        <v>0</v>
      </c>
      <c r="CT93" s="168">
        <f t="shared" si="18"/>
        <v>0</v>
      </c>
      <c r="CU93" s="168">
        <f t="shared" si="18"/>
        <v>0</v>
      </c>
      <c r="CV93" s="168">
        <f t="shared" si="18"/>
        <v>0</v>
      </c>
      <c r="CW93" s="168">
        <f t="shared" si="18"/>
        <v>0</v>
      </c>
      <c r="CX93" s="168">
        <f t="shared" si="18"/>
        <v>0</v>
      </c>
      <c r="CY93" s="168">
        <f t="shared" si="18"/>
        <v>0</v>
      </c>
      <c r="CZ93" s="5"/>
      <c r="DA93" s="5"/>
      <c r="DB93" s="5"/>
      <c r="DC93" s="182" t="str">
        <f t="shared" si="19"/>
        <v>lot7</v>
      </c>
      <c r="DD93" s="185">
        <f>Scénario!K122</f>
        <v>0</v>
      </c>
      <c r="DE93" s="168">
        <f t="shared" si="22"/>
        <v>0</v>
      </c>
      <c r="DF93" s="168">
        <f t="shared" si="20"/>
        <v>0</v>
      </c>
      <c r="DG93" s="168">
        <f t="shared" si="20"/>
        <v>0</v>
      </c>
      <c r="DH93" s="168">
        <f t="shared" si="20"/>
        <v>0</v>
      </c>
      <c r="DI93" s="168">
        <f t="shared" si="20"/>
        <v>0</v>
      </c>
      <c r="DJ93" s="168">
        <f t="shared" si="20"/>
        <v>0</v>
      </c>
      <c r="DK93" s="168">
        <f t="shared" si="20"/>
        <v>0</v>
      </c>
      <c r="DL93" s="168">
        <f t="shared" si="20"/>
        <v>0</v>
      </c>
      <c r="DM93" s="168">
        <f t="shared" si="20"/>
        <v>0</v>
      </c>
      <c r="DN93" s="168">
        <f t="shared" si="20"/>
        <v>0</v>
      </c>
      <c r="DO93" s="168">
        <f t="shared" si="20"/>
        <v>0</v>
      </c>
      <c r="DP93" s="168">
        <f t="shared" si="20"/>
        <v>0</v>
      </c>
      <c r="DQ93" s="168">
        <f t="shared" si="20"/>
        <v>0</v>
      </c>
      <c r="DR93" s="168">
        <f t="shared" si="20"/>
        <v>0</v>
      </c>
      <c r="DS93" s="168">
        <f t="shared" si="20"/>
        <v>0</v>
      </c>
      <c r="DT93" s="168">
        <f t="shared" si="20"/>
        <v>0</v>
      </c>
      <c r="DU93" s="168">
        <f t="shared" si="20"/>
        <v>0</v>
      </c>
      <c r="DV93" s="168">
        <f t="shared" si="20"/>
        <v>0</v>
      </c>
      <c r="DW93" s="168">
        <f t="shared" si="20"/>
        <v>0</v>
      </c>
      <c r="DX93" s="168">
        <f t="shared" si="20"/>
        <v>0</v>
      </c>
      <c r="DY93" s="168">
        <f t="shared" si="20"/>
        <v>0</v>
      </c>
      <c r="DZ93" s="168">
        <f t="shared" si="20"/>
        <v>0</v>
      </c>
      <c r="EA93" s="168">
        <f t="shared" si="20"/>
        <v>0</v>
      </c>
      <c r="EB93" s="168">
        <f t="shared" si="20"/>
        <v>0</v>
      </c>
    </row>
    <row r="94" spans="1:132" x14ac:dyDescent="0.25">
      <c r="B94" s="14" t="s">
        <v>550</v>
      </c>
      <c r="C94" s="168">
        <f>Scénario!K38</f>
        <v>0</v>
      </c>
      <c r="D94" s="258">
        <f t="shared" si="14"/>
        <v>0</v>
      </c>
      <c r="F94" s="14" t="s">
        <v>869</v>
      </c>
      <c r="G94" s="30" t="str">
        <f>CdTrp1!A88</f>
        <v xml:space="preserve">Vaches </v>
      </c>
      <c r="H94" s="30">
        <f>CdTrp1!B76</f>
        <v>0</v>
      </c>
      <c r="I94" s="30">
        <f>CdTrp1!C76</f>
        <v>0</v>
      </c>
      <c r="J94" s="30">
        <f>CdTrp1!D76</f>
        <v>0</v>
      </c>
      <c r="K94" s="30">
        <f>CdTrp1!E76</f>
        <v>0</v>
      </c>
      <c r="L94" s="30">
        <f>CdTrp1!F76</f>
        <v>1</v>
      </c>
      <c r="M94" s="30">
        <f>CdTrp1!G76</f>
        <v>1</v>
      </c>
      <c r="N94" s="30">
        <f>CdTrp1!H76</f>
        <v>1</v>
      </c>
      <c r="O94" s="30">
        <f>CdTrp1!I76</f>
        <v>1</v>
      </c>
      <c r="P94" s="30">
        <f>CdTrp1!J76</f>
        <v>1</v>
      </c>
      <c r="Q94" s="30">
        <f>CdTrp1!K76</f>
        <v>1</v>
      </c>
      <c r="R94" s="30">
        <f>CdTrp1!L76</f>
        <v>1</v>
      </c>
      <c r="S94" s="30">
        <f>CdTrp1!M76</f>
        <v>1</v>
      </c>
      <c r="T94" s="30">
        <f>CdTrp1!N76</f>
        <v>1</v>
      </c>
      <c r="U94" s="30">
        <f>CdTrp1!O76</f>
        <v>1</v>
      </c>
      <c r="V94" s="30">
        <f>CdTrp1!P76</f>
        <v>1</v>
      </c>
      <c r="W94" s="30">
        <f>CdTrp1!Q76</f>
        <v>1</v>
      </c>
      <c r="X94" s="30">
        <f>CdTrp1!R76</f>
        <v>1</v>
      </c>
      <c r="Y94" s="30">
        <f>CdTrp1!S76</f>
        <v>1</v>
      </c>
      <c r="Z94" s="30">
        <f>CdTrp1!T76</f>
        <v>1</v>
      </c>
      <c r="AA94" s="30">
        <f>CdTrp1!U76</f>
        <v>1</v>
      </c>
      <c r="AB94" s="30">
        <f>CdTrp1!V76</f>
        <v>0</v>
      </c>
      <c r="AC94" s="30">
        <f>CdTrp1!W76</f>
        <v>0</v>
      </c>
      <c r="AD94" s="30">
        <f>CdTrp1!X76</f>
        <v>0</v>
      </c>
      <c r="AE94" s="30">
        <f>CdTrp1!Y76</f>
        <v>0</v>
      </c>
      <c r="AT94" s="182" t="str">
        <f>CdTrp1!A22</f>
        <v>lot8</v>
      </c>
      <c r="AU94" s="185">
        <f>Scénario!K103</f>
        <v>0</v>
      </c>
      <c r="AV94" s="168">
        <f t="shared" si="15"/>
        <v>0</v>
      </c>
      <c r="AW94" s="168">
        <f t="shared" si="15"/>
        <v>0</v>
      </c>
      <c r="AX94" s="168">
        <f t="shared" si="15"/>
        <v>0</v>
      </c>
      <c r="AY94" s="168">
        <f t="shared" si="15"/>
        <v>0</v>
      </c>
      <c r="AZ94" s="168">
        <f t="shared" si="15"/>
        <v>0</v>
      </c>
      <c r="BA94" s="168">
        <f t="shared" si="15"/>
        <v>0</v>
      </c>
      <c r="BB94" s="168">
        <f t="shared" si="15"/>
        <v>0</v>
      </c>
      <c r="BC94" s="168">
        <f t="shared" si="15"/>
        <v>0</v>
      </c>
      <c r="BD94" s="168">
        <f t="shared" si="15"/>
        <v>0</v>
      </c>
      <c r="BE94" s="168">
        <f t="shared" si="15"/>
        <v>0</v>
      </c>
      <c r="BF94" s="168">
        <f t="shared" si="15"/>
        <v>0</v>
      </c>
      <c r="BG94" s="168">
        <f t="shared" si="15"/>
        <v>0</v>
      </c>
      <c r="BH94" s="168">
        <f t="shared" si="15"/>
        <v>0</v>
      </c>
      <c r="BI94" s="168">
        <f t="shared" si="15"/>
        <v>0</v>
      </c>
      <c r="BJ94" s="168">
        <f t="shared" si="15"/>
        <v>0</v>
      </c>
      <c r="BK94" s="168">
        <f t="shared" si="15"/>
        <v>0</v>
      </c>
      <c r="BL94" s="168">
        <f t="shared" si="16"/>
        <v>0</v>
      </c>
      <c r="BM94" s="168">
        <f t="shared" si="16"/>
        <v>0</v>
      </c>
      <c r="BN94" s="168">
        <f t="shared" si="16"/>
        <v>0</v>
      </c>
      <c r="BO94" s="168">
        <f t="shared" si="16"/>
        <v>0</v>
      </c>
      <c r="BP94" s="168">
        <f t="shared" si="16"/>
        <v>0</v>
      </c>
      <c r="BQ94" s="168">
        <f t="shared" si="16"/>
        <v>0</v>
      </c>
      <c r="BR94" s="168">
        <f t="shared" si="16"/>
        <v>0</v>
      </c>
      <c r="BS94" s="168">
        <f t="shared" si="16"/>
        <v>0</v>
      </c>
      <c r="BT94" s="5"/>
      <c r="BY94" s="5"/>
      <c r="BZ94" s="182" t="str">
        <f t="shared" si="17"/>
        <v>lot8</v>
      </c>
      <c r="CA94" s="185">
        <f>Scénario!K113</f>
        <v>0</v>
      </c>
      <c r="CB94" s="168">
        <f t="shared" si="21"/>
        <v>0</v>
      </c>
      <c r="CC94" s="168">
        <f t="shared" si="18"/>
        <v>0</v>
      </c>
      <c r="CD94" s="168">
        <f t="shared" si="18"/>
        <v>0</v>
      </c>
      <c r="CE94" s="168">
        <f t="shared" si="18"/>
        <v>0</v>
      </c>
      <c r="CF94" s="168">
        <f t="shared" si="18"/>
        <v>0</v>
      </c>
      <c r="CG94" s="168">
        <f t="shared" si="18"/>
        <v>0</v>
      </c>
      <c r="CH94" s="168">
        <f t="shared" si="18"/>
        <v>0</v>
      </c>
      <c r="CI94" s="168">
        <f t="shared" si="18"/>
        <v>0</v>
      </c>
      <c r="CJ94" s="168">
        <f t="shared" si="18"/>
        <v>0</v>
      </c>
      <c r="CK94" s="168">
        <f t="shared" si="18"/>
        <v>0</v>
      </c>
      <c r="CL94" s="168">
        <f t="shared" si="18"/>
        <v>0</v>
      </c>
      <c r="CM94" s="168">
        <f t="shared" si="18"/>
        <v>0</v>
      </c>
      <c r="CN94" s="168">
        <f t="shared" si="18"/>
        <v>0</v>
      </c>
      <c r="CO94" s="168">
        <f t="shared" si="18"/>
        <v>0</v>
      </c>
      <c r="CP94" s="168">
        <f t="shared" si="18"/>
        <v>0</v>
      </c>
      <c r="CQ94" s="168">
        <f t="shared" si="18"/>
        <v>0</v>
      </c>
      <c r="CR94" s="168">
        <f t="shared" si="18"/>
        <v>0</v>
      </c>
      <c r="CS94" s="168">
        <f t="shared" si="18"/>
        <v>0</v>
      </c>
      <c r="CT94" s="168">
        <f t="shared" si="18"/>
        <v>0</v>
      </c>
      <c r="CU94" s="168">
        <f t="shared" si="18"/>
        <v>0</v>
      </c>
      <c r="CV94" s="168">
        <f t="shared" si="18"/>
        <v>0</v>
      </c>
      <c r="CW94" s="168">
        <f t="shared" si="18"/>
        <v>0</v>
      </c>
      <c r="CX94" s="168">
        <f t="shared" si="18"/>
        <v>0</v>
      </c>
      <c r="CY94" s="168">
        <f t="shared" si="18"/>
        <v>0</v>
      </c>
      <c r="CZ94" s="5"/>
      <c r="DA94" s="5"/>
      <c r="DB94" s="5"/>
      <c r="DC94" s="182" t="str">
        <f t="shared" si="19"/>
        <v>lot8</v>
      </c>
      <c r="DD94" s="185">
        <f>Scénario!K123</f>
        <v>0</v>
      </c>
      <c r="DE94" s="168">
        <f t="shared" si="22"/>
        <v>0</v>
      </c>
      <c r="DF94" s="168">
        <f t="shared" si="20"/>
        <v>0</v>
      </c>
      <c r="DG94" s="168">
        <f t="shared" si="20"/>
        <v>0</v>
      </c>
      <c r="DH94" s="168">
        <f t="shared" si="20"/>
        <v>0</v>
      </c>
      <c r="DI94" s="168">
        <f t="shared" si="20"/>
        <v>0</v>
      </c>
      <c r="DJ94" s="168">
        <f t="shared" si="20"/>
        <v>0</v>
      </c>
      <c r="DK94" s="168">
        <f t="shared" si="20"/>
        <v>0</v>
      </c>
      <c r="DL94" s="168">
        <f t="shared" si="20"/>
        <v>0</v>
      </c>
      <c r="DM94" s="168">
        <f t="shared" si="20"/>
        <v>0</v>
      </c>
      <c r="DN94" s="168">
        <f t="shared" si="20"/>
        <v>0</v>
      </c>
      <c r="DO94" s="168">
        <f t="shared" si="20"/>
        <v>0</v>
      </c>
      <c r="DP94" s="168">
        <f t="shared" si="20"/>
        <v>0</v>
      </c>
      <c r="DQ94" s="168">
        <f t="shared" si="20"/>
        <v>0</v>
      </c>
      <c r="DR94" s="168">
        <f t="shared" si="20"/>
        <v>0</v>
      </c>
      <c r="DS94" s="168">
        <f t="shared" si="20"/>
        <v>0</v>
      </c>
      <c r="DT94" s="168">
        <f t="shared" si="20"/>
        <v>0</v>
      </c>
      <c r="DU94" s="168">
        <f t="shared" si="20"/>
        <v>0</v>
      </c>
      <c r="DV94" s="168">
        <f t="shared" si="20"/>
        <v>0</v>
      </c>
      <c r="DW94" s="168">
        <f t="shared" si="20"/>
        <v>0</v>
      </c>
      <c r="DX94" s="168">
        <f t="shared" si="20"/>
        <v>0</v>
      </c>
      <c r="DY94" s="168">
        <f t="shared" si="20"/>
        <v>0</v>
      </c>
      <c r="DZ94" s="168">
        <f t="shared" si="20"/>
        <v>0</v>
      </c>
      <c r="EA94" s="168">
        <f t="shared" si="20"/>
        <v>0</v>
      </c>
      <c r="EB94" s="168">
        <f t="shared" si="20"/>
        <v>0</v>
      </c>
    </row>
    <row r="95" spans="1:132" x14ac:dyDescent="0.25">
      <c r="B95" s="14" t="s">
        <v>1159</v>
      </c>
      <c r="C95" s="168">
        <f>'Calcul éco'!B39</f>
        <v>0</v>
      </c>
      <c r="D95" s="258">
        <f>ROUND(C95*$D$82/$C$82,3)</f>
        <v>0</v>
      </c>
      <c r="F95" s="14"/>
      <c r="G95" s="251" t="str">
        <f>CdTrp1!A89</f>
        <v>Génisses 24 mois</v>
      </c>
      <c r="H95" s="30">
        <f>CdTrp1!B77</f>
        <v>0</v>
      </c>
      <c r="I95" s="30">
        <f>CdTrp1!C77</f>
        <v>0</v>
      </c>
      <c r="J95" s="30">
        <f>CdTrp1!D77</f>
        <v>0</v>
      </c>
      <c r="K95" s="30">
        <f>CdTrp1!E77</f>
        <v>0</v>
      </c>
      <c r="L95" s="30">
        <f>CdTrp1!F77</f>
        <v>1</v>
      </c>
      <c r="M95" s="30">
        <f>CdTrp1!G77</f>
        <v>1</v>
      </c>
      <c r="N95" s="30">
        <f>CdTrp1!H77</f>
        <v>1</v>
      </c>
      <c r="O95" s="30">
        <f>CdTrp1!I77</f>
        <v>1</v>
      </c>
      <c r="P95" s="30">
        <f>CdTrp1!J77</f>
        <v>1</v>
      </c>
      <c r="Q95" s="30">
        <f>CdTrp1!K77</f>
        <v>1</v>
      </c>
      <c r="R95" s="30">
        <f>CdTrp1!L77</f>
        <v>1</v>
      </c>
      <c r="S95" s="30">
        <f>CdTrp1!M77</f>
        <v>1</v>
      </c>
      <c r="T95" s="30">
        <f>CdTrp1!N77</f>
        <v>1</v>
      </c>
      <c r="U95" s="30">
        <f>CdTrp1!O77</f>
        <v>1</v>
      </c>
      <c r="V95" s="30">
        <f>CdTrp1!P77</f>
        <v>1</v>
      </c>
      <c r="W95" s="30">
        <f>CdTrp1!Q77</f>
        <v>1</v>
      </c>
      <c r="X95" s="30">
        <f>CdTrp1!R77</f>
        <v>1</v>
      </c>
      <c r="Y95" s="30">
        <f>CdTrp1!S77</f>
        <v>1</v>
      </c>
      <c r="Z95" s="30">
        <f>CdTrp1!T77</f>
        <v>1</v>
      </c>
      <c r="AA95" s="30">
        <f>CdTrp1!U77</f>
        <v>1</v>
      </c>
      <c r="AB95" s="30">
        <f>CdTrp1!V77</f>
        <v>1</v>
      </c>
      <c r="AC95" s="30">
        <f>CdTrp1!W77</f>
        <v>0</v>
      </c>
      <c r="AD95" s="30">
        <f>CdTrp1!X77</f>
        <v>0</v>
      </c>
      <c r="AE95" s="30">
        <f>CdTrp1!Y77</f>
        <v>0</v>
      </c>
      <c r="AT95" s="182" t="str">
        <f>CdTrp1!A23</f>
        <v>lot9</v>
      </c>
      <c r="AU95" s="185">
        <f>Scénario!K104</f>
        <v>0</v>
      </c>
      <c r="AV95" s="168">
        <f t="shared" si="15"/>
        <v>0</v>
      </c>
      <c r="AW95" s="168">
        <f t="shared" si="15"/>
        <v>0</v>
      </c>
      <c r="AX95" s="168">
        <f t="shared" si="15"/>
        <v>0</v>
      </c>
      <c r="AY95" s="168">
        <f t="shared" si="15"/>
        <v>0</v>
      </c>
      <c r="AZ95" s="168">
        <f t="shared" si="15"/>
        <v>0</v>
      </c>
      <c r="BA95" s="168">
        <f t="shared" si="15"/>
        <v>0</v>
      </c>
      <c r="BB95" s="168">
        <f t="shared" si="15"/>
        <v>0</v>
      </c>
      <c r="BC95" s="168">
        <f t="shared" si="15"/>
        <v>0</v>
      </c>
      <c r="BD95" s="168">
        <f t="shared" si="15"/>
        <v>0</v>
      </c>
      <c r="BE95" s="168">
        <f t="shared" si="15"/>
        <v>0</v>
      </c>
      <c r="BF95" s="168">
        <f t="shared" si="15"/>
        <v>0</v>
      </c>
      <c r="BG95" s="168">
        <f t="shared" si="15"/>
        <v>0</v>
      </c>
      <c r="BH95" s="168">
        <f t="shared" si="15"/>
        <v>0</v>
      </c>
      <c r="BI95" s="168">
        <f t="shared" si="15"/>
        <v>0</v>
      </c>
      <c r="BJ95" s="168">
        <f t="shared" si="15"/>
        <v>0</v>
      </c>
      <c r="BK95" s="168">
        <f t="shared" si="15"/>
        <v>0</v>
      </c>
      <c r="BL95" s="168">
        <f t="shared" si="16"/>
        <v>0</v>
      </c>
      <c r="BM95" s="168">
        <f t="shared" si="16"/>
        <v>0</v>
      </c>
      <c r="BN95" s="168">
        <f t="shared" si="16"/>
        <v>0</v>
      </c>
      <c r="BO95" s="168">
        <f t="shared" si="16"/>
        <v>0</v>
      </c>
      <c r="BP95" s="168">
        <f t="shared" si="16"/>
        <v>0</v>
      </c>
      <c r="BQ95" s="168">
        <f t="shared" si="16"/>
        <v>0</v>
      </c>
      <c r="BR95" s="168">
        <f t="shared" si="16"/>
        <v>0</v>
      </c>
      <c r="BS95" s="168">
        <f t="shared" si="16"/>
        <v>0</v>
      </c>
      <c r="BT95" s="5"/>
      <c r="BY95" s="5"/>
      <c r="BZ95" s="182" t="str">
        <f t="shared" si="17"/>
        <v>lot9</v>
      </c>
      <c r="CA95" s="185">
        <f>Scénario!K114</f>
        <v>0</v>
      </c>
      <c r="CB95" s="168">
        <f t="shared" si="21"/>
        <v>0</v>
      </c>
      <c r="CC95" s="168">
        <f t="shared" si="18"/>
        <v>0</v>
      </c>
      <c r="CD95" s="168">
        <f t="shared" si="18"/>
        <v>0</v>
      </c>
      <c r="CE95" s="168">
        <f t="shared" si="18"/>
        <v>0</v>
      </c>
      <c r="CF95" s="168">
        <f t="shared" si="18"/>
        <v>0</v>
      </c>
      <c r="CG95" s="168">
        <f t="shared" si="18"/>
        <v>0</v>
      </c>
      <c r="CH95" s="168">
        <f t="shared" si="18"/>
        <v>0</v>
      </c>
      <c r="CI95" s="168">
        <f t="shared" si="18"/>
        <v>0</v>
      </c>
      <c r="CJ95" s="168">
        <f t="shared" si="18"/>
        <v>0</v>
      </c>
      <c r="CK95" s="168">
        <f t="shared" si="18"/>
        <v>0</v>
      </c>
      <c r="CL95" s="168">
        <f t="shared" si="18"/>
        <v>0</v>
      </c>
      <c r="CM95" s="168">
        <f t="shared" si="18"/>
        <v>0</v>
      </c>
      <c r="CN95" s="168">
        <f t="shared" si="18"/>
        <v>0</v>
      </c>
      <c r="CO95" s="168">
        <f t="shared" si="18"/>
        <v>0</v>
      </c>
      <c r="CP95" s="168">
        <f t="shared" si="18"/>
        <v>0</v>
      </c>
      <c r="CQ95" s="168">
        <f t="shared" si="18"/>
        <v>0</v>
      </c>
      <c r="CR95" s="168">
        <f t="shared" si="18"/>
        <v>0</v>
      </c>
      <c r="CS95" s="168">
        <f t="shared" si="18"/>
        <v>0</v>
      </c>
      <c r="CT95" s="168">
        <f t="shared" si="18"/>
        <v>0</v>
      </c>
      <c r="CU95" s="168">
        <f t="shared" si="18"/>
        <v>0</v>
      </c>
      <c r="CV95" s="168">
        <f t="shared" si="18"/>
        <v>0</v>
      </c>
      <c r="CW95" s="168">
        <f t="shared" si="18"/>
        <v>0</v>
      </c>
      <c r="CX95" s="168">
        <f t="shared" si="18"/>
        <v>0</v>
      </c>
      <c r="CY95" s="168">
        <f t="shared" si="18"/>
        <v>0</v>
      </c>
      <c r="CZ95" s="5"/>
      <c r="DA95" s="5"/>
      <c r="DB95" s="5"/>
      <c r="DC95" s="182" t="str">
        <f t="shared" si="19"/>
        <v>lot9</v>
      </c>
      <c r="DD95" s="185">
        <f>Scénario!K124</f>
        <v>0</v>
      </c>
      <c r="DE95" s="168">
        <f t="shared" si="22"/>
        <v>0</v>
      </c>
      <c r="DF95" s="168">
        <f t="shared" si="20"/>
        <v>0</v>
      </c>
      <c r="DG95" s="168">
        <f t="shared" si="20"/>
        <v>0</v>
      </c>
      <c r="DH95" s="168">
        <f t="shared" si="20"/>
        <v>0</v>
      </c>
      <c r="DI95" s="168">
        <f t="shared" si="20"/>
        <v>0</v>
      </c>
      <c r="DJ95" s="168">
        <f t="shared" si="20"/>
        <v>0</v>
      </c>
      <c r="DK95" s="168">
        <f t="shared" si="20"/>
        <v>0</v>
      </c>
      <c r="DL95" s="168">
        <f t="shared" si="20"/>
        <v>0</v>
      </c>
      <c r="DM95" s="168">
        <f t="shared" si="20"/>
        <v>0</v>
      </c>
      <c r="DN95" s="168">
        <f t="shared" si="20"/>
        <v>0</v>
      </c>
      <c r="DO95" s="168">
        <f t="shared" si="20"/>
        <v>0</v>
      </c>
      <c r="DP95" s="168">
        <f t="shared" si="20"/>
        <v>0</v>
      </c>
      <c r="DQ95" s="168">
        <f t="shared" si="20"/>
        <v>0</v>
      </c>
      <c r="DR95" s="168">
        <f t="shared" si="20"/>
        <v>0</v>
      </c>
      <c r="DS95" s="168">
        <f t="shared" si="20"/>
        <v>0</v>
      </c>
      <c r="DT95" s="168">
        <f t="shared" si="20"/>
        <v>0</v>
      </c>
      <c r="DU95" s="168">
        <f t="shared" si="20"/>
        <v>0</v>
      </c>
      <c r="DV95" s="168">
        <f t="shared" si="20"/>
        <v>0</v>
      </c>
      <c r="DW95" s="168">
        <f t="shared" si="20"/>
        <v>0</v>
      </c>
      <c r="DX95" s="168">
        <f t="shared" si="20"/>
        <v>0</v>
      </c>
      <c r="DY95" s="168">
        <f t="shared" si="20"/>
        <v>0</v>
      </c>
      <c r="DZ95" s="168">
        <f t="shared" si="20"/>
        <v>0</v>
      </c>
      <c r="EA95" s="168">
        <f t="shared" si="20"/>
        <v>0</v>
      </c>
      <c r="EB95" s="168">
        <f t="shared" si="20"/>
        <v>0</v>
      </c>
    </row>
    <row r="96" spans="1:132" x14ac:dyDescent="0.25">
      <c r="B96" s="14" t="s">
        <v>551</v>
      </c>
      <c r="C96" s="168">
        <f>Scénario!K39</f>
        <v>0</v>
      </c>
      <c r="D96" s="258">
        <f t="shared" si="14"/>
        <v>0</v>
      </c>
      <c r="F96" s="14"/>
      <c r="G96" s="251" t="str">
        <f>CdTrp1!A90</f>
        <v>Génisses jeunes</v>
      </c>
      <c r="H96" s="30">
        <f>CdTrp1!B78</f>
        <v>0</v>
      </c>
      <c r="I96" s="30">
        <f>CdTrp1!C78</f>
        <v>0</v>
      </c>
      <c r="J96" s="30">
        <f>CdTrp1!D78</f>
        <v>0</v>
      </c>
      <c r="K96" s="30">
        <f>CdTrp1!E78</f>
        <v>0</v>
      </c>
      <c r="L96" s="30">
        <f>CdTrp1!F78</f>
        <v>0</v>
      </c>
      <c r="M96" s="30">
        <f>CdTrp1!G78</f>
        <v>0</v>
      </c>
      <c r="N96" s="30">
        <f>CdTrp1!H78</f>
        <v>0</v>
      </c>
      <c r="O96" s="30">
        <f>CdTrp1!I78</f>
        <v>0</v>
      </c>
      <c r="P96" s="30">
        <f>CdTrp1!J78</f>
        <v>0</v>
      </c>
      <c r="Q96" s="30">
        <f>CdTrp1!K78</f>
        <v>1</v>
      </c>
      <c r="R96" s="30">
        <f>CdTrp1!L78</f>
        <v>1</v>
      </c>
      <c r="S96" s="30">
        <f>CdTrp1!M78</f>
        <v>1</v>
      </c>
      <c r="T96" s="30">
        <f>CdTrp1!N78</f>
        <v>1</v>
      </c>
      <c r="U96" s="30">
        <f>CdTrp1!O78</f>
        <v>1</v>
      </c>
      <c r="V96" s="30">
        <f>CdTrp1!P78</f>
        <v>1</v>
      </c>
      <c r="W96" s="30">
        <f>CdTrp1!Q78</f>
        <v>1</v>
      </c>
      <c r="X96" s="30">
        <f>CdTrp1!R78</f>
        <v>1</v>
      </c>
      <c r="Y96" s="30">
        <f>CdTrp1!S78</f>
        <v>1</v>
      </c>
      <c r="Z96" s="30">
        <f>CdTrp1!T78</f>
        <v>1</v>
      </c>
      <c r="AA96" s="30">
        <f>CdTrp1!U78</f>
        <v>1</v>
      </c>
      <c r="AB96" s="30">
        <f>CdTrp1!V78</f>
        <v>1</v>
      </c>
      <c r="AC96" s="30">
        <f>CdTrp1!W78</f>
        <v>0</v>
      </c>
      <c r="AD96" s="30">
        <f>CdTrp1!X78</f>
        <v>0</v>
      </c>
      <c r="AE96" s="30">
        <f>CdTrp1!Y78</f>
        <v>0</v>
      </c>
      <c r="AT96" s="182" t="str">
        <f>CdTrp1!A24</f>
        <v>lot10</v>
      </c>
      <c r="AU96" s="185">
        <f>Scénario!K105</f>
        <v>0</v>
      </c>
      <c r="AV96" s="168">
        <f t="shared" si="15"/>
        <v>0</v>
      </c>
      <c r="AW96" s="168">
        <f t="shared" si="15"/>
        <v>0</v>
      </c>
      <c r="AX96" s="168">
        <f t="shared" si="15"/>
        <v>0</v>
      </c>
      <c r="AY96" s="168">
        <f t="shared" si="15"/>
        <v>0</v>
      </c>
      <c r="AZ96" s="168">
        <f t="shared" si="15"/>
        <v>0</v>
      </c>
      <c r="BA96" s="168">
        <f t="shared" si="15"/>
        <v>0</v>
      </c>
      <c r="BB96" s="168">
        <f t="shared" si="15"/>
        <v>0</v>
      </c>
      <c r="BC96" s="168">
        <f t="shared" si="15"/>
        <v>0</v>
      </c>
      <c r="BD96" s="168">
        <f t="shared" si="15"/>
        <v>0</v>
      </c>
      <c r="BE96" s="168">
        <f t="shared" si="15"/>
        <v>0</v>
      </c>
      <c r="BF96" s="168">
        <f t="shared" si="15"/>
        <v>0</v>
      </c>
      <c r="BG96" s="168">
        <f t="shared" si="15"/>
        <v>0</v>
      </c>
      <c r="BH96" s="168">
        <f t="shared" si="15"/>
        <v>0</v>
      </c>
      <c r="BI96" s="168">
        <f t="shared" si="15"/>
        <v>0</v>
      </c>
      <c r="BJ96" s="168">
        <f t="shared" si="15"/>
        <v>0</v>
      </c>
      <c r="BK96" s="168">
        <f t="shared" si="15"/>
        <v>0</v>
      </c>
      <c r="BL96" s="168">
        <f t="shared" si="16"/>
        <v>0</v>
      </c>
      <c r="BM96" s="168">
        <f t="shared" si="16"/>
        <v>0</v>
      </c>
      <c r="BN96" s="168">
        <f t="shared" si="16"/>
        <v>0</v>
      </c>
      <c r="BO96" s="168">
        <f t="shared" si="16"/>
        <v>0</v>
      </c>
      <c r="BP96" s="168">
        <f t="shared" si="16"/>
        <v>0</v>
      </c>
      <c r="BQ96" s="168">
        <f t="shared" si="16"/>
        <v>0</v>
      </c>
      <c r="BR96" s="168">
        <f t="shared" si="16"/>
        <v>0</v>
      </c>
      <c r="BS96" s="168">
        <f t="shared" si="16"/>
        <v>0</v>
      </c>
      <c r="BZ96" s="182" t="str">
        <f t="shared" si="17"/>
        <v>lot10</v>
      </c>
      <c r="CA96" s="185">
        <f>Scénario!K115</f>
        <v>0</v>
      </c>
      <c r="CB96" s="168">
        <f t="shared" si="21"/>
        <v>0</v>
      </c>
      <c r="CC96" s="168">
        <f t="shared" si="18"/>
        <v>0</v>
      </c>
      <c r="CD96" s="168">
        <f t="shared" si="18"/>
        <v>0</v>
      </c>
      <c r="CE96" s="168">
        <f t="shared" si="18"/>
        <v>0</v>
      </c>
      <c r="CF96" s="168">
        <f t="shared" si="18"/>
        <v>0</v>
      </c>
      <c r="CG96" s="168">
        <f t="shared" si="18"/>
        <v>0</v>
      </c>
      <c r="CH96" s="168">
        <f t="shared" si="18"/>
        <v>0</v>
      </c>
      <c r="CI96" s="168">
        <f t="shared" si="18"/>
        <v>0</v>
      </c>
      <c r="CJ96" s="168">
        <f t="shared" si="18"/>
        <v>0</v>
      </c>
      <c r="CK96" s="168">
        <f t="shared" si="18"/>
        <v>0</v>
      </c>
      <c r="CL96" s="168">
        <f t="shared" si="18"/>
        <v>0</v>
      </c>
      <c r="CM96" s="168">
        <f t="shared" si="18"/>
        <v>0</v>
      </c>
      <c r="CN96" s="168">
        <f t="shared" si="18"/>
        <v>0</v>
      </c>
      <c r="CO96" s="168">
        <f t="shared" si="18"/>
        <v>0</v>
      </c>
      <c r="CP96" s="168">
        <f t="shared" si="18"/>
        <v>0</v>
      </c>
      <c r="CQ96" s="168">
        <f t="shared" si="18"/>
        <v>0</v>
      </c>
      <c r="CR96" s="168">
        <f t="shared" si="18"/>
        <v>0</v>
      </c>
      <c r="CS96" s="168">
        <f t="shared" si="18"/>
        <v>0</v>
      </c>
      <c r="CT96" s="168">
        <f t="shared" si="18"/>
        <v>0</v>
      </c>
      <c r="CU96" s="168">
        <f t="shared" si="18"/>
        <v>0</v>
      </c>
      <c r="CV96" s="168">
        <f t="shared" si="18"/>
        <v>0</v>
      </c>
      <c r="CW96" s="168">
        <f t="shared" si="18"/>
        <v>0</v>
      </c>
      <c r="CX96" s="168">
        <f t="shared" si="18"/>
        <v>0</v>
      </c>
      <c r="CY96" s="168">
        <f t="shared" si="18"/>
        <v>0</v>
      </c>
      <c r="DC96" s="182" t="str">
        <f t="shared" si="19"/>
        <v>lot10</v>
      </c>
      <c r="DD96" s="185">
        <f>Scénario!K125</f>
        <v>0</v>
      </c>
      <c r="DE96" s="168">
        <f t="shared" si="22"/>
        <v>0</v>
      </c>
      <c r="DF96" s="168">
        <f t="shared" si="20"/>
        <v>0</v>
      </c>
      <c r="DG96" s="168">
        <f t="shared" si="20"/>
        <v>0</v>
      </c>
      <c r="DH96" s="168">
        <f t="shared" si="20"/>
        <v>0</v>
      </c>
      <c r="DI96" s="168">
        <f t="shared" si="20"/>
        <v>0</v>
      </c>
      <c r="DJ96" s="168">
        <f t="shared" si="20"/>
        <v>0</v>
      </c>
      <c r="DK96" s="168">
        <f t="shared" si="20"/>
        <v>0</v>
      </c>
      <c r="DL96" s="168">
        <f t="shared" si="20"/>
        <v>0</v>
      </c>
      <c r="DM96" s="168">
        <f t="shared" si="20"/>
        <v>0</v>
      </c>
      <c r="DN96" s="168">
        <f t="shared" si="20"/>
        <v>0</v>
      </c>
      <c r="DO96" s="168">
        <f t="shared" si="20"/>
        <v>0</v>
      </c>
      <c r="DP96" s="168">
        <f t="shared" si="20"/>
        <v>0</v>
      </c>
      <c r="DQ96" s="168">
        <f t="shared" si="20"/>
        <v>0</v>
      </c>
      <c r="DR96" s="168">
        <f t="shared" si="20"/>
        <v>0</v>
      </c>
      <c r="DS96" s="168">
        <f t="shared" si="20"/>
        <v>0</v>
      </c>
      <c r="DT96" s="168">
        <f t="shared" si="20"/>
        <v>0</v>
      </c>
      <c r="DU96" s="168">
        <f t="shared" si="20"/>
        <v>0</v>
      </c>
      <c r="DV96" s="168">
        <f t="shared" si="20"/>
        <v>0</v>
      </c>
      <c r="DW96" s="168">
        <f t="shared" si="20"/>
        <v>0</v>
      </c>
      <c r="DX96" s="168">
        <f t="shared" si="20"/>
        <v>0</v>
      </c>
      <c r="DY96" s="168">
        <f t="shared" si="20"/>
        <v>0</v>
      </c>
      <c r="DZ96" s="168">
        <f t="shared" si="20"/>
        <v>0</v>
      </c>
      <c r="EA96" s="168">
        <f t="shared" si="20"/>
        <v>0</v>
      </c>
      <c r="EB96" s="168">
        <f>IF($DD96="fort",2,IF($DD96="faible",1,0))</f>
        <v>0</v>
      </c>
    </row>
    <row r="97" spans="1:132" x14ac:dyDescent="0.25">
      <c r="A97" s="2" t="s">
        <v>1160</v>
      </c>
      <c r="B97" s="14" t="s">
        <v>1161</v>
      </c>
      <c r="C97" s="168">
        <f>C90+C75+C73</f>
        <v>35.099999999999994</v>
      </c>
      <c r="D97" s="258">
        <f t="shared" si="14"/>
        <v>46.2</v>
      </c>
      <c r="F97" s="14"/>
      <c r="G97" s="30" t="str">
        <f>CdTrp1!A91</f>
        <v>broutards</v>
      </c>
      <c r="H97" s="30">
        <f>CdTrp1!B79</f>
        <v>0</v>
      </c>
      <c r="I97" s="30">
        <f>CdTrp1!C79</f>
        <v>0</v>
      </c>
      <c r="J97" s="30">
        <f>CdTrp1!D79</f>
        <v>0</v>
      </c>
      <c r="K97" s="30">
        <f>CdTrp1!E79</f>
        <v>0</v>
      </c>
      <c r="L97" s="30">
        <f>CdTrp1!F79</f>
        <v>0</v>
      </c>
      <c r="M97" s="30">
        <f>CdTrp1!G79</f>
        <v>0</v>
      </c>
      <c r="N97" s="30">
        <f>CdTrp1!H79</f>
        <v>0</v>
      </c>
      <c r="O97" s="30">
        <f>CdTrp1!I79</f>
        <v>0</v>
      </c>
      <c r="P97" s="30">
        <f>CdTrp1!J79</f>
        <v>0</v>
      </c>
      <c r="Q97" s="30">
        <f>CdTrp1!K79</f>
        <v>0</v>
      </c>
      <c r="R97" s="30">
        <f>CdTrp1!L79</f>
        <v>0</v>
      </c>
      <c r="S97" s="30">
        <f>CdTrp1!M79</f>
        <v>0</v>
      </c>
      <c r="T97" s="30">
        <f>CdTrp1!N79</f>
        <v>0</v>
      </c>
      <c r="U97" s="30">
        <f>CdTrp1!O79</f>
        <v>0</v>
      </c>
      <c r="V97" s="30">
        <f>CdTrp1!P79</f>
        <v>0</v>
      </c>
      <c r="W97" s="30">
        <f>CdTrp1!Q79</f>
        <v>0</v>
      </c>
      <c r="X97" s="30">
        <f>CdTrp1!R79</f>
        <v>0</v>
      </c>
      <c r="Y97" s="30">
        <f>CdTrp1!S79</f>
        <v>0</v>
      </c>
      <c r="Z97" s="30">
        <f>CdTrp1!T79</f>
        <v>0</v>
      </c>
      <c r="AA97" s="30">
        <f>CdTrp1!U79</f>
        <v>0</v>
      </c>
      <c r="AB97" s="30">
        <f>CdTrp1!V79</f>
        <v>0</v>
      </c>
      <c r="AC97" s="30">
        <f>CdTrp1!W79</f>
        <v>0</v>
      </c>
      <c r="AD97" s="30">
        <f>CdTrp1!X79</f>
        <v>0</v>
      </c>
      <c r="AE97" s="30">
        <f>CdTrp1!Y79</f>
        <v>0</v>
      </c>
      <c r="AT97" s="2" t="s">
        <v>728</v>
      </c>
      <c r="AV97" s="268"/>
      <c r="AW97" s="268"/>
      <c r="AX97" s="268"/>
      <c r="AY97" s="268"/>
      <c r="AZ97" s="268"/>
      <c r="BA97" s="268"/>
      <c r="BB97" s="268"/>
      <c r="BC97" s="268"/>
      <c r="BD97" s="268"/>
      <c r="BE97" s="268"/>
      <c r="BF97" s="268"/>
      <c r="BG97" s="268"/>
      <c r="BH97" s="268"/>
      <c r="BI97" s="268"/>
      <c r="BJ97" s="268"/>
      <c r="BK97" s="268"/>
      <c r="BL97" s="268"/>
      <c r="BM97" s="268"/>
      <c r="BN97" s="268"/>
      <c r="BO97" s="268"/>
      <c r="BP97" s="268"/>
      <c r="BQ97" s="268"/>
      <c r="BR97" s="268"/>
      <c r="BS97" s="268"/>
      <c r="BZ97" s="2" t="s">
        <v>728</v>
      </c>
      <c r="CB97" s="268"/>
      <c r="CC97" s="268"/>
      <c r="CD97" s="268"/>
      <c r="CE97" s="268"/>
      <c r="CF97" s="268"/>
      <c r="CG97" s="268"/>
      <c r="CH97" s="268"/>
      <c r="CI97" s="268"/>
      <c r="CJ97" s="268"/>
      <c r="CK97" s="268"/>
      <c r="CL97" s="268"/>
      <c r="CM97" s="268"/>
      <c r="CN97" s="268"/>
      <c r="CO97" s="268"/>
      <c r="CP97" s="268"/>
      <c r="CQ97" s="268"/>
      <c r="CR97" s="268"/>
      <c r="CS97" s="268"/>
      <c r="CT97" s="268"/>
      <c r="CU97" s="268"/>
      <c r="CV97" s="268"/>
      <c r="CW97" s="268"/>
      <c r="CX97" s="268"/>
      <c r="CY97" s="268"/>
      <c r="DC97" s="2" t="s">
        <v>728</v>
      </c>
      <c r="DD97" s="177"/>
      <c r="DE97" s="268"/>
      <c r="DF97" s="268"/>
      <c r="DG97" s="268"/>
      <c r="DH97" s="268"/>
      <c r="DI97" s="268"/>
      <c r="DJ97" s="268"/>
      <c r="DK97" s="268"/>
      <c r="DL97" s="268"/>
      <c r="DM97" s="268"/>
      <c r="DN97" s="268"/>
      <c r="DO97" s="268"/>
      <c r="DP97" s="268"/>
      <c r="DQ97" s="268"/>
      <c r="DR97" s="268"/>
      <c r="DS97" s="268"/>
      <c r="DT97" s="268"/>
      <c r="DU97" s="268"/>
      <c r="DV97" s="268"/>
      <c r="DW97" s="268"/>
      <c r="DX97" s="268"/>
      <c r="DY97" s="268"/>
      <c r="DZ97" s="268"/>
      <c r="EA97" s="268"/>
      <c r="EB97" s="268"/>
    </row>
    <row r="98" spans="1:132" x14ac:dyDescent="0.25">
      <c r="A98" s="2" t="s">
        <v>1162</v>
      </c>
      <c r="B98" s="14" t="s">
        <v>1163</v>
      </c>
      <c r="C98" s="168">
        <f>MAX(H129:AE129)</f>
        <v>3</v>
      </c>
      <c r="D98" s="168">
        <f>C98</f>
        <v>3</v>
      </c>
      <c r="F98" s="14"/>
      <c r="G98" s="251" t="str">
        <f>CdTrp1!A92</f>
        <v>génisses &lt; 1 an</v>
      </c>
      <c r="H98" s="30">
        <f>CdTrp1!B80</f>
        <v>0</v>
      </c>
      <c r="I98" s="30">
        <f>CdTrp1!C80</f>
        <v>0</v>
      </c>
      <c r="J98" s="30">
        <f>CdTrp1!D80</f>
        <v>0</v>
      </c>
      <c r="K98" s="30">
        <f>CdTrp1!E80</f>
        <v>0</v>
      </c>
      <c r="L98" s="30">
        <f>CdTrp1!F80</f>
        <v>0</v>
      </c>
      <c r="M98" s="30">
        <f>CdTrp1!G80</f>
        <v>0</v>
      </c>
      <c r="N98" s="30">
        <f>CdTrp1!H80</f>
        <v>0</v>
      </c>
      <c r="O98" s="30">
        <f>CdTrp1!I80</f>
        <v>0</v>
      </c>
      <c r="P98" s="30">
        <f>CdTrp1!J80</f>
        <v>0</v>
      </c>
      <c r="Q98" s="30">
        <f>CdTrp1!K80</f>
        <v>0</v>
      </c>
      <c r="R98" s="30">
        <f>CdTrp1!L80</f>
        <v>0</v>
      </c>
      <c r="S98" s="30">
        <f>CdTrp1!M80</f>
        <v>0</v>
      </c>
      <c r="T98" s="30">
        <f>CdTrp1!N80</f>
        <v>0</v>
      </c>
      <c r="U98" s="30">
        <f>CdTrp1!O80</f>
        <v>0</v>
      </c>
      <c r="V98" s="30">
        <f>CdTrp1!P80</f>
        <v>0</v>
      </c>
      <c r="W98" s="30">
        <f>CdTrp1!Q80</f>
        <v>0</v>
      </c>
      <c r="X98" s="30">
        <f>CdTrp1!R80</f>
        <v>0</v>
      </c>
      <c r="Y98" s="30">
        <f>CdTrp1!S80</f>
        <v>0</v>
      </c>
      <c r="Z98" s="30">
        <f>CdTrp1!T80</f>
        <v>0</v>
      </c>
      <c r="AA98" s="30">
        <f>CdTrp1!U80</f>
        <v>0</v>
      </c>
      <c r="AB98" s="30">
        <f>CdTrp1!V80</f>
        <v>0</v>
      </c>
      <c r="AC98" s="30">
        <f>CdTrp1!W80</f>
        <v>0</v>
      </c>
      <c r="AD98" s="30">
        <f>CdTrp1!X80</f>
        <v>0</v>
      </c>
      <c r="AE98" s="30">
        <f>CdTrp1!Y80</f>
        <v>0</v>
      </c>
      <c r="AT98" s="182" t="str">
        <f>CdTrp1!$A52</f>
        <v xml:space="preserve">Vaches </v>
      </c>
      <c r="AU98" s="32"/>
      <c r="AV98" s="168">
        <f>IF(CdTrp1!B52=1,3,IF(CdTrp1!B52=0.5,2,IF(CdTrp1!B52=0,1,0)))</f>
        <v>3</v>
      </c>
      <c r="AW98" s="168">
        <f>IF(CdTrp1!C52=1,3,IF(CdTrp1!C52=0.5,2,IF(CdTrp1!C52=0,1,0)))</f>
        <v>3</v>
      </c>
      <c r="AX98" s="168">
        <f>IF(CdTrp1!D52=1,3,IF(CdTrp1!D52=0.5,2,IF(CdTrp1!D52=0,1,0)))</f>
        <v>3</v>
      </c>
      <c r="AY98" s="168">
        <f>IF(CdTrp1!E52=1,3,IF(CdTrp1!E52=0.5,2,IF(CdTrp1!E52=0,1,0)))</f>
        <v>3</v>
      </c>
      <c r="AZ98" s="168">
        <f>IF(CdTrp1!F52=1,3,IF(CdTrp1!F52=0.5,2,IF(CdTrp1!F52=0,1,0)))</f>
        <v>1</v>
      </c>
      <c r="BA98" s="168">
        <f>IF(CdTrp1!G52=1,3,IF(CdTrp1!G52=0.5,2,IF(CdTrp1!G52=0,1,0)))</f>
        <v>1</v>
      </c>
      <c r="BB98" s="168">
        <f>IF(CdTrp1!H52=1,3,IF(CdTrp1!H52=0.5,2,IF(CdTrp1!H52=0,1,0)))</f>
        <v>1</v>
      </c>
      <c r="BC98" s="168">
        <f>IF(CdTrp1!I52=1,3,IF(CdTrp1!I52=0.5,2,IF(CdTrp1!I52=0,1,0)))</f>
        <v>1</v>
      </c>
      <c r="BD98" s="168">
        <f>IF(CdTrp1!J52=1,3,IF(CdTrp1!J52=0.5,2,IF(CdTrp1!J52=0,1,0)))</f>
        <v>1</v>
      </c>
      <c r="BE98" s="168">
        <f>IF(CdTrp1!K52=1,3,IF(CdTrp1!K52=0.5,2,IF(CdTrp1!K52=0,1,0)))</f>
        <v>1</v>
      </c>
      <c r="BF98" s="168">
        <f>IF(CdTrp1!L52=1,3,IF(CdTrp1!L52=0.5,2,IF(CdTrp1!L52=0,1,0)))</f>
        <v>1</v>
      </c>
      <c r="BG98" s="168">
        <f>IF(CdTrp1!M52=1,3,IF(CdTrp1!M52=0.5,2,IF(CdTrp1!M52=0,1,0)))</f>
        <v>1</v>
      </c>
      <c r="BH98" s="168">
        <f>IF(CdTrp1!N52=1,3,IF(CdTrp1!N52=0.5,2,IF(CdTrp1!N52=0,1,0)))</f>
        <v>1</v>
      </c>
      <c r="BI98" s="168">
        <f>IF(CdTrp1!O52=1,3,IF(CdTrp1!O52=0.5,2,IF(CdTrp1!O52=0,1,0)))</f>
        <v>1</v>
      </c>
      <c r="BJ98" s="168">
        <f>IF(CdTrp1!P52=1,3,IF(CdTrp1!P52=0.5,2,IF(CdTrp1!P52=0,1,0)))</f>
        <v>1</v>
      </c>
      <c r="BK98" s="168">
        <f>IF(CdTrp1!Q52=1,3,IF(CdTrp1!Q52=0.5,2,IF(CdTrp1!Q52=0,1,0)))</f>
        <v>1</v>
      </c>
      <c r="BL98" s="168">
        <f>IF(CdTrp1!R52=1,3,IF(CdTrp1!R52=0.5,2,IF(CdTrp1!R52=0,1,0)))</f>
        <v>1</v>
      </c>
      <c r="BM98" s="168">
        <f>IF(CdTrp1!S52=1,3,IF(CdTrp1!S52=0.5,2,IF(CdTrp1!S52=0,1,0)))</f>
        <v>1</v>
      </c>
      <c r="BN98" s="168">
        <f>IF(CdTrp1!T52=1,3,IF(CdTrp1!T52=0.5,2,IF(CdTrp1!T52=0,1,0)))</f>
        <v>1</v>
      </c>
      <c r="BO98" s="168">
        <f>IF(CdTrp1!U52=1,3,IF(CdTrp1!U52=0.5,2,IF(CdTrp1!U52=0,1,0)))</f>
        <v>1</v>
      </c>
      <c r="BP98" s="168">
        <f>IF(CdTrp1!V52=1,3,IF(CdTrp1!V52=0.5,2,IF(CdTrp1!V52=0,1,0)))</f>
        <v>3</v>
      </c>
      <c r="BQ98" s="168">
        <f>IF(CdTrp1!W52=1,3,IF(CdTrp1!W52=0.5,2,IF(CdTrp1!W52=0,1,0)))</f>
        <v>3</v>
      </c>
      <c r="BR98" s="168">
        <f>IF(CdTrp1!X52=1,3,IF(CdTrp1!X52=0.5,2,IF(CdTrp1!X52=0,1,0)))</f>
        <v>3</v>
      </c>
      <c r="BS98" s="168">
        <f>IF(CdTrp1!Y52=1,3,IF(CdTrp1!Y52=0.5,2,IF(CdTrp1!Y52=0,1,0)))</f>
        <v>3</v>
      </c>
      <c r="BU98">
        <v>3</v>
      </c>
      <c r="BV98" t="s">
        <v>754</v>
      </c>
      <c r="BZ98" s="182" t="str">
        <f t="shared" ref="BZ98:BZ107" si="23">+BZ64</f>
        <v>lot1</v>
      </c>
      <c r="CA98" s="32"/>
      <c r="CB98" s="168">
        <f>IF(CdTrp2!B52=1,3,IF(CdTrp2!B52=0.5,2,IF(CdTrp2!B52=0,1,0)))</f>
        <v>1</v>
      </c>
      <c r="CC98" s="168">
        <f>IF(CdTrp2!C52=1,3,IF(CdTrp2!C52=0.5,2,IF(CdTrp2!C52=0,1,0)))</f>
        <v>1</v>
      </c>
      <c r="CD98" s="168">
        <f>IF(CdTrp2!D52=1,3,IF(CdTrp2!D52=0.5,2,IF(CdTrp2!D52=0,1,0)))</f>
        <v>1</v>
      </c>
      <c r="CE98" s="168">
        <f>IF(CdTrp2!E52=1,3,IF(CdTrp2!E52=0.5,2,IF(CdTrp2!E52=0,1,0)))</f>
        <v>1</v>
      </c>
      <c r="CF98" s="168">
        <f>IF(CdTrp2!F52=1,3,IF(CdTrp2!F52=0.5,2,IF(CdTrp2!F52=0,1,0)))</f>
        <v>1</v>
      </c>
      <c r="CG98" s="168">
        <f>IF(CdTrp2!G52=1,3,IF(CdTrp2!G52=0.5,2,IF(CdTrp2!G52=0,1,0)))</f>
        <v>1</v>
      </c>
      <c r="CH98" s="168">
        <f>IF(CdTrp2!H52=1,3,IF(CdTrp2!H52=0.5,2,IF(CdTrp2!H52=0,1,0)))</f>
        <v>1</v>
      </c>
      <c r="CI98" s="168">
        <f>IF(CdTrp2!I52=1,3,IF(CdTrp2!I52=0.5,2,IF(CdTrp2!I52=0,1,0)))</f>
        <v>1</v>
      </c>
      <c r="CJ98" s="168">
        <f>IF(CdTrp2!J52=1,3,IF(CdTrp2!J52=0.5,2,IF(CdTrp2!J52=0,1,0)))</f>
        <v>1</v>
      </c>
      <c r="CK98" s="168">
        <f>IF(CdTrp2!K52=1,3,IF(CdTrp2!K52=0.5,2,IF(CdTrp2!K52=0,1,0)))</f>
        <v>1</v>
      </c>
      <c r="CL98" s="168">
        <f>IF(CdTrp2!L52=1,3,IF(CdTrp2!L52=0.5,2,IF(CdTrp2!L52=0,1,0)))</f>
        <v>1</v>
      </c>
      <c r="CM98" s="168">
        <f>IF(CdTrp2!M52=1,3,IF(CdTrp2!M52=0.5,2,IF(CdTrp2!M52=0,1,0)))</f>
        <v>1</v>
      </c>
      <c r="CN98" s="168">
        <f>IF(CdTrp2!N52=1,3,IF(CdTrp2!N52=0.5,2,IF(CdTrp2!N52=0,1,0)))</f>
        <v>1</v>
      </c>
      <c r="CO98" s="168">
        <f>IF(CdTrp2!O52=1,3,IF(CdTrp2!O52=0.5,2,IF(CdTrp2!O52=0,1,0)))</f>
        <v>1</v>
      </c>
      <c r="CP98" s="168">
        <f>IF(CdTrp2!P52=1,3,IF(CdTrp2!P52=0.5,2,IF(CdTrp2!P52=0,1,0)))</f>
        <v>1</v>
      </c>
      <c r="CQ98" s="168">
        <f>IF(CdTrp2!Q52=1,3,IF(CdTrp2!Q52=0.5,2,IF(CdTrp2!Q52=0,1,0)))</f>
        <v>1</v>
      </c>
      <c r="CR98" s="168">
        <f>IF(CdTrp2!R52=1,3,IF(CdTrp2!R52=0.5,2,IF(CdTrp2!R52=0,1,0)))</f>
        <v>1</v>
      </c>
      <c r="CS98" s="168">
        <f>IF(CdTrp2!S52=1,3,IF(CdTrp2!S52=0.5,2,IF(CdTrp2!S52=0,1,0)))</f>
        <v>1</v>
      </c>
      <c r="CT98" s="168">
        <f>IF(CdTrp2!T52=1,3,IF(CdTrp2!T52=0.5,2,IF(CdTrp2!T52=0,1,0)))</f>
        <v>1</v>
      </c>
      <c r="CU98" s="168">
        <f>IF(CdTrp2!U52=1,3,IF(CdTrp2!U52=0.5,2,IF(CdTrp2!U52=0,1,0)))</f>
        <v>1</v>
      </c>
      <c r="CV98" s="168">
        <f>IF(CdTrp2!V52=1,3,IF(CdTrp2!V52=0.5,2,IF(CdTrp2!V52=0,1,0)))</f>
        <v>1</v>
      </c>
      <c r="CW98" s="168">
        <f>IF(CdTrp2!W52=1,3,IF(CdTrp2!W52=0.5,2,IF(CdTrp2!W52=0,1,0)))</f>
        <v>1</v>
      </c>
      <c r="CX98" s="168">
        <f>IF(CdTrp2!X52=1,3,IF(CdTrp2!X52=0.5,2,IF(CdTrp2!X52=0,1,0)))</f>
        <v>1</v>
      </c>
      <c r="CY98" s="168">
        <f>IF(CdTrp2!Y52=1,3,IF(CdTrp2!Y52=0.5,2,IF(CdTrp2!Y52=0,1,0)))</f>
        <v>1</v>
      </c>
      <c r="DC98" s="182" t="str">
        <f t="shared" ref="DC98:DC107" si="24">+DC64</f>
        <v>lot1</v>
      </c>
      <c r="DD98" s="32"/>
      <c r="DE98" s="168">
        <f>IF(CdTrp3!B52=1,3,IF(CdTrp3!B52=0.5,2,IF(CdTrp3!B52=0,1,0)))</f>
        <v>1</v>
      </c>
      <c r="DF98" s="168">
        <f>IF(CdTrp3!C52=1,3,IF(CdTrp3!C52=0.5,2,IF(CdTrp3!C52=0,1,0)))</f>
        <v>1</v>
      </c>
      <c r="DG98" s="168">
        <f>IF(CdTrp3!D52=1,3,IF(CdTrp3!D52=0.5,2,IF(CdTrp3!D52=0,1,0)))</f>
        <v>1</v>
      </c>
      <c r="DH98" s="168">
        <f>IF(CdTrp3!E52=1,3,IF(CdTrp3!E52=0.5,2,IF(CdTrp3!E52=0,1,0)))</f>
        <v>1</v>
      </c>
      <c r="DI98" s="168">
        <f>IF(CdTrp3!F52=1,3,IF(CdTrp3!F52=0.5,2,IF(CdTrp3!F52=0,1,0)))</f>
        <v>1</v>
      </c>
      <c r="DJ98" s="168">
        <f>IF(CdTrp3!G52=1,3,IF(CdTrp3!G52=0.5,2,IF(CdTrp3!G52=0,1,0)))</f>
        <v>1</v>
      </c>
      <c r="DK98" s="168">
        <f>IF(CdTrp3!H52=1,3,IF(CdTrp3!H52=0.5,2,IF(CdTrp3!H52=0,1,0)))</f>
        <v>1</v>
      </c>
      <c r="DL98" s="168">
        <f>IF(CdTrp3!I52=1,3,IF(CdTrp3!I52=0.5,2,IF(CdTrp3!I52=0,1,0)))</f>
        <v>1</v>
      </c>
      <c r="DM98" s="168">
        <f>IF(CdTrp3!J52=1,3,IF(CdTrp3!J52=0.5,2,IF(CdTrp3!J52=0,1,0)))</f>
        <v>1</v>
      </c>
      <c r="DN98" s="168">
        <f>IF(CdTrp3!K52=1,3,IF(CdTrp3!K52=0.5,2,IF(CdTrp3!K52=0,1,0)))</f>
        <v>1</v>
      </c>
      <c r="DO98" s="168">
        <f>IF(CdTrp3!L52=1,3,IF(CdTrp3!L52=0.5,2,IF(CdTrp3!L52=0,1,0)))</f>
        <v>1</v>
      </c>
      <c r="DP98" s="168">
        <f>IF(CdTrp3!M52=1,3,IF(CdTrp3!M52=0.5,2,IF(CdTrp3!M52=0,1,0)))</f>
        <v>1</v>
      </c>
      <c r="DQ98" s="168">
        <f>IF(CdTrp3!N52=1,3,IF(CdTrp3!N52=0.5,2,IF(CdTrp3!N52=0,1,0)))</f>
        <v>1</v>
      </c>
      <c r="DR98" s="168">
        <f>IF(CdTrp3!O52=1,3,IF(CdTrp3!O52=0.5,2,IF(CdTrp3!O52=0,1,0)))</f>
        <v>1</v>
      </c>
      <c r="DS98" s="168">
        <f>IF(CdTrp3!P52=1,3,IF(CdTrp3!P52=0.5,2,IF(CdTrp3!P52=0,1,0)))</f>
        <v>1</v>
      </c>
      <c r="DT98" s="168">
        <f>IF(CdTrp3!Q52=1,3,IF(CdTrp3!Q52=0.5,2,IF(CdTrp3!Q52=0,1,0)))</f>
        <v>1</v>
      </c>
      <c r="DU98" s="168">
        <f>IF(CdTrp3!R52=1,3,IF(CdTrp3!R52=0.5,2,IF(CdTrp3!R52=0,1,0)))</f>
        <v>1</v>
      </c>
      <c r="DV98" s="168">
        <f>IF(CdTrp3!S52=1,3,IF(CdTrp3!S52=0.5,2,IF(CdTrp3!S52=0,1,0)))</f>
        <v>1</v>
      </c>
      <c r="DW98" s="168">
        <f>IF(CdTrp3!T52=1,3,IF(CdTrp3!T52=0.5,2,IF(CdTrp3!T52=0,1,0)))</f>
        <v>1</v>
      </c>
      <c r="DX98" s="168">
        <f>IF(CdTrp3!U52=1,3,IF(CdTrp3!U52=0.5,2,IF(CdTrp3!U52=0,1,0)))</f>
        <v>1</v>
      </c>
      <c r="DY98" s="168">
        <f>IF(CdTrp3!V52=1,3,IF(CdTrp3!V52=0.5,2,IF(CdTrp3!V52=0,1,0)))</f>
        <v>1</v>
      </c>
      <c r="DZ98" s="168">
        <f>IF(CdTrp3!W52=1,3,IF(CdTrp3!W52=0.5,2,IF(CdTrp3!W52=0,1,0)))</f>
        <v>1</v>
      </c>
      <c r="EA98" s="168">
        <f>IF(CdTrp3!X52=1,3,IF(CdTrp3!X52=0.5,2,IF(CdTrp3!X52=0,1,0)))</f>
        <v>1</v>
      </c>
      <c r="EB98" s="168">
        <f>IF(CdTrp3!Y52=1,3,IF(CdTrp3!Y52=0.5,2,IF(CdTrp3!Y52=0,1,0)))</f>
        <v>1</v>
      </c>
    </row>
    <row r="99" spans="1:132" x14ac:dyDescent="0.25">
      <c r="A99" t="s">
        <v>1164</v>
      </c>
      <c r="B99" s="14" t="s">
        <v>1165</v>
      </c>
      <c r="C99" s="168">
        <f>MAX(H130:AE130)</f>
        <v>0</v>
      </c>
      <c r="D99" s="168">
        <f t="shared" ref="D99:D136" si="25">C99</f>
        <v>0</v>
      </c>
      <c r="F99" s="14"/>
      <c r="G99" s="30" t="str">
        <f>CdTrp1!A93</f>
        <v>lot6</v>
      </c>
      <c r="H99" s="30">
        <f>CdTrp1!B81</f>
        <v>0</v>
      </c>
      <c r="I99" s="30">
        <f>CdTrp1!C81</f>
        <v>0</v>
      </c>
      <c r="J99" s="30">
        <f>CdTrp1!D81</f>
        <v>0</v>
      </c>
      <c r="K99" s="30">
        <f>CdTrp1!E81</f>
        <v>0</v>
      </c>
      <c r="L99" s="30">
        <f>CdTrp1!F81</f>
        <v>0</v>
      </c>
      <c r="M99" s="30">
        <f>CdTrp1!G81</f>
        <v>0</v>
      </c>
      <c r="N99" s="30">
        <f>CdTrp1!H81</f>
        <v>0</v>
      </c>
      <c r="O99" s="30">
        <f>CdTrp1!I81</f>
        <v>0</v>
      </c>
      <c r="P99" s="30">
        <f>CdTrp1!J81</f>
        <v>0</v>
      </c>
      <c r="Q99" s="30">
        <f>CdTrp1!K81</f>
        <v>0</v>
      </c>
      <c r="R99" s="30">
        <f>CdTrp1!L81</f>
        <v>0</v>
      </c>
      <c r="S99" s="30">
        <f>CdTrp1!M81</f>
        <v>0</v>
      </c>
      <c r="T99" s="30">
        <f>CdTrp1!N81</f>
        <v>0</v>
      </c>
      <c r="U99" s="30">
        <f>CdTrp1!O81</f>
        <v>0</v>
      </c>
      <c r="V99" s="30">
        <f>CdTrp1!P81</f>
        <v>0</v>
      </c>
      <c r="W99" s="30">
        <f>CdTrp1!Q81</f>
        <v>0</v>
      </c>
      <c r="X99" s="30">
        <f>CdTrp1!R81</f>
        <v>0</v>
      </c>
      <c r="Y99" s="30">
        <f>CdTrp1!S81</f>
        <v>0</v>
      </c>
      <c r="Z99" s="30">
        <f>CdTrp1!T81</f>
        <v>0</v>
      </c>
      <c r="AA99" s="30">
        <f>CdTrp1!U81</f>
        <v>0</v>
      </c>
      <c r="AB99" s="30">
        <f>CdTrp1!V81</f>
        <v>0</v>
      </c>
      <c r="AC99" s="30">
        <f>CdTrp1!W81</f>
        <v>0</v>
      </c>
      <c r="AD99" s="30">
        <f>CdTrp1!X81</f>
        <v>0</v>
      </c>
      <c r="AE99" s="30">
        <f>CdTrp1!Y81</f>
        <v>0</v>
      </c>
      <c r="AT99" s="252" t="str">
        <f>CdTrp1!$A53</f>
        <v>Génisses 24 mois</v>
      </c>
      <c r="AU99" s="32"/>
      <c r="AV99" s="168">
        <f>IF(CdTrp1!B53=1,3,IF(CdTrp1!B53=0.5,2,IF(CdTrp1!B53=0,1,0)))</f>
        <v>3</v>
      </c>
      <c r="AW99" s="168">
        <f>IF(CdTrp1!C53=1,3,IF(CdTrp1!C53=0.5,2,IF(CdTrp1!C53=0,1,0)))</f>
        <v>3</v>
      </c>
      <c r="AX99" s="168">
        <f>IF(CdTrp1!D53=1,3,IF(CdTrp1!D53=0.5,2,IF(CdTrp1!D53=0,1,0)))</f>
        <v>3</v>
      </c>
      <c r="AY99" s="168">
        <f>IF(CdTrp1!E53=1,3,IF(CdTrp1!E53=0.5,2,IF(CdTrp1!E53=0,1,0)))</f>
        <v>3</v>
      </c>
      <c r="AZ99" s="168">
        <f>IF(CdTrp1!F53=1,3,IF(CdTrp1!F53=0.5,2,IF(CdTrp1!F53=0,1,0)))</f>
        <v>2</v>
      </c>
      <c r="BA99" s="168">
        <f>IF(CdTrp1!G53=1,3,IF(CdTrp1!G53=0.5,2,IF(CdTrp1!G53=0,1,0)))</f>
        <v>2</v>
      </c>
      <c r="BB99" s="168">
        <f>IF(CdTrp1!H53=1,3,IF(CdTrp1!H53=0.5,2,IF(CdTrp1!H53=0,1,0)))</f>
        <v>1</v>
      </c>
      <c r="BC99" s="168">
        <f>IF(CdTrp1!I53=1,3,IF(CdTrp1!I53=0.5,2,IF(CdTrp1!I53=0,1,0)))</f>
        <v>1</v>
      </c>
      <c r="BD99" s="168">
        <f>IF(CdTrp1!J53=1,3,IF(CdTrp1!J53=0.5,2,IF(CdTrp1!J53=0,1,0)))</f>
        <v>1</v>
      </c>
      <c r="BE99" s="168">
        <f>IF(CdTrp1!K53=1,3,IF(CdTrp1!K53=0.5,2,IF(CdTrp1!K53=0,1,0)))</f>
        <v>1</v>
      </c>
      <c r="BF99" s="168">
        <f>IF(CdTrp1!L53=1,3,IF(CdTrp1!L53=0.5,2,IF(CdTrp1!L53=0,1,0)))</f>
        <v>1</v>
      </c>
      <c r="BG99" s="168">
        <f>IF(CdTrp1!M53=1,3,IF(CdTrp1!M53=0.5,2,IF(CdTrp1!M53=0,1,0)))</f>
        <v>1</v>
      </c>
      <c r="BH99" s="168">
        <f>IF(CdTrp1!N53=1,3,IF(CdTrp1!N53=0.5,2,IF(CdTrp1!N53=0,1,0)))</f>
        <v>1</v>
      </c>
      <c r="BI99" s="168">
        <f>IF(CdTrp1!O53=1,3,IF(CdTrp1!O53=0.5,2,IF(CdTrp1!O53=0,1,0)))</f>
        <v>1</v>
      </c>
      <c r="BJ99" s="168">
        <f>IF(CdTrp1!P53=1,3,IF(CdTrp1!P53=0.5,2,IF(CdTrp1!P53=0,1,0)))</f>
        <v>1</v>
      </c>
      <c r="BK99" s="168">
        <f>IF(CdTrp1!Q53=1,3,IF(CdTrp1!Q53=0.5,2,IF(CdTrp1!Q53=0,1,0)))</f>
        <v>1</v>
      </c>
      <c r="BL99" s="168">
        <f>IF(CdTrp1!R53=1,3,IF(CdTrp1!R53=0.5,2,IF(CdTrp1!R53=0,1,0)))</f>
        <v>1</v>
      </c>
      <c r="BM99" s="168">
        <f>IF(CdTrp1!S53=1,3,IF(CdTrp1!S53=0.5,2,IF(CdTrp1!S53=0,1,0)))</f>
        <v>1</v>
      </c>
      <c r="BN99" s="168">
        <f>IF(CdTrp1!T53=1,3,IF(CdTrp1!T53=0.5,2,IF(CdTrp1!T53=0,1,0)))</f>
        <v>1</v>
      </c>
      <c r="BO99" s="168">
        <f>IF(CdTrp1!U53=1,3,IF(CdTrp1!U53=0.5,2,IF(CdTrp1!U53=0,1,0)))</f>
        <v>1</v>
      </c>
      <c r="BP99" s="168">
        <f>IF(CdTrp1!V53=1,3,IF(CdTrp1!V53=0.5,2,IF(CdTrp1!V53=0,1,0)))</f>
        <v>2</v>
      </c>
      <c r="BQ99" s="168">
        <f>IF(CdTrp1!W53=1,3,IF(CdTrp1!W53=0.5,2,IF(CdTrp1!W53=0,1,0)))</f>
        <v>3</v>
      </c>
      <c r="BR99" s="168">
        <f>IF(CdTrp1!X53=1,3,IF(CdTrp1!X53=0.5,2,IF(CdTrp1!X53=0,1,0)))</f>
        <v>3</v>
      </c>
      <c r="BS99" s="168">
        <f>IF(CdTrp1!Y53=1,3,IF(CdTrp1!Y53=0.5,2,IF(CdTrp1!Y53=0,1,0)))</f>
        <v>3</v>
      </c>
      <c r="BU99">
        <v>2</v>
      </c>
      <c r="BV99" t="s">
        <v>758</v>
      </c>
      <c r="BZ99" s="182" t="str">
        <f t="shared" si="23"/>
        <v>lot2</v>
      </c>
      <c r="CA99" s="32"/>
      <c r="CB99" s="168">
        <f>IF(CdTrp2!B53=1,3,IF(CdTrp2!B53=0.5,2,IF(CdTrp2!B53=0,1,0)))</f>
        <v>1</v>
      </c>
      <c r="CC99" s="168">
        <f>IF(CdTrp2!C53=1,3,IF(CdTrp2!C53=0.5,2,IF(CdTrp2!C53=0,1,0)))</f>
        <v>1</v>
      </c>
      <c r="CD99" s="168">
        <f>IF(CdTrp2!D53=1,3,IF(CdTrp2!D53=0.5,2,IF(CdTrp2!D53=0,1,0)))</f>
        <v>1</v>
      </c>
      <c r="CE99" s="168">
        <f>IF(CdTrp2!E53=1,3,IF(CdTrp2!E53=0.5,2,IF(CdTrp2!E53=0,1,0)))</f>
        <v>1</v>
      </c>
      <c r="CF99" s="168">
        <f>IF(CdTrp2!F53=1,3,IF(CdTrp2!F53=0.5,2,IF(CdTrp2!F53=0,1,0)))</f>
        <v>1</v>
      </c>
      <c r="CG99" s="168">
        <f>IF(CdTrp2!G53=1,3,IF(CdTrp2!G53=0.5,2,IF(CdTrp2!G53=0,1,0)))</f>
        <v>1</v>
      </c>
      <c r="CH99" s="168">
        <f>IF(CdTrp2!H53=1,3,IF(CdTrp2!H53=0.5,2,IF(CdTrp2!H53=0,1,0)))</f>
        <v>1</v>
      </c>
      <c r="CI99" s="168">
        <f>IF(CdTrp2!I53=1,3,IF(CdTrp2!I53=0.5,2,IF(CdTrp2!I53=0,1,0)))</f>
        <v>1</v>
      </c>
      <c r="CJ99" s="168">
        <f>IF(CdTrp2!J53=1,3,IF(CdTrp2!J53=0.5,2,IF(CdTrp2!J53=0,1,0)))</f>
        <v>1</v>
      </c>
      <c r="CK99" s="168">
        <f>IF(CdTrp2!K53=1,3,IF(CdTrp2!K53=0.5,2,IF(CdTrp2!K53=0,1,0)))</f>
        <v>1</v>
      </c>
      <c r="CL99" s="168">
        <f>IF(CdTrp2!L53=1,3,IF(CdTrp2!L53=0.5,2,IF(CdTrp2!L53=0,1,0)))</f>
        <v>1</v>
      </c>
      <c r="CM99" s="168">
        <f>IF(CdTrp2!M53=1,3,IF(CdTrp2!M53=0.5,2,IF(CdTrp2!M53=0,1,0)))</f>
        <v>1</v>
      </c>
      <c r="CN99" s="168">
        <f>IF(CdTrp2!N53=1,3,IF(CdTrp2!N53=0.5,2,IF(CdTrp2!N53=0,1,0)))</f>
        <v>1</v>
      </c>
      <c r="CO99" s="168">
        <f>IF(CdTrp2!O53=1,3,IF(CdTrp2!O53=0.5,2,IF(CdTrp2!O53=0,1,0)))</f>
        <v>1</v>
      </c>
      <c r="CP99" s="168">
        <f>IF(CdTrp2!P53=1,3,IF(CdTrp2!P53=0.5,2,IF(CdTrp2!P53=0,1,0)))</f>
        <v>1</v>
      </c>
      <c r="CQ99" s="168">
        <f>IF(CdTrp2!Q53=1,3,IF(CdTrp2!Q53=0.5,2,IF(CdTrp2!Q53=0,1,0)))</f>
        <v>1</v>
      </c>
      <c r="CR99" s="168">
        <f>IF(CdTrp2!R53=1,3,IF(CdTrp2!R53=0.5,2,IF(CdTrp2!R53=0,1,0)))</f>
        <v>1</v>
      </c>
      <c r="CS99" s="168">
        <f>IF(CdTrp2!S53=1,3,IF(CdTrp2!S53=0.5,2,IF(CdTrp2!S53=0,1,0)))</f>
        <v>1</v>
      </c>
      <c r="CT99" s="168">
        <f>IF(CdTrp2!T53=1,3,IF(CdTrp2!T53=0.5,2,IF(CdTrp2!T53=0,1,0)))</f>
        <v>1</v>
      </c>
      <c r="CU99" s="168">
        <f>IF(CdTrp2!U53=1,3,IF(CdTrp2!U53=0.5,2,IF(CdTrp2!U53=0,1,0)))</f>
        <v>1</v>
      </c>
      <c r="CV99" s="168">
        <f>IF(CdTrp2!V53=1,3,IF(CdTrp2!V53=0.5,2,IF(CdTrp2!V53=0,1,0)))</f>
        <v>1</v>
      </c>
      <c r="CW99" s="168">
        <f>IF(CdTrp2!W53=1,3,IF(CdTrp2!W53=0.5,2,IF(CdTrp2!W53=0,1,0)))</f>
        <v>1</v>
      </c>
      <c r="CX99" s="168">
        <f>IF(CdTrp2!X53=1,3,IF(CdTrp2!X53=0.5,2,IF(CdTrp2!X53=0,1,0)))</f>
        <v>1</v>
      </c>
      <c r="CY99" s="168">
        <f>IF(CdTrp2!Y53=1,3,IF(CdTrp2!Y53=0.5,2,IF(CdTrp2!Y53=0,1,0)))</f>
        <v>1</v>
      </c>
      <c r="DC99" s="182" t="str">
        <f t="shared" si="24"/>
        <v>lot2</v>
      </c>
      <c r="DD99" s="32"/>
      <c r="DE99" s="168">
        <f>IF(CdTrp3!B53=1,3,IF(CdTrp3!B53=0.5,2,IF(CdTrp3!B53=0,1,0)))</f>
        <v>1</v>
      </c>
      <c r="DF99" s="168">
        <f>IF(CdTrp3!C53=1,3,IF(CdTrp3!C53=0.5,2,IF(CdTrp3!C53=0,1,0)))</f>
        <v>1</v>
      </c>
      <c r="DG99" s="168">
        <f>IF(CdTrp3!D53=1,3,IF(CdTrp3!D53=0.5,2,IF(CdTrp3!D53=0,1,0)))</f>
        <v>1</v>
      </c>
      <c r="DH99" s="168">
        <f>IF(CdTrp3!E53=1,3,IF(CdTrp3!E53=0.5,2,IF(CdTrp3!E53=0,1,0)))</f>
        <v>1</v>
      </c>
      <c r="DI99" s="168">
        <f>IF(CdTrp3!F53=1,3,IF(CdTrp3!F53=0.5,2,IF(CdTrp3!F53=0,1,0)))</f>
        <v>1</v>
      </c>
      <c r="DJ99" s="168">
        <f>IF(CdTrp3!G53=1,3,IF(CdTrp3!G53=0.5,2,IF(CdTrp3!G53=0,1,0)))</f>
        <v>1</v>
      </c>
      <c r="DK99" s="168">
        <f>IF(CdTrp3!H53=1,3,IF(CdTrp3!H53=0.5,2,IF(CdTrp3!H53=0,1,0)))</f>
        <v>1</v>
      </c>
      <c r="DL99" s="168">
        <f>IF(CdTrp3!I53=1,3,IF(CdTrp3!I53=0.5,2,IF(CdTrp3!I53=0,1,0)))</f>
        <v>1</v>
      </c>
      <c r="DM99" s="168">
        <f>IF(CdTrp3!J53=1,3,IF(CdTrp3!J53=0.5,2,IF(CdTrp3!J53=0,1,0)))</f>
        <v>1</v>
      </c>
      <c r="DN99" s="168">
        <f>IF(CdTrp3!K53=1,3,IF(CdTrp3!K53=0.5,2,IF(CdTrp3!K53=0,1,0)))</f>
        <v>1</v>
      </c>
      <c r="DO99" s="168">
        <f>IF(CdTrp3!L53=1,3,IF(CdTrp3!L53=0.5,2,IF(CdTrp3!L53=0,1,0)))</f>
        <v>1</v>
      </c>
      <c r="DP99" s="168">
        <f>IF(CdTrp3!M53=1,3,IF(CdTrp3!M53=0.5,2,IF(CdTrp3!M53=0,1,0)))</f>
        <v>1</v>
      </c>
      <c r="DQ99" s="168">
        <f>IF(CdTrp3!N53=1,3,IF(CdTrp3!N53=0.5,2,IF(CdTrp3!N53=0,1,0)))</f>
        <v>1</v>
      </c>
      <c r="DR99" s="168">
        <f>IF(CdTrp3!O53=1,3,IF(CdTrp3!O53=0.5,2,IF(CdTrp3!O53=0,1,0)))</f>
        <v>1</v>
      </c>
      <c r="DS99" s="168">
        <f>IF(CdTrp3!P53=1,3,IF(CdTrp3!P53=0.5,2,IF(CdTrp3!P53=0,1,0)))</f>
        <v>1</v>
      </c>
      <c r="DT99" s="168">
        <f>IF(CdTrp3!Q53=1,3,IF(CdTrp3!Q53=0.5,2,IF(CdTrp3!Q53=0,1,0)))</f>
        <v>1</v>
      </c>
      <c r="DU99" s="168">
        <f>IF(CdTrp3!R53=1,3,IF(CdTrp3!R53=0.5,2,IF(CdTrp3!R53=0,1,0)))</f>
        <v>1</v>
      </c>
      <c r="DV99" s="168">
        <f>IF(CdTrp3!S53=1,3,IF(CdTrp3!S53=0.5,2,IF(CdTrp3!S53=0,1,0)))</f>
        <v>1</v>
      </c>
      <c r="DW99" s="168">
        <f>IF(CdTrp3!T53=1,3,IF(CdTrp3!T53=0.5,2,IF(CdTrp3!T53=0,1,0)))</f>
        <v>1</v>
      </c>
      <c r="DX99" s="168">
        <f>IF(CdTrp3!U53=1,3,IF(CdTrp3!U53=0.5,2,IF(CdTrp3!U53=0,1,0)))</f>
        <v>1</v>
      </c>
      <c r="DY99" s="168">
        <f>IF(CdTrp3!V53=1,3,IF(CdTrp3!V53=0.5,2,IF(CdTrp3!V53=0,1,0)))</f>
        <v>1</v>
      </c>
      <c r="DZ99" s="168">
        <f>IF(CdTrp3!W53=1,3,IF(CdTrp3!W53=0.5,2,IF(CdTrp3!W53=0,1,0)))</f>
        <v>1</v>
      </c>
      <c r="EA99" s="168">
        <f>IF(CdTrp3!X53=1,3,IF(CdTrp3!X53=0.5,2,IF(CdTrp3!X53=0,1,0)))</f>
        <v>1</v>
      </c>
      <c r="EB99" s="168">
        <f>IF(CdTrp3!Y53=1,3,IF(CdTrp3!Y53=0.5,2,IF(CdTrp3!Y53=0,1,0)))</f>
        <v>1</v>
      </c>
    </row>
    <row r="100" spans="1:132" x14ac:dyDescent="0.25">
      <c r="A100" t="s">
        <v>1166</v>
      </c>
      <c r="B100" s="14" t="s">
        <v>1167</v>
      </c>
      <c r="C100" s="168">
        <f>MAX(H131:AE131)</f>
        <v>0</v>
      </c>
      <c r="D100" s="168">
        <f t="shared" si="25"/>
        <v>0</v>
      </c>
      <c r="F100" s="14"/>
      <c r="G100" s="251" t="str">
        <f>CdTrp1!A94</f>
        <v>lot7</v>
      </c>
      <c r="H100" s="30">
        <f>CdTrp1!B82</f>
        <v>0</v>
      </c>
      <c r="I100" s="30">
        <f>CdTrp1!C82</f>
        <v>0</v>
      </c>
      <c r="J100" s="30">
        <f>CdTrp1!D82</f>
        <v>0</v>
      </c>
      <c r="K100" s="30">
        <f>CdTrp1!E82</f>
        <v>0</v>
      </c>
      <c r="L100" s="30">
        <f>CdTrp1!F82</f>
        <v>0</v>
      </c>
      <c r="M100" s="30">
        <f>CdTrp1!G82</f>
        <v>0</v>
      </c>
      <c r="N100" s="30">
        <f>CdTrp1!H82</f>
        <v>0</v>
      </c>
      <c r="O100" s="30">
        <f>CdTrp1!I82</f>
        <v>0</v>
      </c>
      <c r="P100" s="30">
        <f>CdTrp1!J82</f>
        <v>0</v>
      </c>
      <c r="Q100" s="30">
        <f>CdTrp1!K82</f>
        <v>0</v>
      </c>
      <c r="R100" s="30">
        <f>CdTrp1!L82</f>
        <v>0</v>
      </c>
      <c r="S100" s="30">
        <f>CdTrp1!M82</f>
        <v>0</v>
      </c>
      <c r="T100" s="30">
        <f>CdTrp1!N82</f>
        <v>0</v>
      </c>
      <c r="U100" s="30">
        <f>CdTrp1!O82</f>
        <v>0</v>
      </c>
      <c r="V100" s="30">
        <f>CdTrp1!P82</f>
        <v>0</v>
      </c>
      <c r="W100" s="30">
        <f>CdTrp1!Q82</f>
        <v>0</v>
      </c>
      <c r="X100" s="30">
        <f>CdTrp1!R82</f>
        <v>0</v>
      </c>
      <c r="Y100" s="30">
        <f>CdTrp1!S82</f>
        <v>0</v>
      </c>
      <c r="Z100" s="30">
        <f>CdTrp1!T82</f>
        <v>0</v>
      </c>
      <c r="AA100" s="30">
        <f>CdTrp1!U82</f>
        <v>0</v>
      </c>
      <c r="AB100" s="30">
        <f>CdTrp1!V82</f>
        <v>0</v>
      </c>
      <c r="AC100" s="30">
        <f>CdTrp1!W82</f>
        <v>0</v>
      </c>
      <c r="AD100" s="30">
        <f>CdTrp1!X82</f>
        <v>0</v>
      </c>
      <c r="AE100" s="30">
        <f>CdTrp1!Y82</f>
        <v>0</v>
      </c>
      <c r="AT100" s="252" t="str">
        <f>CdTrp1!$A54</f>
        <v>Génisses jeunes</v>
      </c>
      <c r="AU100" s="32"/>
      <c r="AV100" s="168">
        <f>IF(CdTrp1!B54=1,3,IF(CdTrp1!B54=0.5,2,IF(CdTrp1!B54=0,1,0)))</f>
        <v>3</v>
      </c>
      <c r="AW100" s="168">
        <f>IF(CdTrp1!C54=1,3,IF(CdTrp1!C54=0.5,2,IF(CdTrp1!C54=0,1,0)))</f>
        <v>3</v>
      </c>
      <c r="AX100" s="168">
        <f>IF(CdTrp1!D54=1,3,IF(CdTrp1!D54=0.5,2,IF(CdTrp1!D54=0,1,0)))</f>
        <v>3</v>
      </c>
      <c r="AY100" s="168">
        <f>IF(CdTrp1!E54=1,3,IF(CdTrp1!E54=0.5,2,IF(CdTrp1!E54=0,1,0)))</f>
        <v>3</v>
      </c>
      <c r="AZ100" s="168">
        <f>IF(CdTrp1!F54=1,3,IF(CdTrp1!F54=0.5,2,IF(CdTrp1!F54=0,1,0)))</f>
        <v>3</v>
      </c>
      <c r="BA100" s="168">
        <f>IF(CdTrp1!G54=1,3,IF(CdTrp1!G54=0.5,2,IF(CdTrp1!G54=0,1,0)))</f>
        <v>3</v>
      </c>
      <c r="BB100" s="168">
        <f>IF(CdTrp1!H54=1,3,IF(CdTrp1!H54=0.5,2,IF(CdTrp1!H54=0,1,0)))</f>
        <v>3</v>
      </c>
      <c r="BC100" s="168">
        <f>IF(CdTrp1!I54=1,3,IF(CdTrp1!I54=0.5,2,IF(CdTrp1!I54=0,1,0)))</f>
        <v>3</v>
      </c>
      <c r="BD100" s="168">
        <f>IF(CdTrp1!J54=1,3,IF(CdTrp1!J54=0.5,2,IF(CdTrp1!J54=0,1,0)))</f>
        <v>3</v>
      </c>
      <c r="BE100" s="168">
        <f>IF(CdTrp1!K54=1,3,IF(CdTrp1!K54=0.5,2,IF(CdTrp1!K54=0,1,0)))</f>
        <v>2</v>
      </c>
      <c r="BF100" s="168">
        <f>IF(CdTrp1!L54=1,3,IF(CdTrp1!L54=0.5,2,IF(CdTrp1!L54=0,1,0)))</f>
        <v>2</v>
      </c>
      <c r="BG100" s="168">
        <f>IF(CdTrp1!M54=1,3,IF(CdTrp1!M54=0.5,2,IF(CdTrp1!M54=0,1,0)))</f>
        <v>2</v>
      </c>
      <c r="BH100" s="168">
        <f>IF(CdTrp1!N54=1,3,IF(CdTrp1!N54=0.5,2,IF(CdTrp1!N54=0,1,0)))</f>
        <v>2</v>
      </c>
      <c r="BI100" s="168">
        <f>IF(CdTrp1!O54=1,3,IF(CdTrp1!O54=0.5,2,IF(CdTrp1!O54=0,1,0)))</f>
        <v>2</v>
      </c>
      <c r="BJ100" s="168">
        <f>IF(CdTrp1!P54=1,3,IF(CdTrp1!P54=0.5,2,IF(CdTrp1!P54=0,1,0)))</f>
        <v>2</v>
      </c>
      <c r="BK100" s="168">
        <f>IF(CdTrp1!Q54=1,3,IF(CdTrp1!Q54=0.5,2,IF(CdTrp1!Q54=0,1,0)))</f>
        <v>2</v>
      </c>
      <c r="BL100" s="168">
        <f>IF(CdTrp1!R54=1,3,IF(CdTrp1!R54=0.5,2,IF(CdTrp1!R54=0,1,0)))</f>
        <v>2</v>
      </c>
      <c r="BM100" s="168">
        <f>IF(CdTrp1!S54=1,3,IF(CdTrp1!S54=0.5,2,IF(CdTrp1!S54=0,1,0)))</f>
        <v>2</v>
      </c>
      <c r="BN100" s="168">
        <f>IF(CdTrp1!T54=1,3,IF(CdTrp1!T54=0.5,2,IF(CdTrp1!T54=0,1,0)))</f>
        <v>2</v>
      </c>
      <c r="BO100" s="168">
        <f>IF(CdTrp1!U54=1,3,IF(CdTrp1!U54=0.5,2,IF(CdTrp1!U54=0,1,0)))</f>
        <v>2</v>
      </c>
      <c r="BP100" s="168">
        <f>IF(CdTrp1!V54=1,3,IF(CdTrp1!V54=0.5,2,IF(CdTrp1!V54=0,1,0)))</f>
        <v>2</v>
      </c>
      <c r="BQ100" s="168">
        <f>IF(CdTrp1!W54=1,3,IF(CdTrp1!W54=0.5,2,IF(CdTrp1!W54=0,1,0)))</f>
        <v>3</v>
      </c>
      <c r="BR100" s="168">
        <f>IF(CdTrp1!X54=1,3,IF(CdTrp1!X54=0.5,2,IF(CdTrp1!X54=0,1,0)))</f>
        <v>3</v>
      </c>
      <c r="BS100" s="168">
        <f>IF(CdTrp1!Y54=1,3,IF(CdTrp1!Y54=0.5,2,IF(CdTrp1!Y54=0,1,0)))</f>
        <v>3</v>
      </c>
      <c r="BU100">
        <v>1</v>
      </c>
      <c r="BV100" t="s">
        <v>759</v>
      </c>
      <c r="BZ100" s="182" t="str">
        <f t="shared" si="23"/>
        <v>lot3</v>
      </c>
      <c r="CA100" s="32"/>
      <c r="CB100" s="168">
        <f>IF(CdTrp2!B54=1,3,IF(CdTrp2!B54=0.5,2,IF(CdTrp2!B54=0,1,0)))</f>
        <v>1</v>
      </c>
      <c r="CC100" s="168">
        <f>IF(CdTrp2!C54=1,3,IF(CdTrp2!C54=0.5,2,IF(CdTrp2!C54=0,1,0)))</f>
        <v>1</v>
      </c>
      <c r="CD100" s="168">
        <f>IF(CdTrp2!D54=1,3,IF(CdTrp2!D54=0.5,2,IF(CdTrp2!D54=0,1,0)))</f>
        <v>1</v>
      </c>
      <c r="CE100" s="168">
        <f>IF(CdTrp2!E54=1,3,IF(CdTrp2!E54=0.5,2,IF(CdTrp2!E54=0,1,0)))</f>
        <v>1</v>
      </c>
      <c r="CF100" s="168">
        <f>IF(CdTrp2!F54=1,3,IF(CdTrp2!F54=0.5,2,IF(CdTrp2!F54=0,1,0)))</f>
        <v>1</v>
      </c>
      <c r="CG100" s="168">
        <f>IF(CdTrp2!G54=1,3,IF(CdTrp2!G54=0.5,2,IF(CdTrp2!G54=0,1,0)))</f>
        <v>1</v>
      </c>
      <c r="CH100" s="168">
        <f>IF(CdTrp2!H54=1,3,IF(CdTrp2!H54=0.5,2,IF(CdTrp2!H54=0,1,0)))</f>
        <v>1</v>
      </c>
      <c r="CI100" s="168">
        <f>IF(CdTrp2!I54=1,3,IF(CdTrp2!I54=0.5,2,IF(CdTrp2!I54=0,1,0)))</f>
        <v>1</v>
      </c>
      <c r="CJ100" s="168">
        <f>IF(CdTrp2!J54=1,3,IF(CdTrp2!J54=0.5,2,IF(CdTrp2!J54=0,1,0)))</f>
        <v>1</v>
      </c>
      <c r="CK100" s="168">
        <f>IF(CdTrp2!K54=1,3,IF(CdTrp2!K54=0.5,2,IF(CdTrp2!K54=0,1,0)))</f>
        <v>1</v>
      </c>
      <c r="CL100" s="168">
        <f>IF(CdTrp2!L54=1,3,IF(CdTrp2!L54=0.5,2,IF(CdTrp2!L54=0,1,0)))</f>
        <v>1</v>
      </c>
      <c r="CM100" s="168">
        <f>IF(CdTrp2!M54=1,3,IF(CdTrp2!M54=0.5,2,IF(CdTrp2!M54=0,1,0)))</f>
        <v>1</v>
      </c>
      <c r="CN100" s="168">
        <f>IF(CdTrp2!N54=1,3,IF(CdTrp2!N54=0.5,2,IF(CdTrp2!N54=0,1,0)))</f>
        <v>1</v>
      </c>
      <c r="CO100" s="168">
        <f>IF(CdTrp2!O54=1,3,IF(CdTrp2!O54=0.5,2,IF(CdTrp2!O54=0,1,0)))</f>
        <v>1</v>
      </c>
      <c r="CP100" s="168">
        <f>IF(CdTrp2!P54=1,3,IF(CdTrp2!P54=0.5,2,IF(CdTrp2!P54=0,1,0)))</f>
        <v>1</v>
      </c>
      <c r="CQ100" s="168">
        <f>IF(CdTrp2!Q54=1,3,IF(CdTrp2!Q54=0.5,2,IF(CdTrp2!Q54=0,1,0)))</f>
        <v>1</v>
      </c>
      <c r="CR100" s="168">
        <f>IF(CdTrp2!R54=1,3,IF(CdTrp2!R54=0.5,2,IF(CdTrp2!R54=0,1,0)))</f>
        <v>1</v>
      </c>
      <c r="CS100" s="168">
        <f>IF(CdTrp2!S54=1,3,IF(CdTrp2!S54=0.5,2,IF(CdTrp2!S54=0,1,0)))</f>
        <v>1</v>
      </c>
      <c r="CT100" s="168">
        <f>IF(CdTrp2!T54=1,3,IF(CdTrp2!T54=0.5,2,IF(CdTrp2!T54=0,1,0)))</f>
        <v>1</v>
      </c>
      <c r="CU100" s="168">
        <f>IF(CdTrp2!U54=1,3,IF(CdTrp2!U54=0.5,2,IF(CdTrp2!U54=0,1,0)))</f>
        <v>1</v>
      </c>
      <c r="CV100" s="168">
        <f>IF(CdTrp2!V54=1,3,IF(CdTrp2!V54=0.5,2,IF(CdTrp2!V54=0,1,0)))</f>
        <v>1</v>
      </c>
      <c r="CW100" s="168">
        <f>IF(CdTrp2!W54=1,3,IF(CdTrp2!W54=0.5,2,IF(CdTrp2!W54=0,1,0)))</f>
        <v>1</v>
      </c>
      <c r="CX100" s="168">
        <f>IF(CdTrp2!X54=1,3,IF(CdTrp2!X54=0.5,2,IF(CdTrp2!X54=0,1,0)))</f>
        <v>1</v>
      </c>
      <c r="CY100" s="168">
        <f>IF(CdTrp2!Y54=1,3,IF(CdTrp2!Y54=0.5,2,IF(CdTrp2!Y54=0,1,0)))</f>
        <v>1</v>
      </c>
      <c r="DC100" s="182" t="str">
        <f t="shared" si="24"/>
        <v>lot3</v>
      </c>
      <c r="DD100" s="32"/>
      <c r="DE100" s="168">
        <f>IF(CdTrp3!B54=1,3,IF(CdTrp3!B54=0.5,2,IF(CdTrp3!B54=0,1,0)))</f>
        <v>1</v>
      </c>
      <c r="DF100" s="168">
        <f>IF(CdTrp3!C54=1,3,IF(CdTrp3!C54=0.5,2,IF(CdTrp3!C54=0,1,0)))</f>
        <v>1</v>
      </c>
      <c r="DG100" s="168">
        <f>IF(CdTrp3!D54=1,3,IF(CdTrp3!D54=0.5,2,IF(CdTrp3!D54=0,1,0)))</f>
        <v>1</v>
      </c>
      <c r="DH100" s="168">
        <f>IF(CdTrp3!E54=1,3,IF(CdTrp3!E54=0.5,2,IF(CdTrp3!E54=0,1,0)))</f>
        <v>1</v>
      </c>
      <c r="DI100" s="168">
        <f>IF(CdTrp3!F54=1,3,IF(CdTrp3!F54=0.5,2,IF(CdTrp3!F54=0,1,0)))</f>
        <v>1</v>
      </c>
      <c r="DJ100" s="168">
        <f>IF(CdTrp3!G54=1,3,IF(CdTrp3!G54=0.5,2,IF(CdTrp3!G54=0,1,0)))</f>
        <v>1</v>
      </c>
      <c r="DK100" s="168">
        <f>IF(CdTrp3!H54=1,3,IF(CdTrp3!H54=0.5,2,IF(CdTrp3!H54=0,1,0)))</f>
        <v>1</v>
      </c>
      <c r="DL100" s="168">
        <f>IF(CdTrp3!I54=1,3,IF(CdTrp3!I54=0.5,2,IF(CdTrp3!I54=0,1,0)))</f>
        <v>1</v>
      </c>
      <c r="DM100" s="168">
        <f>IF(CdTrp3!J54=1,3,IF(CdTrp3!J54=0.5,2,IF(CdTrp3!J54=0,1,0)))</f>
        <v>1</v>
      </c>
      <c r="DN100" s="168">
        <f>IF(CdTrp3!K54=1,3,IF(CdTrp3!K54=0.5,2,IF(CdTrp3!K54=0,1,0)))</f>
        <v>1</v>
      </c>
      <c r="DO100" s="168">
        <f>IF(CdTrp3!L54=1,3,IF(CdTrp3!L54=0.5,2,IF(CdTrp3!L54=0,1,0)))</f>
        <v>1</v>
      </c>
      <c r="DP100" s="168">
        <f>IF(CdTrp3!M54=1,3,IF(CdTrp3!M54=0.5,2,IF(CdTrp3!M54=0,1,0)))</f>
        <v>1</v>
      </c>
      <c r="DQ100" s="168">
        <f>IF(CdTrp3!N54=1,3,IF(CdTrp3!N54=0.5,2,IF(CdTrp3!N54=0,1,0)))</f>
        <v>1</v>
      </c>
      <c r="DR100" s="168">
        <f>IF(CdTrp3!O54=1,3,IF(CdTrp3!O54=0.5,2,IF(CdTrp3!O54=0,1,0)))</f>
        <v>1</v>
      </c>
      <c r="DS100" s="168">
        <f>IF(CdTrp3!P54=1,3,IF(CdTrp3!P54=0.5,2,IF(CdTrp3!P54=0,1,0)))</f>
        <v>1</v>
      </c>
      <c r="DT100" s="168">
        <f>IF(CdTrp3!Q54=1,3,IF(CdTrp3!Q54=0.5,2,IF(CdTrp3!Q54=0,1,0)))</f>
        <v>1</v>
      </c>
      <c r="DU100" s="168">
        <f>IF(CdTrp3!R54=1,3,IF(CdTrp3!R54=0.5,2,IF(CdTrp3!R54=0,1,0)))</f>
        <v>1</v>
      </c>
      <c r="DV100" s="168">
        <f>IF(CdTrp3!S54=1,3,IF(CdTrp3!S54=0.5,2,IF(CdTrp3!S54=0,1,0)))</f>
        <v>1</v>
      </c>
      <c r="DW100" s="168">
        <f>IF(CdTrp3!T54=1,3,IF(CdTrp3!T54=0.5,2,IF(CdTrp3!T54=0,1,0)))</f>
        <v>1</v>
      </c>
      <c r="DX100" s="168">
        <f>IF(CdTrp3!U54=1,3,IF(CdTrp3!U54=0.5,2,IF(CdTrp3!U54=0,1,0)))</f>
        <v>1</v>
      </c>
      <c r="DY100" s="168">
        <f>IF(CdTrp3!V54=1,3,IF(CdTrp3!V54=0.5,2,IF(CdTrp3!V54=0,1,0)))</f>
        <v>1</v>
      </c>
      <c r="DZ100" s="168">
        <f>IF(CdTrp3!W54=1,3,IF(CdTrp3!W54=0.5,2,IF(CdTrp3!W54=0,1,0)))</f>
        <v>1</v>
      </c>
      <c r="EA100" s="168">
        <f>IF(CdTrp3!X54=1,3,IF(CdTrp3!X54=0.5,2,IF(CdTrp3!X54=0,1,0)))</f>
        <v>1</v>
      </c>
      <c r="EB100" s="168">
        <f>IF(CdTrp3!Y54=1,3,IF(CdTrp3!Y54=0.5,2,IF(CdTrp3!Y54=0,1,0)))</f>
        <v>1</v>
      </c>
    </row>
    <row r="101" spans="1:132" x14ac:dyDescent="0.25">
      <c r="B101" s="14" t="s">
        <v>1168</v>
      </c>
      <c r="C101" s="168">
        <f>MAX(H132:AE132)</f>
        <v>3</v>
      </c>
      <c r="D101" s="168">
        <f t="shared" si="25"/>
        <v>3</v>
      </c>
      <c r="F101" s="14"/>
      <c r="G101" s="251" t="str">
        <f>CdTrp1!A95</f>
        <v>lot8</v>
      </c>
      <c r="H101" s="30">
        <f>CdTrp1!B83</f>
        <v>0</v>
      </c>
      <c r="I101" s="30">
        <f>CdTrp1!C83</f>
        <v>0</v>
      </c>
      <c r="J101" s="30">
        <f>CdTrp1!D83</f>
        <v>0</v>
      </c>
      <c r="K101" s="30">
        <f>CdTrp1!E83</f>
        <v>0</v>
      </c>
      <c r="L101" s="30">
        <f>CdTrp1!F83</f>
        <v>0</v>
      </c>
      <c r="M101" s="30">
        <f>CdTrp1!G83</f>
        <v>0</v>
      </c>
      <c r="N101" s="30">
        <f>CdTrp1!H83</f>
        <v>0</v>
      </c>
      <c r="O101" s="30">
        <f>CdTrp1!I83</f>
        <v>0</v>
      </c>
      <c r="P101" s="30">
        <f>CdTrp1!J83</f>
        <v>0</v>
      </c>
      <c r="Q101" s="30">
        <f>CdTrp1!K83</f>
        <v>0</v>
      </c>
      <c r="R101" s="30">
        <f>CdTrp1!L83</f>
        <v>0</v>
      </c>
      <c r="S101" s="30">
        <f>CdTrp1!M83</f>
        <v>0</v>
      </c>
      <c r="T101" s="30">
        <f>CdTrp1!N83</f>
        <v>0</v>
      </c>
      <c r="U101" s="30">
        <f>CdTrp1!O83</f>
        <v>0</v>
      </c>
      <c r="V101" s="30">
        <f>CdTrp1!P83</f>
        <v>0</v>
      </c>
      <c r="W101" s="30">
        <f>CdTrp1!Q83</f>
        <v>0</v>
      </c>
      <c r="X101" s="30">
        <f>CdTrp1!R83</f>
        <v>0</v>
      </c>
      <c r="Y101" s="30">
        <f>CdTrp1!S83</f>
        <v>0</v>
      </c>
      <c r="Z101" s="30">
        <f>CdTrp1!T83</f>
        <v>0</v>
      </c>
      <c r="AA101" s="30">
        <f>CdTrp1!U83</f>
        <v>0</v>
      </c>
      <c r="AB101" s="30">
        <f>CdTrp1!V83</f>
        <v>0</v>
      </c>
      <c r="AC101" s="30">
        <f>CdTrp1!W83</f>
        <v>0</v>
      </c>
      <c r="AD101" s="30">
        <f>CdTrp1!X83</f>
        <v>0</v>
      </c>
      <c r="AE101" s="30">
        <f>CdTrp1!Y83</f>
        <v>0</v>
      </c>
      <c r="AT101" s="182" t="str">
        <f>CdTrp1!$A55</f>
        <v>broutards</v>
      </c>
      <c r="AU101" s="32"/>
      <c r="AV101" s="168">
        <f>IF(CdTrp1!B55=1,3,IF(CdTrp1!B55=0.5,2,IF(CdTrp1!B55=0,1,0)))</f>
        <v>3</v>
      </c>
      <c r="AW101" s="168">
        <f>IF(CdTrp1!C55=1,3,IF(CdTrp1!C55=0.5,2,IF(CdTrp1!C55=0,1,0)))</f>
        <v>3</v>
      </c>
      <c r="AX101" s="168">
        <f>IF(CdTrp1!D55=1,3,IF(CdTrp1!D55=0.5,2,IF(CdTrp1!D55=0,1,0)))</f>
        <v>3</v>
      </c>
      <c r="AY101" s="168">
        <f>IF(CdTrp1!E55=1,3,IF(CdTrp1!E55=0.5,2,IF(CdTrp1!E55=0,1,0)))</f>
        <v>3</v>
      </c>
      <c r="AZ101" s="168">
        <f>IF(CdTrp1!F55=1,3,IF(CdTrp1!F55=0.5,2,IF(CdTrp1!F55=0,1,0)))</f>
        <v>3</v>
      </c>
      <c r="BA101" s="168">
        <f>IF(CdTrp1!G55=1,3,IF(CdTrp1!G55=0.5,2,IF(CdTrp1!G55=0,1,0)))</f>
        <v>3</v>
      </c>
      <c r="BB101" s="168">
        <f>IF(CdTrp1!H55=1,3,IF(CdTrp1!H55=0.5,2,IF(CdTrp1!H55=0,1,0)))</f>
        <v>3</v>
      </c>
      <c r="BC101" s="168">
        <f>IF(CdTrp1!I55=1,3,IF(CdTrp1!I55=0.5,2,IF(CdTrp1!I55=0,1,0)))</f>
        <v>3</v>
      </c>
      <c r="BD101" s="168">
        <f>IF(CdTrp1!J55=1,3,IF(CdTrp1!J55=0.5,2,IF(CdTrp1!J55=0,1,0)))</f>
        <v>3</v>
      </c>
      <c r="BE101" s="168">
        <f>IF(CdTrp1!K55=1,3,IF(CdTrp1!K55=0.5,2,IF(CdTrp1!K55=0,1,0)))</f>
        <v>3</v>
      </c>
      <c r="BF101" s="168">
        <f>IF(CdTrp1!L55=1,3,IF(CdTrp1!L55=0.5,2,IF(CdTrp1!L55=0,1,0)))</f>
        <v>3</v>
      </c>
      <c r="BG101" s="168">
        <f>IF(CdTrp1!M55=1,3,IF(CdTrp1!M55=0.5,2,IF(CdTrp1!M55=0,1,0)))</f>
        <v>3</v>
      </c>
      <c r="BH101" s="168">
        <f>IF(CdTrp1!N55=1,3,IF(CdTrp1!N55=0.5,2,IF(CdTrp1!N55=0,1,0)))</f>
        <v>3</v>
      </c>
      <c r="BI101" s="168">
        <f>IF(CdTrp1!O55=1,3,IF(CdTrp1!O55=0.5,2,IF(CdTrp1!O55=0,1,0)))</f>
        <v>3</v>
      </c>
      <c r="BJ101" s="168">
        <f>IF(CdTrp1!P55=1,3,IF(CdTrp1!P55=0.5,2,IF(CdTrp1!P55=0,1,0)))</f>
        <v>3</v>
      </c>
      <c r="BK101" s="168">
        <f>IF(CdTrp1!Q55=1,3,IF(CdTrp1!Q55=0.5,2,IF(CdTrp1!Q55=0,1,0)))</f>
        <v>3</v>
      </c>
      <c r="BL101" s="168">
        <f>IF(CdTrp1!R55=1,3,IF(CdTrp1!R55=0.5,2,IF(CdTrp1!R55=0,1,0)))</f>
        <v>3</v>
      </c>
      <c r="BM101" s="168">
        <f>IF(CdTrp1!S55=1,3,IF(CdTrp1!S55=0.5,2,IF(CdTrp1!S55=0,1,0)))</f>
        <v>3</v>
      </c>
      <c r="BN101" s="168">
        <f>IF(CdTrp1!T55=1,3,IF(CdTrp1!T55=0.5,2,IF(CdTrp1!T55=0,1,0)))</f>
        <v>3</v>
      </c>
      <c r="BO101" s="168">
        <f>IF(CdTrp1!U55=1,3,IF(CdTrp1!U55=0.5,2,IF(CdTrp1!U55=0,1,0)))</f>
        <v>3</v>
      </c>
      <c r="BP101" s="168">
        <f>IF(CdTrp1!V55=1,3,IF(CdTrp1!V55=0.5,2,IF(CdTrp1!V55=0,1,0)))</f>
        <v>3</v>
      </c>
      <c r="BQ101" s="168">
        <f>IF(CdTrp1!W55=1,3,IF(CdTrp1!W55=0.5,2,IF(CdTrp1!W55=0,1,0)))</f>
        <v>3</v>
      </c>
      <c r="BR101" s="168">
        <f>IF(CdTrp1!X55=1,3,IF(CdTrp1!X55=0.5,2,IF(CdTrp1!X55=0,1,0)))</f>
        <v>3</v>
      </c>
      <c r="BS101" s="168">
        <f>IF(CdTrp1!Y55=1,3,IF(CdTrp1!Y55=0.5,2,IF(CdTrp1!Y55=0,1,0)))</f>
        <v>3</v>
      </c>
      <c r="BZ101" s="182" t="str">
        <f t="shared" si="23"/>
        <v>lot4</v>
      </c>
      <c r="CA101" s="32"/>
      <c r="CB101" s="168">
        <f>IF(CdTrp2!B55=1,3,IF(CdTrp2!B55=0.5,2,IF(CdTrp2!B55=0,1,0)))</f>
        <v>1</v>
      </c>
      <c r="CC101" s="168">
        <f>IF(CdTrp2!C55=1,3,IF(CdTrp2!C55=0.5,2,IF(CdTrp2!C55=0,1,0)))</f>
        <v>1</v>
      </c>
      <c r="CD101" s="168">
        <f>IF(CdTrp2!D55=1,3,IF(CdTrp2!D55=0.5,2,IF(CdTrp2!D55=0,1,0)))</f>
        <v>1</v>
      </c>
      <c r="CE101" s="168">
        <f>IF(CdTrp2!E55=1,3,IF(CdTrp2!E55=0.5,2,IF(CdTrp2!E55=0,1,0)))</f>
        <v>1</v>
      </c>
      <c r="CF101" s="168">
        <f>IF(CdTrp2!F55=1,3,IF(CdTrp2!F55=0.5,2,IF(CdTrp2!F55=0,1,0)))</f>
        <v>1</v>
      </c>
      <c r="CG101" s="168">
        <f>IF(CdTrp2!G55=1,3,IF(CdTrp2!G55=0.5,2,IF(CdTrp2!G55=0,1,0)))</f>
        <v>1</v>
      </c>
      <c r="CH101" s="168">
        <f>IF(CdTrp2!H55=1,3,IF(CdTrp2!H55=0.5,2,IF(CdTrp2!H55=0,1,0)))</f>
        <v>1</v>
      </c>
      <c r="CI101" s="168">
        <f>IF(CdTrp2!I55=1,3,IF(CdTrp2!I55=0.5,2,IF(CdTrp2!I55=0,1,0)))</f>
        <v>1</v>
      </c>
      <c r="CJ101" s="168">
        <f>IF(CdTrp2!J55=1,3,IF(CdTrp2!J55=0.5,2,IF(CdTrp2!J55=0,1,0)))</f>
        <v>1</v>
      </c>
      <c r="CK101" s="168">
        <f>IF(CdTrp2!K55=1,3,IF(CdTrp2!K55=0.5,2,IF(CdTrp2!K55=0,1,0)))</f>
        <v>1</v>
      </c>
      <c r="CL101" s="168">
        <f>IF(CdTrp2!L55=1,3,IF(CdTrp2!L55=0.5,2,IF(CdTrp2!L55=0,1,0)))</f>
        <v>1</v>
      </c>
      <c r="CM101" s="168">
        <f>IF(CdTrp2!M55=1,3,IF(CdTrp2!M55=0.5,2,IF(CdTrp2!M55=0,1,0)))</f>
        <v>1</v>
      </c>
      <c r="CN101" s="168">
        <f>IF(CdTrp2!N55=1,3,IF(CdTrp2!N55=0.5,2,IF(CdTrp2!N55=0,1,0)))</f>
        <v>1</v>
      </c>
      <c r="CO101" s="168">
        <f>IF(CdTrp2!O55=1,3,IF(CdTrp2!O55=0.5,2,IF(CdTrp2!O55=0,1,0)))</f>
        <v>1</v>
      </c>
      <c r="CP101" s="168">
        <f>IF(CdTrp2!P55=1,3,IF(CdTrp2!P55=0.5,2,IF(CdTrp2!P55=0,1,0)))</f>
        <v>1</v>
      </c>
      <c r="CQ101" s="168">
        <f>IF(CdTrp2!Q55=1,3,IF(CdTrp2!Q55=0.5,2,IF(CdTrp2!Q55=0,1,0)))</f>
        <v>1</v>
      </c>
      <c r="CR101" s="168">
        <f>IF(CdTrp2!R55=1,3,IF(CdTrp2!R55=0.5,2,IF(CdTrp2!R55=0,1,0)))</f>
        <v>1</v>
      </c>
      <c r="CS101" s="168">
        <f>IF(CdTrp2!S55=1,3,IF(CdTrp2!S55=0.5,2,IF(CdTrp2!S55=0,1,0)))</f>
        <v>1</v>
      </c>
      <c r="CT101" s="168">
        <f>IF(CdTrp2!T55=1,3,IF(CdTrp2!T55=0.5,2,IF(CdTrp2!T55=0,1,0)))</f>
        <v>1</v>
      </c>
      <c r="CU101" s="168">
        <f>IF(CdTrp2!U55=1,3,IF(CdTrp2!U55=0.5,2,IF(CdTrp2!U55=0,1,0)))</f>
        <v>1</v>
      </c>
      <c r="CV101" s="168">
        <f>IF(CdTrp2!V55=1,3,IF(CdTrp2!V55=0.5,2,IF(CdTrp2!V55=0,1,0)))</f>
        <v>1</v>
      </c>
      <c r="CW101" s="168">
        <f>IF(CdTrp2!W55=1,3,IF(CdTrp2!W55=0.5,2,IF(CdTrp2!W55=0,1,0)))</f>
        <v>1</v>
      </c>
      <c r="CX101" s="168">
        <f>IF(CdTrp2!X55=1,3,IF(CdTrp2!X55=0.5,2,IF(CdTrp2!X55=0,1,0)))</f>
        <v>1</v>
      </c>
      <c r="CY101" s="168">
        <f>IF(CdTrp2!Y55=1,3,IF(CdTrp2!Y55=0.5,2,IF(CdTrp2!Y55=0,1,0)))</f>
        <v>1</v>
      </c>
      <c r="DC101" s="182" t="str">
        <f t="shared" si="24"/>
        <v>lot4</v>
      </c>
      <c r="DD101" s="32"/>
      <c r="DE101" s="168">
        <f>IF(CdTrp3!B55=1,3,IF(CdTrp3!B55=0.5,2,IF(CdTrp3!B55=0,1,0)))</f>
        <v>1</v>
      </c>
      <c r="DF101" s="168">
        <f>IF(CdTrp3!C55=1,3,IF(CdTrp3!C55=0.5,2,IF(CdTrp3!C55=0,1,0)))</f>
        <v>1</v>
      </c>
      <c r="DG101" s="168">
        <f>IF(CdTrp3!D55=1,3,IF(CdTrp3!D55=0.5,2,IF(CdTrp3!D55=0,1,0)))</f>
        <v>1</v>
      </c>
      <c r="DH101" s="168">
        <f>IF(CdTrp3!E55=1,3,IF(CdTrp3!E55=0.5,2,IF(CdTrp3!E55=0,1,0)))</f>
        <v>1</v>
      </c>
      <c r="DI101" s="168">
        <f>IF(CdTrp3!F55=1,3,IF(CdTrp3!F55=0.5,2,IF(CdTrp3!F55=0,1,0)))</f>
        <v>1</v>
      </c>
      <c r="DJ101" s="168">
        <f>IF(CdTrp3!G55=1,3,IF(CdTrp3!G55=0.5,2,IF(CdTrp3!G55=0,1,0)))</f>
        <v>1</v>
      </c>
      <c r="DK101" s="168">
        <f>IF(CdTrp3!H55=1,3,IF(CdTrp3!H55=0.5,2,IF(CdTrp3!H55=0,1,0)))</f>
        <v>1</v>
      </c>
      <c r="DL101" s="168">
        <f>IF(CdTrp3!I55=1,3,IF(CdTrp3!I55=0.5,2,IF(CdTrp3!I55=0,1,0)))</f>
        <v>1</v>
      </c>
      <c r="DM101" s="168">
        <f>IF(CdTrp3!J55=1,3,IF(CdTrp3!J55=0.5,2,IF(CdTrp3!J55=0,1,0)))</f>
        <v>1</v>
      </c>
      <c r="DN101" s="168">
        <f>IF(CdTrp3!K55=1,3,IF(CdTrp3!K55=0.5,2,IF(CdTrp3!K55=0,1,0)))</f>
        <v>1</v>
      </c>
      <c r="DO101" s="168">
        <f>IF(CdTrp3!L55=1,3,IF(CdTrp3!L55=0.5,2,IF(CdTrp3!L55=0,1,0)))</f>
        <v>1</v>
      </c>
      <c r="DP101" s="168">
        <f>IF(CdTrp3!M55=1,3,IF(CdTrp3!M55=0.5,2,IF(CdTrp3!M55=0,1,0)))</f>
        <v>1</v>
      </c>
      <c r="DQ101" s="168">
        <f>IF(CdTrp3!N55=1,3,IF(CdTrp3!N55=0.5,2,IF(CdTrp3!N55=0,1,0)))</f>
        <v>1</v>
      </c>
      <c r="DR101" s="168">
        <f>IF(CdTrp3!O55=1,3,IF(CdTrp3!O55=0.5,2,IF(CdTrp3!O55=0,1,0)))</f>
        <v>1</v>
      </c>
      <c r="DS101" s="168">
        <f>IF(CdTrp3!P55=1,3,IF(CdTrp3!P55=0.5,2,IF(CdTrp3!P55=0,1,0)))</f>
        <v>1</v>
      </c>
      <c r="DT101" s="168">
        <f>IF(CdTrp3!Q55=1,3,IF(CdTrp3!Q55=0.5,2,IF(CdTrp3!Q55=0,1,0)))</f>
        <v>1</v>
      </c>
      <c r="DU101" s="168">
        <f>IF(CdTrp3!R55=1,3,IF(CdTrp3!R55=0.5,2,IF(CdTrp3!R55=0,1,0)))</f>
        <v>1</v>
      </c>
      <c r="DV101" s="168">
        <f>IF(CdTrp3!S55=1,3,IF(CdTrp3!S55=0.5,2,IF(CdTrp3!S55=0,1,0)))</f>
        <v>1</v>
      </c>
      <c r="DW101" s="168">
        <f>IF(CdTrp3!T55=1,3,IF(CdTrp3!T55=0.5,2,IF(CdTrp3!T55=0,1,0)))</f>
        <v>1</v>
      </c>
      <c r="DX101" s="168">
        <f>IF(CdTrp3!U55=1,3,IF(CdTrp3!U55=0.5,2,IF(CdTrp3!U55=0,1,0)))</f>
        <v>1</v>
      </c>
      <c r="DY101" s="168">
        <f>IF(CdTrp3!V55=1,3,IF(CdTrp3!V55=0.5,2,IF(CdTrp3!V55=0,1,0)))</f>
        <v>1</v>
      </c>
      <c r="DZ101" s="168">
        <f>IF(CdTrp3!W55=1,3,IF(CdTrp3!W55=0.5,2,IF(CdTrp3!W55=0,1,0)))</f>
        <v>1</v>
      </c>
      <c r="EA101" s="168">
        <f>IF(CdTrp3!X55=1,3,IF(CdTrp3!X55=0.5,2,IF(CdTrp3!X55=0,1,0)))</f>
        <v>1</v>
      </c>
      <c r="EB101" s="168">
        <f>IF(CdTrp3!Y55=1,3,IF(CdTrp3!Y55=0.5,2,IF(CdTrp3!Y55=0,1,0)))</f>
        <v>1</v>
      </c>
    </row>
    <row r="102" spans="1:132" x14ac:dyDescent="0.25">
      <c r="B102" s="14" t="s">
        <v>1169</v>
      </c>
      <c r="C102" s="168">
        <f>(24-COUNTIF(H129:AE129,0))/2</f>
        <v>8.5</v>
      </c>
      <c r="D102" s="168">
        <f t="shared" si="25"/>
        <v>8.5</v>
      </c>
      <c r="F102" s="14"/>
      <c r="G102" s="30" t="str">
        <f>CdTrp1!A96</f>
        <v>lot9</v>
      </c>
      <c r="H102" s="30">
        <f>CdTrp1!B84</f>
        <v>0</v>
      </c>
      <c r="I102" s="30">
        <f>CdTrp1!C84</f>
        <v>0</v>
      </c>
      <c r="J102" s="30">
        <f>CdTrp1!D84</f>
        <v>0</v>
      </c>
      <c r="K102" s="30">
        <f>CdTrp1!E84</f>
        <v>0</v>
      </c>
      <c r="L102" s="30">
        <f>CdTrp1!F84</f>
        <v>0</v>
      </c>
      <c r="M102" s="30">
        <f>CdTrp1!G84</f>
        <v>0</v>
      </c>
      <c r="N102" s="30">
        <f>CdTrp1!H84</f>
        <v>0</v>
      </c>
      <c r="O102" s="30">
        <f>CdTrp1!I84</f>
        <v>0</v>
      </c>
      <c r="P102" s="30">
        <f>CdTrp1!J84</f>
        <v>0</v>
      </c>
      <c r="Q102" s="30">
        <f>CdTrp1!K84</f>
        <v>0</v>
      </c>
      <c r="R102" s="30">
        <f>CdTrp1!L84</f>
        <v>0</v>
      </c>
      <c r="S102" s="30">
        <f>CdTrp1!M84</f>
        <v>0</v>
      </c>
      <c r="T102" s="30">
        <f>CdTrp1!N84</f>
        <v>0</v>
      </c>
      <c r="U102" s="30">
        <f>CdTrp1!O84</f>
        <v>0</v>
      </c>
      <c r="V102" s="30">
        <f>CdTrp1!P84</f>
        <v>0</v>
      </c>
      <c r="W102" s="30">
        <f>CdTrp1!Q84</f>
        <v>0</v>
      </c>
      <c r="X102" s="30">
        <f>CdTrp1!R84</f>
        <v>0</v>
      </c>
      <c r="Y102" s="30">
        <f>CdTrp1!S84</f>
        <v>0</v>
      </c>
      <c r="Z102" s="30">
        <f>CdTrp1!T84</f>
        <v>0</v>
      </c>
      <c r="AA102" s="30">
        <f>CdTrp1!U84</f>
        <v>0</v>
      </c>
      <c r="AB102" s="30">
        <f>CdTrp1!V84</f>
        <v>0</v>
      </c>
      <c r="AC102" s="30">
        <f>CdTrp1!W84</f>
        <v>0</v>
      </c>
      <c r="AD102" s="30">
        <f>CdTrp1!X84</f>
        <v>0</v>
      </c>
      <c r="AE102" s="30">
        <f>CdTrp1!Y84</f>
        <v>0</v>
      </c>
      <c r="AT102" s="252" t="str">
        <f>CdTrp1!$A56</f>
        <v>génisses &lt; 1 an</v>
      </c>
      <c r="AU102" s="32"/>
      <c r="AV102" s="168">
        <f>IF(CdTrp1!B56=1,3,IF(CdTrp1!B56=0.5,2,IF(CdTrp1!B56=0,1,0)))</f>
        <v>3</v>
      </c>
      <c r="AW102" s="168">
        <f>IF(CdTrp1!C56=1,3,IF(CdTrp1!C56=0.5,2,IF(CdTrp1!C56=0,1,0)))</f>
        <v>3</v>
      </c>
      <c r="AX102" s="168">
        <f>IF(CdTrp1!D56=1,3,IF(CdTrp1!D56=0.5,2,IF(CdTrp1!D56=0,1,0)))</f>
        <v>3</v>
      </c>
      <c r="AY102" s="168">
        <f>IF(CdTrp1!E56=1,3,IF(CdTrp1!E56=0.5,2,IF(CdTrp1!E56=0,1,0)))</f>
        <v>3</v>
      </c>
      <c r="AZ102" s="168">
        <f>IF(CdTrp1!F56=1,3,IF(CdTrp1!F56=0.5,2,IF(CdTrp1!F56=0,1,0)))</f>
        <v>3</v>
      </c>
      <c r="BA102" s="168">
        <f>IF(CdTrp1!G56=1,3,IF(CdTrp1!G56=0.5,2,IF(CdTrp1!G56=0,1,0)))</f>
        <v>3</v>
      </c>
      <c r="BB102" s="168">
        <f>IF(CdTrp1!H56=1,3,IF(CdTrp1!H56=0.5,2,IF(CdTrp1!H56=0,1,0)))</f>
        <v>3</v>
      </c>
      <c r="BC102" s="168">
        <f>IF(CdTrp1!I56=1,3,IF(CdTrp1!I56=0.5,2,IF(CdTrp1!I56=0,1,0)))</f>
        <v>3</v>
      </c>
      <c r="BD102" s="168">
        <f>IF(CdTrp1!J56=1,3,IF(CdTrp1!J56=0.5,2,IF(CdTrp1!J56=0,1,0)))</f>
        <v>3</v>
      </c>
      <c r="BE102" s="168">
        <f>IF(CdTrp1!K56=1,3,IF(CdTrp1!K56=0.5,2,IF(CdTrp1!K56=0,1,0)))</f>
        <v>3</v>
      </c>
      <c r="BF102" s="168">
        <f>IF(CdTrp1!L56=1,3,IF(CdTrp1!L56=0.5,2,IF(CdTrp1!L56=0,1,0)))</f>
        <v>3</v>
      </c>
      <c r="BG102" s="168">
        <f>IF(CdTrp1!M56=1,3,IF(CdTrp1!M56=0.5,2,IF(CdTrp1!M56=0,1,0)))</f>
        <v>3</v>
      </c>
      <c r="BH102" s="168">
        <f>IF(CdTrp1!N56=1,3,IF(CdTrp1!N56=0.5,2,IF(CdTrp1!N56=0,1,0)))</f>
        <v>3</v>
      </c>
      <c r="BI102" s="168">
        <f>IF(CdTrp1!O56=1,3,IF(CdTrp1!O56=0.5,2,IF(CdTrp1!O56=0,1,0)))</f>
        <v>3</v>
      </c>
      <c r="BJ102" s="168">
        <f>IF(CdTrp1!P56=1,3,IF(CdTrp1!P56=0.5,2,IF(CdTrp1!P56=0,1,0)))</f>
        <v>3</v>
      </c>
      <c r="BK102" s="168">
        <f>IF(CdTrp1!Q56=1,3,IF(CdTrp1!Q56=0.5,2,IF(CdTrp1!Q56=0,1,0)))</f>
        <v>3</v>
      </c>
      <c r="BL102" s="168">
        <f>IF(CdTrp1!R56=1,3,IF(CdTrp1!R56=0.5,2,IF(CdTrp1!R56=0,1,0)))</f>
        <v>3</v>
      </c>
      <c r="BM102" s="168">
        <f>IF(CdTrp1!S56=1,3,IF(CdTrp1!S56=0.5,2,IF(CdTrp1!S56=0,1,0)))</f>
        <v>3</v>
      </c>
      <c r="BN102" s="168">
        <f>IF(CdTrp1!T56=1,3,IF(CdTrp1!T56=0.5,2,IF(CdTrp1!T56=0,1,0)))</f>
        <v>3</v>
      </c>
      <c r="BO102" s="168">
        <f>IF(CdTrp1!U56=1,3,IF(CdTrp1!U56=0.5,2,IF(CdTrp1!U56=0,1,0)))</f>
        <v>3</v>
      </c>
      <c r="BP102" s="168">
        <f>IF(CdTrp1!V56=1,3,IF(CdTrp1!V56=0.5,2,IF(CdTrp1!V56=0,1,0)))</f>
        <v>3</v>
      </c>
      <c r="BQ102" s="168">
        <f>IF(CdTrp1!W56=1,3,IF(CdTrp1!W56=0.5,2,IF(CdTrp1!W56=0,1,0)))</f>
        <v>3</v>
      </c>
      <c r="BR102" s="168">
        <f>IF(CdTrp1!X56=1,3,IF(CdTrp1!X56=0.5,2,IF(CdTrp1!X56=0,1,0)))</f>
        <v>3</v>
      </c>
      <c r="BS102" s="168">
        <f>IF(CdTrp1!Y56=1,3,IF(CdTrp1!Y56=0.5,2,IF(CdTrp1!Y56=0,1,0)))</f>
        <v>3</v>
      </c>
      <c r="BZ102" s="182" t="str">
        <f t="shared" si="23"/>
        <v>lot5</v>
      </c>
      <c r="CA102" s="32"/>
      <c r="CB102" s="168">
        <f>IF(CdTrp2!B56=1,3,IF(CdTrp2!B56=0.5,2,IF(CdTrp2!B56=0,1,0)))</f>
        <v>1</v>
      </c>
      <c r="CC102" s="168">
        <f>IF(CdTrp2!C56=1,3,IF(CdTrp2!C56=0.5,2,IF(CdTrp2!C56=0,1,0)))</f>
        <v>1</v>
      </c>
      <c r="CD102" s="168">
        <f>IF(CdTrp2!D56=1,3,IF(CdTrp2!D56=0.5,2,IF(CdTrp2!D56=0,1,0)))</f>
        <v>1</v>
      </c>
      <c r="CE102" s="168">
        <f>IF(CdTrp2!E56=1,3,IF(CdTrp2!E56=0.5,2,IF(CdTrp2!E56=0,1,0)))</f>
        <v>1</v>
      </c>
      <c r="CF102" s="168">
        <f>IF(CdTrp2!F56=1,3,IF(CdTrp2!F56=0.5,2,IF(CdTrp2!F56=0,1,0)))</f>
        <v>1</v>
      </c>
      <c r="CG102" s="168">
        <f>IF(CdTrp2!G56=1,3,IF(CdTrp2!G56=0.5,2,IF(CdTrp2!G56=0,1,0)))</f>
        <v>1</v>
      </c>
      <c r="CH102" s="168">
        <f>IF(CdTrp2!H56=1,3,IF(CdTrp2!H56=0.5,2,IF(CdTrp2!H56=0,1,0)))</f>
        <v>1</v>
      </c>
      <c r="CI102" s="168">
        <f>IF(CdTrp2!I56=1,3,IF(CdTrp2!I56=0.5,2,IF(CdTrp2!I56=0,1,0)))</f>
        <v>1</v>
      </c>
      <c r="CJ102" s="168">
        <f>IF(CdTrp2!J56=1,3,IF(CdTrp2!J56=0.5,2,IF(CdTrp2!J56=0,1,0)))</f>
        <v>1</v>
      </c>
      <c r="CK102" s="168">
        <f>IF(CdTrp2!K56=1,3,IF(CdTrp2!K56=0.5,2,IF(CdTrp2!K56=0,1,0)))</f>
        <v>1</v>
      </c>
      <c r="CL102" s="168">
        <f>IF(CdTrp2!L56=1,3,IF(CdTrp2!L56=0.5,2,IF(CdTrp2!L56=0,1,0)))</f>
        <v>1</v>
      </c>
      <c r="CM102" s="168">
        <f>IF(CdTrp2!M56=1,3,IF(CdTrp2!M56=0.5,2,IF(CdTrp2!M56=0,1,0)))</f>
        <v>1</v>
      </c>
      <c r="CN102" s="168">
        <f>IF(CdTrp2!N56=1,3,IF(CdTrp2!N56=0.5,2,IF(CdTrp2!N56=0,1,0)))</f>
        <v>1</v>
      </c>
      <c r="CO102" s="168">
        <f>IF(CdTrp2!O56=1,3,IF(CdTrp2!O56=0.5,2,IF(CdTrp2!O56=0,1,0)))</f>
        <v>1</v>
      </c>
      <c r="CP102" s="168">
        <f>IF(CdTrp2!P56=1,3,IF(CdTrp2!P56=0.5,2,IF(CdTrp2!P56=0,1,0)))</f>
        <v>1</v>
      </c>
      <c r="CQ102" s="168">
        <f>IF(CdTrp2!Q56=1,3,IF(CdTrp2!Q56=0.5,2,IF(CdTrp2!Q56=0,1,0)))</f>
        <v>1</v>
      </c>
      <c r="CR102" s="168">
        <f>IF(CdTrp2!R56=1,3,IF(CdTrp2!R56=0.5,2,IF(CdTrp2!R56=0,1,0)))</f>
        <v>1</v>
      </c>
      <c r="CS102" s="168">
        <f>IF(CdTrp2!S56=1,3,IF(CdTrp2!S56=0.5,2,IF(CdTrp2!S56=0,1,0)))</f>
        <v>1</v>
      </c>
      <c r="CT102" s="168">
        <f>IF(CdTrp2!T56=1,3,IF(CdTrp2!T56=0.5,2,IF(CdTrp2!T56=0,1,0)))</f>
        <v>1</v>
      </c>
      <c r="CU102" s="168">
        <f>IF(CdTrp2!U56=1,3,IF(CdTrp2!U56=0.5,2,IF(CdTrp2!U56=0,1,0)))</f>
        <v>1</v>
      </c>
      <c r="CV102" s="168">
        <f>IF(CdTrp2!V56=1,3,IF(CdTrp2!V56=0.5,2,IF(CdTrp2!V56=0,1,0)))</f>
        <v>1</v>
      </c>
      <c r="CW102" s="168">
        <f>IF(CdTrp2!W56=1,3,IF(CdTrp2!W56=0.5,2,IF(CdTrp2!W56=0,1,0)))</f>
        <v>1</v>
      </c>
      <c r="CX102" s="168">
        <f>IF(CdTrp2!X56=1,3,IF(CdTrp2!X56=0.5,2,IF(CdTrp2!X56=0,1,0)))</f>
        <v>1</v>
      </c>
      <c r="CY102" s="168">
        <f>IF(CdTrp2!Y56=1,3,IF(CdTrp2!Y56=0.5,2,IF(CdTrp2!Y56=0,1,0)))</f>
        <v>1</v>
      </c>
      <c r="DC102" s="182" t="str">
        <f t="shared" si="24"/>
        <v>lot5</v>
      </c>
      <c r="DD102" s="32"/>
      <c r="DE102" s="168">
        <f>IF(CdTrp3!B56=1,3,IF(CdTrp3!B56=0.5,2,IF(CdTrp3!B56=0,1,0)))</f>
        <v>1</v>
      </c>
      <c r="DF102" s="168">
        <f>IF(CdTrp3!C56=1,3,IF(CdTrp3!C56=0.5,2,IF(CdTrp3!C56=0,1,0)))</f>
        <v>1</v>
      </c>
      <c r="DG102" s="168">
        <f>IF(CdTrp3!D56=1,3,IF(CdTrp3!D56=0.5,2,IF(CdTrp3!D56=0,1,0)))</f>
        <v>1</v>
      </c>
      <c r="DH102" s="168">
        <f>IF(CdTrp3!E56=1,3,IF(CdTrp3!E56=0.5,2,IF(CdTrp3!E56=0,1,0)))</f>
        <v>1</v>
      </c>
      <c r="DI102" s="168">
        <f>IF(CdTrp3!F56=1,3,IF(CdTrp3!F56=0.5,2,IF(CdTrp3!F56=0,1,0)))</f>
        <v>1</v>
      </c>
      <c r="DJ102" s="168">
        <f>IF(CdTrp3!G56=1,3,IF(CdTrp3!G56=0.5,2,IF(CdTrp3!G56=0,1,0)))</f>
        <v>1</v>
      </c>
      <c r="DK102" s="168">
        <f>IF(CdTrp3!H56=1,3,IF(CdTrp3!H56=0.5,2,IF(CdTrp3!H56=0,1,0)))</f>
        <v>1</v>
      </c>
      <c r="DL102" s="168">
        <f>IF(CdTrp3!I56=1,3,IF(CdTrp3!I56=0.5,2,IF(CdTrp3!I56=0,1,0)))</f>
        <v>1</v>
      </c>
      <c r="DM102" s="168">
        <f>IF(CdTrp3!J56=1,3,IF(CdTrp3!J56=0.5,2,IF(CdTrp3!J56=0,1,0)))</f>
        <v>1</v>
      </c>
      <c r="DN102" s="168">
        <f>IF(CdTrp3!K56=1,3,IF(CdTrp3!K56=0.5,2,IF(CdTrp3!K56=0,1,0)))</f>
        <v>1</v>
      </c>
      <c r="DO102" s="168">
        <f>IF(CdTrp3!L56=1,3,IF(CdTrp3!L56=0.5,2,IF(CdTrp3!L56=0,1,0)))</f>
        <v>1</v>
      </c>
      <c r="DP102" s="168">
        <f>IF(CdTrp3!M56=1,3,IF(CdTrp3!M56=0.5,2,IF(CdTrp3!M56=0,1,0)))</f>
        <v>1</v>
      </c>
      <c r="DQ102" s="168">
        <f>IF(CdTrp3!N56=1,3,IF(CdTrp3!N56=0.5,2,IF(CdTrp3!N56=0,1,0)))</f>
        <v>1</v>
      </c>
      <c r="DR102" s="168">
        <f>IF(CdTrp3!O56=1,3,IF(CdTrp3!O56=0.5,2,IF(CdTrp3!O56=0,1,0)))</f>
        <v>1</v>
      </c>
      <c r="DS102" s="168">
        <f>IF(CdTrp3!P56=1,3,IF(CdTrp3!P56=0.5,2,IF(CdTrp3!P56=0,1,0)))</f>
        <v>1</v>
      </c>
      <c r="DT102" s="168">
        <f>IF(CdTrp3!Q56=1,3,IF(CdTrp3!Q56=0.5,2,IF(CdTrp3!Q56=0,1,0)))</f>
        <v>1</v>
      </c>
      <c r="DU102" s="168">
        <f>IF(CdTrp3!R56=1,3,IF(CdTrp3!R56=0.5,2,IF(CdTrp3!R56=0,1,0)))</f>
        <v>1</v>
      </c>
      <c r="DV102" s="168">
        <f>IF(CdTrp3!S56=1,3,IF(CdTrp3!S56=0.5,2,IF(CdTrp3!S56=0,1,0)))</f>
        <v>1</v>
      </c>
      <c r="DW102" s="168">
        <f>IF(CdTrp3!T56=1,3,IF(CdTrp3!T56=0.5,2,IF(CdTrp3!T56=0,1,0)))</f>
        <v>1</v>
      </c>
      <c r="DX102" s="168">
        <f>IF(CdTrp3!U56=1,3,IF(CdTrp3!U56=0.5,2,IF(CdTrp3!U56=0,1,0)))</f>
        <v>1</v>
      </c>
      <c r="DY102" s="168">
        <f>IF(CdTrp3!V56=1,3,IF(CdTrp3!V56=0.5,2,IF(CdTrp3!V56=0,1,0)))</f>
        <v>1</v>
      </c>
      <c r="DZ102" s="168">
        <f>IF(CdTrp3!W56=1,3,IF(CdTrp3!W56=0.5,2,IF(CdTrp3!W56=0,1,0)))</f>
        <v>1</v>
      </c>
      <c r="EA102" s="168">
        <f>IF(CdTrp3!X56=1,3,IF(CdTrp3!X56=0.5,2,IF(CdTrp3!X56=0,1,0)))</f>
        <v>1</v>
      </c>
      <c r="EB102" s="168">
        <f>IF(CdTrp3!Y56=1,3,IF(CdTrp3!Y56=0.5,2,IF(CdTrp3!Y56=0,1,0)))</f>
        <v>1</v>
      </c>
    </row>
    <row r="103" spans="1:132" x14ac:dyDescent="0.25">
      <c r="B103" s="14" t="s">
        <v>1170</v>
      </c>
      <c r="C103" s="168">
        <f>(24-COUNTIF(H130:AE130,0))/2</f>
        <v>0</v>
      </c>
      <c r="D103" s="168">
        <f t="shared" si="25"/>
        <v>0</v>
      </c>
      <c r="F103" s="14"/>
      <c r="G103" s="251" t="str">
        <f>CdTrp1!A97</f>
        <v>lot10</v>
      </c>
      <c r="H103" s="30">
        <f>CdTrp1!B85</f>
        <v>0</v>
      </c>
      <c r="I103" s="30">
        <f>CdTrp1!C85</f>
        <v>0</v>
      </c>
      <c r="J103" s="30">
        <f>CdTrp1!D85</f>
        <v>0</v>
      </c>
      <c r="K103" s="30">
        <f>CdTrp1!E85</f>
        <v>0</v>
      </c>
      <c r="L103" s="30">
        <f>CdTrp1!F85</f>
        <v>0</v>
      </c>
      <c r="M103" s="30">
        <f>CdTrp1!G85</f>
        <v>0</v>
      </c>
      <c r="N103" s="30">
        <f>CdTrp1!H85</f>
        <v>0</v>
      </c>
      <c r="O103" s="30">
        <f>CdTrp1!I85</f>
        <v>0</v>
      </c>
      <c r="P103" s="30">
        <f>CdTrp1!J85</f>
        <v>0</v>
      </c>
      <c r="Q103" s="30">
        <f>CdTrp1!K85</f>
        <v>0</v>
      </c>
      <c r="R103" s="30">
        <f>CdTrp1!L85</f>
        <v>0</v>
      </c>
      <c r="S103" s="30">
        <f>CdTrp1!M85</f>
        <v>0</v>
      </c>
      <c r="T103" s="30">
        <f>CdTrp1!N85</f>
        <v>0</v>
      </c>
      <c r="U103" s="30">
        <f>CdTrp1!O85</f>
        <v>0</v>
      </c>
      <c r="V103" s="30">
        <f>CdTrp1!P85</f>
        <v>0</v>
      </c>
      <c r="W103" s="30">
        <f>CdTrp1!Q85</f>
        <v>0</v>
      </c>
      <c r="X103" s="30">
        <f>CdTrp1!R85</f>
        <v>0</v>
      </c>
      <c r="Y103" s="30">
        <f>CdTrp1!S85</f>
        <v>0</v>
      </c>
      <c r="Z103" s="30">
        <f>CdTrp1!T85</f>
        <v>0</v>
      </c>
      <c r="AA103" s="30">
        <f>CdTrp1!U85</f>
        <v>0</v>
      </c>
      <c r="AB103" s="30">
        <f>CdTrp1!V85</f>
        <v>0</v>
      </c>
      <c r="AC103" s="30">
        <f>CdTrp1!W85</f>
        <v>0</v>
      </c>
      <c r="AD103" s="30">
        <f>CdTrp1!X85</f>
        <v>0</v>
      </c>
      <c r="AE103" s="30">
        <f>CdTrp1!Y85</f>
        <v>0</v>
      </c>
      <c r="AT103" s="182" t="str">
        <f>CdTrp1!$A57</f>
        <v>lot6</v>
      </c>
      <c r="AU103" s="32"/>
      <c r="AV103" s="168">
        <f>IF(CdTrp1!B57=1,3,IF(CdTrp1!B57=0.5,2,IF(CdTrp1!B57=0,1,0)))</f>
        <v>1</v>
      </c>
      <c r="AW103" s="168">
        <f>IF(CdTrp1!C57=1,3,IF(CdTrp1!C57=0.5,2,IF(CdTrp1!C57=0,1,0)))</f>
        <v>1</v>
      </c>
      <c r="AX103" s="168">
        <f>IF(CdTrp1!D57=1,3,IF(CdTrp1!D57=0.5,2,IF(CdTrp1!D57=0,1,0)))</f>
        <v>1</v>
      </c>
      <c r="AY103" s="168">
        <f>IF(CdTrp1!E57=1,3,IF(CdTrp1!E57=0.5,2,IF(CdTrp1!E57=0,1,0)))</f>
        <v>1</v>
      </c>
      <c r="AZ103" s="168">
        <f>IF(CdTrp1!F57=1,3,IF(CdTrp1!F57=0.5,2,IF(CdTrp1!F57=0,1,0)))</f>
        <v>1</v>
      </c>
      <c r="BA103" s="168">
        <f>IF(CdTrp1!G57=1,3,IF(CdTrp1!G57=0.5,2,IF(CdTrp1!G57=0,1,0)))</f>
        <v>1</v>
      </c>
      <c r="BB103" s="168">
        <f>IF(CdTrp1!H57=1,3,IF(CdTrp1!H57=0.5,2,IF(CdTrp1!H57=0,1,0)))</f>
        <v>1</v>
      </c>
      <c r="BC103" s="168">
        <f>IF(CdTrp1!I57=1,3,IF(CdTrp1!I57=0.5,2,IF(CdTrp1!I57=0,1,0)))</f>
        <v>1</v>
      </c>
      <c r="BD103" s="168">
        <f>IF(CdTrp1!J57=1,3,IF(CdTrp1!J57=0.5,2,IF(CdTrp1!J57=0,1,0)))</f>
        <v>1</v>
      </c>
      <c r="BE103" s="168">
        <f>IF(CdTrp1!K57=1,3,IF(CdTrp1!K57=0.5,2,IF(CdTrp1!K57=0,1,0)))</f>
        <v>1</v>
      </c>
      <c r="BF103" s="168">
        <f>IF(CdTrp1!L57=1,3,IF(CdTrp1!L57=0.5,2,IF(CdTrp1!L57=0,1,0)))</f>
        <v>1</v>
      </c>
      <c r="BG103" s="168">
        <f>IF(CdTrp1!M57=1,3,IF(CdTrp1!M57=0.5,2,IF(CdTrp1!M57=0,1,0)))</f>
        <v>1</v>
      </c>
      <c r="BH103" s="168">
        <f>IF(CdTrp1!N57=1,3,IF(CdTrp1!N57=0.5,2,IF(CdTrp1!N57=0,1,0)))</f>
        <v>1</v>
      </c>
      <c r="BI103" s="168">
        <f>IF(CdTrp1!O57=1,3,IF(CdTrp1!O57=0.5,2,IF(CdTrp1!O57=0,1,0)))</f>
        <v>1</v>
      </c>
      <c r="BJ103" s="168">
        <f>IF(CdTrp1!P57=1,3,IF(CdTrp1!P57=0.5,2,IF(CdTrp1!P57=0,1,0)))</f>
        <v>1</v>
      </c>
      <c r="BK103" s="168">
        <f>IF(CdTrp1!Q57=1,3,IF(CdTrp1!Q57=0.5,2,IF(CdTrp1!Q57=0,1,0)))</f>
        <v>1</v>
      </c>
      <c r="BL103" s="168">
        <f>IF(CdTrp1!R57=1,3,IF(CdTrp1!R57=0.5,2,IF(CdTrp1!R57=0,1,0)))</f>
        <v>1</v>
      </c>
      <c r="BM103" s="168">
        <f>IF(CdTrp1!S57=1,3,IF(CdTrp1!S57=0.5,2,IF(CdTrp1!S57=0,1,0)))</f>
        <v>1</v>
      </c>
      <c r="BN103" s="168">
        <f>IF(CdTrp1!T57=1,3,IF(CdTrp1!T57=0.5,2,IF(CdTrp1!T57=0,1,0)))</f>
        <v>1</v>
      </c>
      <c r="BO103" s="168">
        <f>IF(CdTrp1!U57=1,3,IF(CdTrp1!U57=0.5,2,IF(CdTrp1!U57=0,1,0)))</f>
        <v>1</v>
      </c>
      <c r="BP103" s="168">
        <f>IF(CdTrp1!V57=1,3,IF(CdTrp1!V57=0.5,2,IF(CdTrp1!V57=0,1,0)))</f>
        <v>1</v>
      </c>
      <c r="BQ103" s="168">
        <f>IF(CdTrp1!W57=1,3,IF(CdTrp1!W57=0.5,2,IF(CdTrp1!W57=0,1,0)))</f>
        <v>1</v>
      </c>
      <c r="BR103" s="168">
        <f>IF(CdTrp1!X57=1,3,IF(CdTrp1!X57=0.5,2,IF(CdTrp1!X57=0,1,0)))</f>
        <v>1</v>
      </c>
      <c r="BS103" s="168">
        <f>IF(CdTrp1!Y57=1,3,IF(CdTrp1!Y57=0.5,2,IF(CdTrp1!Y57=0,1,0)))</f>
        <v>1</v>
      </c>
      <c r="BZ103" s="182" t="str">
        <f t="shared" si="23"/>
        <v>lot6</v>
      </c>
      <c r="CA103" s="32"/>
      <c r="CB103" s="168">
        <f>IF(CdTrp2!B57=1,3,IF(CdTrp2!B57=0.5,2,IF(CdTrp2!B57=0,1,0)))</f>
        <v>1</v>
      </c>
      <c r="CC103" s="168">
        <f>IF(CdTrp2!C57=1,3,IF(CdTrp2!C57=0.5,2,IF(CdTrp2!C57=0,1,0)))</f>
        <v>1</v>
      </c>
      <c r="CD103" s="168">
        <f>IF(CdTrp2!D57=1,3,IF(CdTrp2!D57=0.5,2,IF(CdTrp2!D57=0,1,0)))</f>
        <v>1</v>
      </c>
      <c r="CE103" s="168">
        <f>IF(CdTrp2!E57=1,3,IF(CdTrp2!E57=0.5,2,IF(CdTrp2!E57=0,1,0)))</f>
        <v>1</v>
      </c>
      <c r="CF103" s="168">
        <f>IF(CdTrp2!F57=1,3,IF(CdTrp2!F57=0.5,2,IF(CdTrp2!F57=0,1,0)))</f>
        <v>1</v>
      </c>
      <c r="CG103" s="168">
        <f>IF(CdTrp2!G57=1,3,IF(CdTrp2!G57=0.5,2,IF(CdTrp2!G57=0,1,0)))</f>
        <v>1</v>
      </c>
      <c r="CH103" s="168">
        <f>IF(CdTrp2!H57=1,3,IF(CdTrp2!H57=0.5,2,IF(CdTrp2!H57=0,1,0)))</f>
        <v>1</v>
      </c>
      <c r="CI103" s="168">
        <f>IF(CdTrp2!I57=1,3,IF(CdTrp2!I57=0.5,2,IF(CdTrp2!I57=0,1,0)))</f>
        <v>1</v>
      </c>
      <c r="CJ103" s="168">
        <f>IF(CdTrp2!J57=1,3,IF(CdTrp2!J57=0.5,2,IF(CdTrp2!J57=0,1,0)))</f>
        <v>1</v>
      </c>
      <c r="CK103" s="168">
        <f>IF(CdTrp2!K57=1,3,IF(CdTrp2!K57=0.5,2,IF(CdTrp2!K57=0,1,0)))</f>
        <v>1</v>
      </c>
      <c r="CL103" s="168">
        <f>IF(CdTrp2!L57=1,3,IF(CdTrp2!L57=0.5,2,IF(CdTrp2!L57=0,1,0)))</f>
        <v>1</v>
      </c>
      <c r="CM103" s="168">
        <f>IF(CdTrp2!M57=1,3,IF(CdTrp2!M57=0.5,2,IF(CdTrp2!M57=0,1,0)))</f>
        <v>1</v>
      </c>
      <c r="CN103" s="168">
        <f>IF(CdTrp2!N57=1,3,IF(CdTrp2!N57=0.5,2,IF(CdTrp2!N57=0,1,0)))</f>
        <v>1</v>
      </c>
      <c r="CO103" s="168">
        <f>IF(CdTrp2!O57=1,3,IF(CdTrp2!O57=0.5,2,IF(CdTrp2!O57=0,1,0)))</f>
        <v>1</v>
      </c>
      <c r="CP103" s="168">
        <f>IF(CdTrp2!P57=1,3,IF(CdTrp2!P57=0.5,2,IF(CdTrp2!P57=0,1,0)))</f>
        <v>1</v>
      </c>
      <c r="CQ103" s="168">
        <f>IF(CdTrp2!Q57=1,3,IF(CdTrp2!Q57=0.5,2,IF(CdTrp2!Q57=0,1,0)))</f>
        <v>1</v>
      </c>
      <c r="CR103" s="168">
        <f>IF(CdTrp2!R57=1,3,IF(CdTrp2!R57=0.5,2,IF(CdTrp2!R57=0,1,0)))</f>
        <v>1</v>
      </c>
      <c r="CS103" s="168">
        <f>IF(CdTrp2!S57=1,3,IF(CdTrp2!S57=0.5,2,IF(CdTrp2!S57=0,1,0)))</f>
        <v>1</v>
      </c>
      <c r="CT103" s="168">
        <f>IF(CdTrp2!T57=1,3,IF(CdTrp2!T57=0.5,2,IF(CdTrp2!T57=0,1,0)))</f>
        <v>1</v>
      </c>
      <c r="CU103" s="168">
        <f>IF(CdTrp2!U57=1,3,IF(CdTrp2!U57=0.5,2,IF(CdTrp2!U57=0,1,0)))</f>
        <v>1</v>
      </c>
      <c r="CV103" s="168">
        <f>IF(CdTrp2!V57=1,3,IF(CdTrp2!V57=0.5,2,IF(CdTrp2!V57=0,1,0)))</f>
        <v>1</v>
      </c>
      <c r="CW103" s="168">
        <f>IF(CdTrp2!W57=1,3,IF(CdTrp2!W57=0.5,2,IF(CdTrp2!W57=0,1,0)))</f>
        <v>1</v>
      </c>
      <c r="CX103" s="168">
        <f>IF(CdTrp2!X57=1,3,IF(CdTrp2!X57=0.5,2,IF(CdTrp2!X57=0,1,0)))</f>
        <v>1</v>
      </c>
      <c r="CY103" s="168">
        <f>IF(CdTrp2!Y57=1,3,IF(CdTrp2!Y57=0.5,2,IF(CdTrp2!Y57=0,1,0)))</f>
        <v>1</v>
      </c>
      <c r="DC103" s="182" t="str">
        <f t="shared" si="24"/>
        <v>lot6</v>
      </c>
      <c r="DD103" s="32"/>
      <c r="DE103" s="168">
        <f>IF(CdTrp3!B57=1,3,IF(CdTrp3!B57=0.5,2,IF(CdTrp3!B57=0,1,0)))</f>
        <v>1</v>
      </c>
      <c r="DF103" s="168">
        <f>IF(CdTrp3!C57=1,3,IF(CdTrp3!C57=0.5,2,IF(CdTrp3!C57=0,1,0)))</f>
        <v>1</v>
      </c>
      <c r="DG103" s="168">
        <f>IF(CdTrp3!D57=1,3,IF(CdTrp3!D57=0.5,2,IF(CdTrp3!D57=0,1,0)))</f>
        <v>1</v>
      </c>
      <c r="DH103" s="168">
        <f>IF(CdTrp3!E57=1,3,IF(CdTrp3!E57=0.5,2,IF(CdTrp3!E57=0,1,0)))</f>
        <v>1</v>
      </c>
      <c r="DI103" s="168">
        <f>IF(CdTrp3!F57=1,3,IF(CdTrp3!F57=0.5,2,IF(CdTrp3!F57=0,1,0)))</f>
        <v>1</v>
      </c>
      <c r="DJ103" s="168">
        <f>IF(CdTrp3!G57=1,3,IF(CdTrp3!G57=0.5,2,IF(CdTrp3!G57=0,1,0)))</f>
        <v>1</v>
      </c>
      <c r="DK103" s="168">
        <f>IF(CdTrp3!H57=1,3,IF(CdTrp3!H57=0.5,2,IF(CdTrp3!H57=0,1,0)))</f>
        <v>1</v>
      </c>
      <c r="DL103" s="168">
        <f>IF(CdTrp3!I57=1,3,IF(CdTrp3!I57=0.5,2,IF(CdTrp3!I57=0,1,0)))</f>
        <v>1</v>
      </c>
      <c r="DM103" s="168">
        <f>IF(CdTrp3!J57=1,3,IF(CdTrp3!J57=0.5,2,IF(CdTrp3!J57=0,1,0)))</f>
        <v>1</v>
      </c>
      <c r="DN103" s="168">
        <f>IF(CdTrp3!K57=1,3,IF(CdTrp3!K57=0.5,2,IF(CdTrp3!K57=0,1,0)))</f>
        <v>1</v>
      </c>
      <c r="DO103" s="168">
        <f>IF(CdTrp3!L57=1,3,IF(CdTrp3!L57=0.5,2,IF(CdTrp3!L57=0,1,0)))</f>
        <v>1</v>
      </c>
      <c r="DP103" s="168">
        <f>IF(CdTrp3!M57=1,3,IF(CdTrp3!M57=0.5,2,IF(CdTrp3!M57=0,1,0)))</f>
        <v>1</v>
      </c>
      <c r="DQ103" s="168">
        <f>IF(CdTrp3!N57=1,3,IF(CdTrp3!N57=0.5,2,IF(CdTrp3!N57=0,1,0)))</f>
        <v>1</v>
      </c>
      <c r="DR103" s="168">
        <f>IF(CdTrp3!O57=1,3,IF(CdTrp3!O57=0.5,2,IF(CdTrp3!O57=0,1,0)))</f>
        <v>1</v>
      </c>
      <c r="DS103" s="168">
        <f>IF(CdTrp3!P57=1,3,IF(CdTrp3!P57=0.5,2,IF(CdTrp3!P57=0,1,0)))</f>
        <v>1</v>
      </c>
      <c r="DT103" s="168">
        <f>IF(CdTrp3!Q57=1,3,IF(CdTrp3!Q57=0.5,2,IF(CdTrp3!Q57=0,1,0)))</f>
        <v>1</v>
      </c>
      <c r="DU103" s="168">
        <f>IF(CdTrp3!R57=1,3,IF(CdTrp3!R57=0.5,2,IF(CdTrp3!R57=0,1,0)))</f>
        <v>1</v>
      </c>
      <c r="DV103" s="168">
        <f>IF(CdTrp3!S57=1,3,IF(CdTrp3!S57=0.5,2,IF(CdTrp3!S57=0,1,0)))</f>
        <v>1</v>
      </c>
      <c r="DW103" s="168">
        <f>IF(CdTrp3!T57=1,3,IF(CdTrp3!T57=0.5,2,IF(CdTrp3!T57=0,1,0)))</f>
        <v>1</v>
      </c>
      <c r="DX103" s="168">
        <f>IF(CdTrp3!U57=1,3,IF(CdTrp3!U57=0.5,2,IF(CdTrp3!U57=0,1,0)))</f>
        <v>1</v>
      </c>
      <c r="DY103" s="168">
        <f>IF(CdTrp3!V57=1,3,IF(CdTrp3!V57=0.5,2,IF(CdTrp3!V57=0,1,0)))</f>
        <v>1</v>
      </c>
      <c r="DZ103" s="168">
        <f>IF(CdTrp3!W57=1,3,IF(CdTrp3!W57=0.5,2,IF(CdTrp3!W57=0,1,0)))</f>
        <v>1</v>
      </c>
      <c r="EA103" s="168">
        <f>IF(CdTrp3!X57=1,3,IF(CdTrp3!X57=0.5,2,IF(CdTrp3!X57=0,1,0)))</f>
        <v>1</v>
      </c>
      <c r="EB103" s="168">
        <f>IF(CdTrp3!Y57=1,3,IF(CdTrp3!Y57=0.5,2,IF(CdTrp3!Y57=0,1,0)))</f>
        <v>1</v>
      </c>
    </row>
    <row r="104" spans="1:132" x14ac:dyDescent="0.25">
      <c r="B104" s="14" t="s">
        <v>1171</v>
      </c>
      <c r="C104" s="168">
        <f>(24-COUNTIF(H131:AE131,0))/2</f>
        <v>0</v>
      </c>
      <c r="D104" s="168">
        <f t="shared" si="25"/>
        <v>0</v>
      </c>
      <c r="F104" s="14" t="s">
        <v>885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T104" s="252" t="str">
        <f>CdTrp1!$A58</f>
        <v>lot7</v>
      </c>
      <c r="AU104" s="32"/>
      <c r="AV104" s="168">
        <f>IF(CdTrp1!B58=1,3,IF(CdTrp1!B58=0.5,2,IF(CdTrp1!B58=0,1,0)))</f>
        <v>1</v>
      </c>
      <c r="AW104" s="168">
        <f>IF(CdTrp1!C58=1,3,IF(CdTrp1!C58=0.5,2,IF(CdTrp1!C58=0,1,0)))</f>
        <v>1</v>
      </c>
      <c r="AX104" s="168">
        <f>IF(CdTrp1!D58=1,3,IF(CdTrp1!D58=0.5,2,IF(CdTrp1!D58=0,1,0)))</f>
        <v>1</v>
      </c>
      <c r="AY104" s="168">
        <f>IF(CdTrp1!E58=1,3,IF(CdTrp1!E58=0.5,2,IF(CdTrp1!E58=0,1,0)))</f>
        <v>1</v>
      </c>
      <c r="AZ104" s="168">
        <f>IF(CdTrp1!F58=1,3,IF(CdTrp1!F58=0.5,2,IF(CdTrp1!F58=0,1,0)))</f>
        <v>1</v>
      </c>
      <c r="BA104" s="168">
        <f>IF(CdTrp1!G58=1,3,IF(CdTrp1!G58=0.5,2,IF(CdTrp1!G58=0,1,0)))</f>
        <v>1</v>
      </c>
      <c r="BB104" s="168">
        <f>IF(CdTrp1!H58=1,3,IF(CdTrp1!H58=0.5,2,IF(CdTrp1!H58=0,1,0)))</f>
        <v>1</v>
      </c>
      <c r="BC104" s="168">
        <f>IF(CdTrp1!I58=1,3,IF(CdTrp1!I58=0.5,2,IF(CdTrp1!I58=0,1,0)))</f>
        <v>1</v>
      </c>
      <c r="BD104" s="168">
        <f>IF(CdTrp1!J58=1,3,IF(CdTrp1!J58=0.5,2,IF(CdTrp1!J58=0,1,0)))</f>
        <v>1</v>
      </c>
      <c r="BE104" s="168">
        <f>IF(CdTrp1!K58=1,3,IF(CdTrp1!K58=0.5,2,IF(CdTrp1!K58=0,1,0)))</f>
        <v>1</v>
      </c>
      <c r="BF104" s="168">
        <f>IF(CdTrp1!L58=1,3,IF(CdTrp1!L58=0.5,2,IF(CdTrp1!L58=0,1,0)))</f>
        <v>1</v>
      </c>
      <c r="BG104" s="168">
        <f>IF(CdTrp1!M58=1,3,IF(CdTrp1!M58=0.5,2,IF(CdTrp1!M58=0,1,0)))</f>
        <v>1</v>
      </c>
      <c r="BH104" s="168">
        <f>IF(CdTrp1!N58=1,3,IF(CdTrp1!N58=0.5,2,IF(CdTrp1!N58=0,1,0)))</f>
        <v>1</v>
      </c>
      <c r="BI104" s="168">
        <f>IF(CdTrp1!O58=1,3,IF(CdTrp1!O58=0.5,2,IF(CdTrp1!O58=0,1,0)))</f>
        <v>1</v>
      </c>
      <c r="BJ104" s="168">
        <f>IF(CdTrp1!P58=1,3,IF(CdTrp1!P58=0.5,2,IF(CdTrp1!P58=0,1,0)))</f>
        <v>1</v>
      </c>
      <c r="BK104" s="168">
        <f>IF(CdTrp1!Q58=1,3,IF(CdTrp1!Q58=0.5,2,IF(CdTrp1!Q58=0,1,0)))</f>
        <v>1</v>
      </c>
      <c r="BL104" s="168">
        <f>IF(CdTrp1!R58=1,3,IF(CdTrp1!R58=0.5,2,IF(CdTrp1!R58=0,1,0)))</f>
        <v>1</v>
      </c>
      <c r="BM104" s="168">
        <f>IF(CdTrp1!S58=1,3,IF(CdTrp1!S58=0.5,2,IF(CdTrp1!S58=0,1,0)))</f>
        <v>1</v>
      </c>
      <c r="BN104" s="168">
        <f>IF(CdTrp1!T58=1,3,IF(CdTrp1!T58=0.5,2,IF(CdTrp1!T58=0,1,0)))</f>
        <v>1</v>
      </c>
      <c r="BO104" s="168">
        <f>IF(CdTrp1!U58=1,3,IF(CdTrp1!U58=0.5,2,IF(CdTrp1!U58=0,1,0)))</f>
        <v>1</v>
      </c>
      <c r="BP104" s="168">
        <f>IF(CdTrp1!V58=1,3,IF(CdTrp1!V58=0.5,2,IF(CdTrp1!V58=0,1,0)))</f>
        <v>1</v>
      </c>
      <c r="BQ104" s="168">
        <f>IF(CdTrp1!W58=1,3,IF(CdTrp1!W58=0.5,2,IF(CdTrp1!W58=0,1,0)))</f>
        <v>1</v>
      </c>
      <c r="BR104" s="168">
        <f>IF(CdTrp1!X58=1,3,IF(CdTrp1!X58=0.5,2,IF(CdTrp1!X58=0,1,0)))</f>
        <v>1</v>
      </c>
      <c r="BS104" s="168">
        <f>IF(CdTrp1!Y58=1,3,IF(CdTrp1!Y58=0.5,2,IF(CdTrp1!Y58=0,1,0)))</f>
        <v>1</v>
      </c>
      <c r="BZ104" s="182" t="str">
        <f t="shared" si="23"/>
        <v>lot7</v>
      </c>
      <c r="CA104" s="32"/>
      <c r="CB104" s="168">
        <f>IF(CdTrp2!B58=1,3,IF(CdTrp2!B58=0.5,2,IF(CdTrp2!B58=0,1,0)))</f>
        <v>1</v>
      </c>
      <c r="CC104" s="168">
        <f>IF(CdTrp2!C58=1,3,IF(CdTrp2!C58=0.5,2,IF(CdTrp2!C58=0,1,0)))</f>
        <v>1</v>
      </c>
      <c r="CD104" s="168">
        <f>IF(CdTrp2!D58=1,3,IF(CdTrp2!D58=0.5,2,IF(CdTrp2!D58=0,1,0)))</f>
        <v>1</v>
      </c>
      <c r="CE104" s="168">
        <f>IF(CdTrp2!E58=1,3,IF(CdTrp2!E58=0.5,2,IF(CdTrp2!E58=0,1,0)))</f>
        <v>1</v>
      </c>
      <c r="CF104" s="168">
        <f>IF(CdTrp2!F58=1,3,IF(CdTrp2!F58=0.5,2,IF(CdTrp2!F58=0,1,0)))</f>
        <v>1</v>
      </c>
      <c r="CG104" s="168">
        <f>IF(CdTrp2!G58=1,3,IF(CdTrp2!G58=0.5,2,IF(CdTrp2!G58=0,1,0)))</f>
        <v>1</v>
      </c>
      <c r="CH104" s="168">
        <f>IF(CdTrp2!H58=1,3,IF(CdTrp2!H58=0.5,2,IF(CdTrp2!H58=0,1,0)))</f>
        <v>1</v>
      </c>
      <c r="CI104" s="168">
        <f>IF(CdTrp2!I58=1,3,IF(CdTrp2!I58=0.5,2,IF(CdTrp2!I58=0,1,0)))</f>
        <v>1</v>
      </c>
      <c r="CJ104" s="168">
        <f>IF(CdTrp2!J58=1,3,IF(CdTrp2!J58=0.5,2,IF(CdTrp2!J58=0,1,0)))</f>
        <v>1</v>
      </c>
      <c r="CK104" s="168">
        <f>IF(CdTrp2!K58=1,3,IF(CdTrp2!K58=0.5,2,IF(CdTrp2!K58=0,1,0)))</f>
        <v>1</v>
      </c>
      <c r="CL104" s="168">
        <f>IF(CdTrp2!L58=1,3,IF(CdTrp2!L58=0.5,2,IF(CdTrp2!L58=0,1,0)))</f>
        <v>1</v>
      </c>
      <c r="CM104" s="168">
        <f>IF(CdTrp2!M58=1,3,IF(CdTrp2!M58=0.5,2,IF(CdTrp2!M58=0,1,0)))</f>
        <v>1</v>
      </c>
      <c r="CN104" s="168">
        <f>IF(CdTrp2!N58=1,3,IF(CdTrp2!N58=0.5,2,IF(CdTrp2!N58=0,1,0)))</f>
        <v>1</v>
      </c>
      <c r="CO104" s="168">
        <f>IF(CdTrp2!O58=1,3,IF(CdTrp2!O58=0.5,2,IF(CdTrp2!O58=0,1,0)))</f>
        <v>1</v>
      </c>
      <c r="CP104" s="168">
        <f>IF(CdTrp2!P58=1,3,IF(CdTrp2!P58=0.5,2,IF(CdTrp2!P58=0,1,0)))</f>
        <v>1</v>
      </c>
      <c r="CQ104" s="168">
        <f>IF(CdTrp2!Q58=1,3,IF(CdTrp2!Q58=0.5,2,IF(CdTrp2!Q58=0,1,0)))</f>
        <v>1</v>
      </c>
      <c r="CR104" s="168">
        <f>IF(CdTrp2!R58=1,3,IF(CdTrp2!R58=0.5,2,IF(CdTrp2!R58=0,1,0)))</f>
        <v>1</v>
      </c>
      <c r="CS104" s="168">
        <f>IF(CdTrp2!S58=1,3,IF(CdTrp2!S58=0.5,2,IF(CdTrp2!S58=0,1,0)))</f>
        <v>1</v>
      </c>
      <c r="CT104" s="168">
        <f>IF(CdTrp2!T58=1,3,IF(CdTrp2!T58=0.5,2,IF(CdTrp2!T58=0,1,0)))</f>
        <v>1</v>
      </c>
      <c r="CU104" s="168">
        <f>IF(CdTrp2!U58=1,3,IF(CdTrp2!U58=0.5,2,IF(CdTrp2!U58=0,1,0)))</f>
        <v>1</v>
      </c>
      <c r="CV104" s="168">
        <f>IF(CdTrp2!V58=1,3,IF(CdTrp2!V58=0.5,2,IF(CdTrp2!V58=0,1,0)))</f>
        <v>1</v>
      </c>
      <c r="CW104" s="168">
        <f>IF(CdTrp2!W58=1,3,IF(CdTrp2!W58=0.5,2,IF(CdTrp2!W58=0,1,0)))</f>
        <v>1</v>
      </c>
      <c r="CX104" s="168">
        <f>IF(CdTrp2!X58=1,3,IF(CdTrp2!X58=0.5,2,IF(CdTrp2!X58=0,1,0)))</f>
        <v>1</v>
      </c>
      <c r="CY104" s="168">
        <f>IF(CdTrp2!Y58=1,3,IF(CdTrp2!Y58=0.5,2,IF(CdTrp2!Y58=0,1,0)))</f>
        <v>1</v>
      </c>
      <c r="DC104" s="182" t="str">
        <f t="shared" si="24"/>
        <v>lot7</v>
      </c>
      <c r="DD104" s="32"/>
      <c r="DE104" s="168">
        <f>IF(CdTrp3!B58=1,3,IF(CdTrp3!B58=0.5,2,IF(CdTrp3!B58=0,1,0)))</f>
        <v>1</v>
      </c>
      <c r="DF104" s="168">
        <f>IF(CdTrp3!C58=1,3,IF(CdTrp3!C58=0.5,2,IF(CdTrp3!C58=0,1,0)))</f>
        <v>1</v>
      </c>
      <c r="DG104" s="168">
        <f>IF(CdTrp3!D58=1,3,IF(CdTrp3!D58=0.5,2,IF(CdTrp3!D58=0,1,0)))</f>
        <v>1</v>
      </c>
      <c r="DH104" s="168">
        <f>IF(CdTrp3!E58=1,3,IF(CdTrp3!E58=0.5,2,IF(CdTrp3!E58=0,1,0)))</f>
        <v>1</v>
      </c>
      <c r="DI104" s="168">
        <f>IF(CdTrp3!F58=1,3,IF(CdTrp3!F58=0.5,2,IF(CdTrp3!F58=0,1,0)))</f>
        <v>1</v>
      </c>
      <c r="DJ104" s="168">
        <f>IF(CdTrp3!G58=1,3,IF(CdTrp3!G58=0.5,2,IF(CdTrp3!G58=0,1,0)))</f>
        <v>1</v>
      </c>
      <c r="DK104" s="168">
        <f>IF(CdTrp3!H58=1,3,IF(CdTrp3!H58=0.5,2,IF(CdTrp3!H58=0,1,0)))</f>
        <v>1</v>
      </c>
      <c r="DL104" s="168">
        <f>IF(CdTrp3!I58=1,3,IF(CdTrp3!I58=0.5,2,IF(CdTrp3!I58=0,1,0)))</f>
        <v>1</v>
      </c>
      <c r="DM104" s="168">
        <f>IF(CdTrp3!J58=1,3,IF(CdTrp3!J58=0.5,2,IF(CdTrp3!J58=0,1,0)))</f>
        <v>1</v>
      </c>
      <c r="DN104" s="168">
        <f>IF(CdTrp3!K58=1,3,IF(CdTrp3!K58=0.5,2,IF(CdTrp3!K58=0,1,0)))</f>
        <v>1</v>
      </c>
      <c r="DO104" s="168">
        <f>IF(CdTrp3!L58=1,3,IF(CdTrp3!L58=0.5,2,IF(CdTrp3!L58=0,1,0)))</f>
        <v>1</v>
      </c>
      <c r="DP104" s="168">
        <f>IF(CdTrp3!M58=1,3,IF(CdTrp3!M58=0.5,2,IF(CdTrp3!M58=0,1,0)))</f>
        <v>1</v>
      </c>
      <c r="DQ104" s="168">
        <f>IF(CdTrp3!N58=1,3,IF(CdTrp3!N58=0.5,2,IF(CdTrp3!N58=0,1,0)))</f>
        <v>1</v>
      </c>
      <c r="DR104" s="168">
        <f>IF(CdTrp3!O58=1,3,IF(CdTrp3!O58=0.5,2,IF(CdTrp3!O58=0,1,0)))</f>
        <v>1</v>
      </c>
      <c r="DS104" s="168">
        <f>IF(CdTrp3!P58=1,3,IF(CdTrp3!P58=0.5,2,IF(CdTrp3!P58=0,1,0)))</f>
        <v>1</v>
      </c>
      <c r="DT104" s="168">
        <f>IF(CdTrp3!Q58=1,3,IF(CdTrp3!Q58=0.5,2,IF(CdTrp3!Q58=0,1,0)))</f>
        <v>1</v>
      </c>
      <c r="DU104" s="168">
        <f>IF(CdTrp3!R58=1,3,IF(CdTrp3!R58=0.5,2,IF(CdTrp3!R58=0,1,0)))</f>
        <v>1</v>
      </c>
      <c r="DV104" s="168">
        <f>IF(CdTrp3!S58=1,3,IF(CdTrp3!S58=0.5,2,IF(CdTrp3!S58=0,1,0)))</f>
        <v>1</v>
      </c>
      <c r="DW104" s="168">
        <f>IF(CdTrp3!T58=1,3,IF(CdTrp3!T58=0.5,2,IF(CdTrp3!T58=0,1,0)))</f>
        <v>1</v>
      </c>
      <c r="DX104" s="168">
        <f>IF(CdTrp3!U58=1,3,IF(CdTrp3!U58=0.5,2,IF(CdTrp3!U58=0,1,0)))</f>
        <v>1</v>
      </c>
      <c r="DY104" s="168">
        <f>IF(CdTrp3!V58=1,3,IF(CdTrp3!V58=0.5,2,IF(CdTrp3!V58=0,1,0)))</f>
        <v>1</v>
      </c>
      <c r="DZ104" s="168">
        <f>IF(CdTrp3!W58=1,3,IF(CdTrp3!W58=0.5,2,IF(CdTrp3!W58=0,1,0)))</f>
        <v>1</v>
      </c>
      <c r="EA104" s="168">
        <f>IF(CdTrp3!X58=1,3,IF(CdTrp3!X58=0.5,2,IF(CdTrp3!X58=0,1,0)))</f>
        <v>1</v>
      </c>
      <c r="EB104" s="168">
        <f>IF(CdTrp3!Y58=1,3,IF(CdTrp3!Y58=0.5,2,IF(CdTrp3!Y58=0,1,0)))</f>
        <v>1</v>
      </c>
    </row>
    <row r="105" spans="1:132" x14ac:dyDescent="0.25">
      <c r="B105" s="14" t="s">
        <v>1172</v>
      </c>
      <c r="C105" s="168">
        <f>(24-COUNTIF(H132:AE132,0))/2</f>
        <v>8.5</v>
      </c>
      <c r="D105" s="168">
        <f t="shared" si="25"/>
        <v>8.5</v>
      </c>
      <c r="F105" s="14"/>
      <c r="G105" s="30" t="str">
        <f>CdTrp2!A76</f>
        <v>lot1</v>
      </c>
      <c r="H105" s="30">
        <f>CdTrp2!B76</f>
        <v>0</v>
      </c>
      <c r="I105" s="30">
        <f>CdTrp2!C76</f>
        <v>0</v>
      </c>
      <c r="J105" s="30">
        <f>CdTrp2!D76</f>
        <v>0</v>
      </c>
      <c r="K105" s="30">
        <f>CdTrp2!E76</f>
        <v>0</v>
      </c>
      <c r="L105" s="30">
        <f>CdTrp2!F76</f>
        <v>0</v>
      </c>
      <c r="M105" s="30">
        <f>CdTrp2!G76</f>
        <v>0</v>
      </c>
      <c r="N105" s="30">
        <f>CdTrp2!H76</f>
        <v>0</v>
      </c>
      <c r="O105" s="30">
        <f>CdTrp2!I76</f>
        <v>0</v>
      </c>
      <c r="P105" s="30">
        <f>CdTrp2!J76</f>
        <v>0</v>
      </c>
      <c r="Q105" s="30">
        <f>CdTrp2!K76</f>
        <v>0</v>
      </c>
      <c r="R105" s="30">
        <f>CdTrp2!L76</f>
        <v>0</v>
      </c>
      <c r="S105" s="30">
        <f>CdTrp2!M76</f>
        <v>0</v>
      </c>
      <c r="T105" s="30">
        <f>CdTrp2!N76</f>
        <v>0</v>
      </c>
      <c r="U105" s="30">
        <f>CdTrp2!O76</f>
        <v>0</v>
      </c>
      <c r="V105" s="30">
        <f>CdTrp2!P76</f>
        <v>0</v>
      </c>
      <c r="W105" s="30">
        <f>CdTrp2!Q76</f>
        <v>0</v>
      </c>
      <c r="X105" s="30">
        <f>CdTrp2!R76</f>
        <v>0</v>
      </c>
      <c r="Y105" s="30">
        <f>CdTrp2!S76</f>
        <v>0</v>
      </c>
      <c r="Z105" s="30">
        <f>CdTrp2!T76</f>
        <v>0</v>
      </c>
      <c r="AA105" s="30">
        <f>CdTrp2!U76</f>
        <v>0</v>
      </c>
      <c r="AB105" s="30">
        <f>CdTrp2!V76</f>
        <v>0</v>
      </c>
      <c r="AC105" s="30">
        <f>CdTrp2!W76</f>
        <v>0</v>
      </c>
      <c r="AD105" s="30">
        <f>CdTrp2!X76</f>
        <v>0</v>
      </c>
      <c r="AE105" s="30">
        <f>CdTrp2!Y76</f>
        <v>0</v>
      </c>
      <c r="AS105" s="5"/>
      <c r="AT105" s="252" t="str">
        <f>CdTrp1!$A59</f>
        <v>lot8</v>
      </c>
      <c r="AU105" s="32"/>
      <c r="AV105" s="168">
        <f>IF(CdTrp1!B59=1,3,IF(CdTrp1!B59=0.5,2,IF(CdTrp1!B59=0,1,0)))</f>
        <v>1</v>
      </c>
      <c r="AW105" s="168">
        <f>IF(CdTrp1!C59=1,3,IF(CdTrp1!C59=0.5,2,IF(CdTrp1!C59=0,1,0)))</f>
        <v>1</v>
      </c>
      <c r="AX105" s="168">
        <f>IF(CdTrp1!D59=1,3,IF(CdTrp1!D59=0.5,2,IF(CdTrp1!D59=0,1,0)))</f>
        <v>1</v>
      </c>
      <c r="AY105" s="168">
        <f>IF(CdTrp1!E59=1,3,IF(CdTrp1!E59=0.5,2,IF(CdTrp1!E59=0,1,0)))</f>
        <v>1</v>
      </c>
      <c r="AZ105" s="168">
        <f>IF(CdTrp1!F59=1,3,IF(CdTrp1!F59=0.5,2,IF(CdTrp1!F59=0,1,0)))</f>
        <v>1</v>
      </c>
      <c r="BA105" s="168">
        <f>IF(CdTrp1!G59=1,3,IF(CdTrp1!G59=0.5,2,IF(CdTrp1!G59=0,1,0)))</f>
        <v>1</v>
      </c>
      <c r="BB105" s="168">
        <f>IF(CdTrp1!H59=1,3,IF(CdTrp1!H59=0.5,2,IF(CdTrp1!H59=0,1,0)))</f>
        <v>1</v>
      </c>
      <c r="BC105" s="168">
        <f>IF(CdTrp1!I59=1,3,IF(CdTrp1!I59=0.5,2,IF(CdTrp1!I59=0,1,0)))</f>
        <v>1</v>
      </c>
      <c r="BD105" s="168">
        <f>IF(CdTrp1!J59=1,3,IF(CdTrp1!J59=0.5,2,IF(CdTrp1!J59=0,1,0)))</f>
        <v>1</v>
      </c>
      <c r="BE105" s="168">
        <f>IF(CdTrp1!K59=1,3,IF(CdTrp1!K59=0.5,2,IF(CdTrp1!K59=0,1,0)))</f>
        <v>1</v>
      </c>
      <c r="BF105" s="168">
        <f>IF(CdTrp1!L59=1,3,IF(CdTrp1!L59=0.5,2,IF(CdTrp1!L59=0,1,0)))</f>
        <v>1</v>
      </c>
      <c r="BG105" s="168">
        <f>IF(CdTrp1!M59=1,3,IF(CdTrp1!M59=0.5,2,IF(CdTrp1!M59=0,1,0)))</f>
        <v>1</v>
      </c>
      <c r="BH105" s="168">
        <f>IF(CdTrp1!N59=1,3,IF(CdTrp1!N59=0.5,2,IF(CdTrp1!N59=0,1,0)))</f>
        <v>1</v>
      </c>
      <c r="BI105" s="168">
        <f>IF(CdTrp1!O59=1,3,IF(CdTrp1!O59=0.5,2,IF(CdTrp1!O59=0,1,0)))</f>
        <v>1</v>
      </c>
      <c r="BJ105" s="168">
        <f>IF(CdTrp1!P59=1,3,IF(CdTrp1!P59=0.5,2,IF(CdTrp1!P59=0,1,0)))</f>
        <v>1</v>
      </c>
      <c r="BK105" s="168">
        <f>IF(CdTrp1!Q59=1,3,IF(CdTrp1!Q59=0.5,2,IF(CdTrp1!Q59=0,1,0)))</f>
        <v>1</v>
      </c>
      <c r="BL105" s="168">
        <f>IF(CdTrp1!R59=1,3,IF(CdTrp1!R59=0.5,2,IF(CdTrp1!R59=0,1,0)))</f>
        <v>1</v>
      </c>
      <c r="BM105" s="168">
        <f>IF(CdTrp1!S59=1,3,IF(CdTrp1!S59=0.5,2,IF(CdTrp1!S59=0,1,0)))</f>
        <v>1</v>
      </c>
      <c r="BN105" s="168">
        <f>IF(CdTrp1!T59=1,3,IF(CdTrp1!T59=0.5,2,IF(CdTrp1!T59=0,1,0)))</f>
        <v>1</v>
      </c>
      <c r="BO105" s="168">
        <f>IF(CdTrp1!U59=1,3,IF(CdTrp1!U59=0.5,2,IF(CdTrp1!U59=0,1,0)))</f>
        <v>1</v>
      </c>
      <c r="BP105" s="168">
        <f>IF(CdTrp1!V59=1,3,IF(CdTrp1!V59=0.5,2,IF(CdTrp1!V59=0,1,0)))</f>
        <v>1</v>
      </c>
      <c r="BQ105" s="168">
        <f>IF(CdTrp1!W59=1,3,IF(CdTrp1!W59=0.5,2,IF(CdTrp1!W59=0,1,0)))</f>
        <v>1</v>
      </c>
      <c r="BR105" s="168">
        <f>IF(CdTrp1!X59=1,3,IF(CdTrp1!X59=0.5,2,IF(CdTrp1!X59=0,1,0)))</f>
        <v>1</v>
      </c>
      <c r="BS105" s="168">
        <f>IF(CdTrp1!Y59=1,3,IF(CdTrp1!Y59=0.5,2,IF(CdTrp1!Y59=0,1,0)))</f>
        <v>1</v>
      </c>
      <c r="BZ105" s="182" t="str">
        <f t="shared" si="23"/>
        <v>lot8</v>
      </c>
      <c r="CA105" s="32"/>
      <c r="CB105" s="168">
        <f>IF(CdTrp2!B59=1,3,IF(CdTrp2!B59=0.5,2,IF(CdTrp2!B59=0,1,0)))</f>
        <v>1</v>
      </c>
      <c r="CC105" s="168">
        <f>IF(CdTrp2!C59=1,3,IF(CdTrp2!C59=0.5,2,IF(CdTrp2!C59=0,1,0)))</f>
        <v>1</v>
      </c>
      <c r="CD105" s="168">
        <f>IF(CdTrp2!D59=1,3,IF(CdTrp2!D59=0.5,2,IF(CdTrp2!D59=0,1,0)))</f>
        <v>1</v>
      </c>
      <c r="CE105" s="168">
        <f>IF(CdTrp2!E59=1,3,IF(CdTrp2!E59=0.5,2,IF(CdTrp2!E59=0,1,0)))</f>
        <v>1</v>
      </c>
      <c r="CF105" s="168">
        <f>IF(CdTrp2!F59=1,3,IF(CdTrp2!F59=0.5,2,IF(CdTrp2!F59=0,1,0)))</f>
        <v>1</v>
      </c>
      <c r="CG105" s="168">
        <f>IF(CdTrp2!G59=1,3,IF(CdTrp2!G59=0.5,2,IF(CdTrp2!G59=0,1,0)))</f>
        <v>1</v>
      </c>
      <c r="CH105" s="168">
        <f>IF(CdTrp2!H59=1,3,IF(CdTrp2!H59=0.5,2,IF(CdTrp2!H59=0,1,0)))</f>
        <v>1</v>
      </c>
      <c r="CI105" s="168">
        <f>IF(CdTrp2!I59=1,3,IF(CdTrp2!I59=0.5,2,IF(CdTrp2!I59=0,1,0)))</f>
        <v>1</v>
      </c>
      <c r="CJ105" s="168">
        <f>IF(CdTrp2!J59=1,3,IF(CdTrp2!J59=0.5,2,IF(CdTrp2!J59=0,1,0)))</f>
        <v>1</v>
      </c>
      <c r="CK105" s="168">
        <f>IF(CdTrp2!K59=1,3,IF(CdTrp2!K59=0.5,2,IF(CdTrp2!K59=0,1,0)))</f>
        <v>1</v>
      </c>
      <c r="CL105" s="168">
        <f>IF(CdTrp2!L59=1,3,IF(CdTrp2!L59=0.5,2,IF(CdTrp2!L59=0,1,0)))</f>
        <v>1</v>
      </c>
      <c r="CM105" s="168">
        <f>IF(CdTrp2!M59=1,3,IF(CdTrp2!M59=0.5,2,IF(CdTrp2!M59=0,1,0)))</f>
        <v>1</v>
      </c>
      <c r="CN105" s="168">
        <f>IF(CdTrp2!N59=1,3,IF(CdTrp2!N59=0.5,2,IF(CdTrp2!N59=0,1,0)))</f>
        <v>1</v>
      </c>
      <c r="CO105" s="168">
        <f>IF(CdTrp2!O59=1,3,IF(CdTrp2!O59=0.5,2,IF(CdTrp2!O59=0,1,0)))</f>
        <v>1</v>
      </c>
      <c r="CP105" s="168">
        <f>IF(CdTrp2!P59=1,3,IF(CdTrp2!P59=0.5,2,IF(CdTrp2!P59=0,1,0)))</f>
        <v>1</v>
      </c>
      <c r="CQ105" s="168">
        <f>IF(CdTrp2!Q59=1,3,IF(CdTrp2!Q59=0.5,2,IF(CdTrp2!Q59=0,1,0)))</f>
        <v>1</v>
      </c>
      <c r="CR105" s="168">
        <f>IF(CdTrp2!R59=1,3,IF(CdTrp2!R59=0.5,2,IF(CdTrp2!R59=0,1,0)))</f>
        <v>1</v>
      </c>
      <c r="CS105" s="168">
        <f>IF(CdTrp2!S59=1,3,IF(CdTrp2!S59=0.5,2,IF(CdTrp2!S59=0,1,0)))</f>
        <v>1</v>
      </c>
      <c r="CT105" s="168">
        <f>IF(CdTrp2!T59=1,3,IF(CdTrp2!T59=0.5,2,IF(CdTrp2!T59=0,1,0)))</f>
        <v>1</v>
      </c>
      <c r="CU105" s="168">
        <f>IF(CdTrp2!U59=1,3,IF(CdTrp2!U59=0.5,2,IF(CdTrp2!U59=0,1,0)))</f>
        <v>1</v>
      </c>
      <c r="CV105" s="168">
        <f>IF(CdTrp2!V59=1,3,IF(CdTrp2!V59=0.5,2,IF(CdTrp2!V59=0,1,0)))</f>
        <v>1</v>
      </c>
      <c r="CW105" s="168">
        <f>IF(CdTrp2!W59=1,3,IF(CdTrp2!W59=0.5,2,IF(CdTrp2!W59=0,1,0)))</f>
        <v>1</v>
      </c>
      <c r="CX105" s="168">
        <f>IF(CdTrp2!X59=1,3,IF(CdTrp2!X59=0.5,2,IF(CdTrp2!X59=0,1,0)))</f>
        <v>1</v>
      </c>
      <c r="CY105" s="168">
        <f>IF(CdTrp2!Y59=1,3,IF(CdTrp2!Y59=0.5,2,IF(CdTrp2!Y59=0,1,0)))</f>
        <v>1</v>
      </c>
      <c r="DC105" s="182" t="str">
        <f t="shared" si="24"/>
        <v>lot8</v>
      </c>
      <c r="DD105" s="32"/>
      <c r="DE105" s="168">
        <f>IF(CdTrp3!B59=1,3,IF(CdTrp3!B59=0.5,2,IF(CdTrp3!B59=0,1,0)))</f>
        <v>1</v>
      </c>
      <c r="DF105" s="168">
        <f>IF(CdTrp3!C59=1,3,IF(CdTrp3!C59=0.5,2,IF(CdTrp3!C59=0,1,0)))</f>
        <v>1</v>
      </c>
      <c r="DG105" s="168">
        <f>IF(CdTrp3!D59=1,3,IF(CdTrp3!D59=0.5,2,IF(CdTrp3!D59=0,1,0)))</f>
        <v>1</v>
      </c>
      <c r="DH105" s="168">
        <f>IF(CdTrp3!E59=1,3,IF(CdTrp3!E59=0.5,2,IF(CdTrp3!E59=0,1,0)))</f>
        <v>1</v>
      </c>
      <c r="DI105" s="168">
        <f>IF(CdTrp3!F59=1,3,IF(CdTrp3!F59=0.5,2,IF(CdTrp3!F59=0,1,0)))</f>
        <v>1</v>
      </c>
      <c r="DJ105" s="168">
        <f>IF(CdTrp3!G59=1,3,IF(CdTrp3!G59=0.5,2,IF(CdTrp3!G59=0,1,0)))</f>
        <v>1</v>
      </c>
      <c r="DK105" s="168">
        <f>IF(CdTrp3!H59=1,3,IF(CdTrp3!H59=0.5,2,IF(CdTrp3!H59=0,1,0)))</f>
        <v>1</v>
      </c>
      <c r="DL105" s="168">
        <f>IF(CdTrp3!I59=1,3,IF(CdTrp3!I59=0.5,2,IF(CdTrp3!I59=0,1,0)))</f>
        <v>1</v>
      </c>
      <c r="DM105" s="168">
        <f>IF(CdTrp3!J59=1,3,IF(CdTrp3!J59=0.5,2,IF(CdTrp3!J59=0,1,0)))</f>
        <v>1</v>
      </c>
      <c r="DN105" s="168">
        <f>IF(CdTrp3!K59=1,3,IF(CdTrp3!K59=0.5,2,IF(CdTrp3!K59=0,1,0)))</f>
        <v>1</v>
      </c>
      <c r="DO105" s="168">
        <f>IF(CdTrp3!L59=1,3,IF(CdTrp3!L59=0.5,2,IF(CdTrp3!L59=0,1,0)))</f>
        <v>1</v>
      </c>
      <c r="DP105" s="168">
        <f>IF(CdTrp3!M59=1,3,IF(CdTrp3!M59=0.5,2,IF(CdTrp3!M59=0,1,0)))</f>
        <v>1</v>
      </c>
      <c r="DQ105" s="168">
        <f>IF(CdTrp3!N59=1,3,IF(CdTrp3!N59=0.5,2,IF(CdTrp3!N59=0,1,0)))</f>
        <v>1</v>
      </c>
      <c r="DR105" s="168">
        <f>IF(CdTrp3!O59=1,3,IF(CdTrp3!O59=0.5,2,IF(CdTrp3!O59=0,1,0)))</f>
        <v>1</v>
      </c>
      <c r="DS105" s="168">
        <f>IF(CdTrp3!P59=1,3,IF(CdTrp3!P59=0.5,2,IF(CdTrp3!P59=0,1,0)))</f>
        <v>1</v>
      </c>
      <c r="DT105" s="168">
        <f>IF(CdTrp3!Q59=1,3,IF(CdTrp3!Q59=0.5,2,IF(CdTrp3!Q59=0,1,0)))</f>
        <v>1</v>
      </c>
      <c r="DU105" s="168">
        <f>IF(CdTrp3!R59=1,3,IF(CdTrp3!R59=0.5,2,IF(CdTrp3!R59=0,1,0)))</f>
        <v>1</v>
      </c>
      <c r="DV105" s="168">
        <f>IF(CdTrp3!S59=1,3,IF(CdTrp3!S59=0.5,2,IF(CdTrp3!S59=0,1,0)))</f>
        <v>1</v>
      </c>
      <c r="DW105" s="168">
        <f>IF(CdTrp3!T59=1,3,IF(CdTrp3!T59=0.5,2,IF(CdTrp3!T59=0,1,0)))</f>
        <v>1</v>
      </c>
      <c r="DX105" s="168">
        <f>IF(CdTrp3!U59=1,3,IF(CdTrp3!U59=0.5,2,IF(CdTrp3!U59=0,1,0)))</f>
        <v>1</v>
      </c>
      <c r="DY105" s="168">
        <f>IF(CdTrp3!V59=1,3,IF(CdTrp3!V59=0.5,2,IF(CdTrp3!V59=0,1,0)))</f>
        <v>1</v>
      </c>
      <c r="DZ105" s="168">
        <f>IF(CdTrp3!W59=1,3,IF(CdTrp3!W59=0.5,2,IF(CdTrp3!W59=0,1,0)))</f>
        <v>1</v>
      </c>
      <c r="EA105" s="168">
        <f>IF(CdTrp3!X59=1,3,IF(CdTrp3!X59=0.5,2,IF(CdTrp3!X59=0,1,0)))</f>
        <v>1</v>
      </c>
      <c r="EB105" s="168">
        <f>IF(CdTrp3!Y59=1,3,IF(CdTrp3!Y59=0.5,2,IF(CdTrp3!Y59=0,1,0)))</f>
        <v>1</v>
      </c>
    </row>
    <row r="106" spans="1:132" x14ac:dyDescent="0.25">
      <c r="B106" s="14" t="s">
        <v>1173</v>
      </c>
      <c r="C106" s="168">
        <f>SUM(H129:AE129)/2</f>
        <v>22.5</v>
      </c>
      <c r="D106" s="168">
        <f t="shared" si="25"/>
        <v>22.5</v>
      </c>
      <c r="F106" s="14"/>
      <c r="G106" s="251" t="str">
        <f>CdTrp2!A77</f>
        <v>lot2</v>
      </c>
      <c r="H106" s="30">
        <f>CdTrp2!B77</f>
        <v>0</v>
      </c>
      <c r="I106" s="30">
        <f>CdTrp2!C77</f>
        <v>0</v>
      </c>
      <c r="J106" s="30">
        <f>CdTrp2!D77</f>
        <v>0</v>
      </c>
      <c r="K106" s="30">
        <f>CdTrp2!E77</f>
        <v>0</v>
      </c>
      <c r="L106" s="30">
        <f>CdTrp2!F77</f>
        <v>0</v>
      </c>
      <c r="M106" s="30">
        <f>CdTrp2!G77</f>
        <v>0</v>
      </c>
      <c r="N106" s="30">
        <f>CdTrp2!H77</f>
        <v>0</v>
      </c>
      <c r="O106" s="30">
        <f>CdTrp2!I77</f>
        <v>0</v>
      </c>
      <c r="P106" s="30">
        <f>CdTrp2!J77</f>
        <v>0</v>
      </c>
      <c r="Q106" s="30">
        <f>CdTrp2!K77</f>
        <v>0</v>
      </c>
      <c r="R106" s="30">
        <f>CdTrp2!L77</f>
        <v>0</v>
      </c>
      <c r="S106" s="30">
        <f>CdTrp2!M77</f>
        <v>0</v>
      </c>
      <c r="T106" s="30">
        <f>CdTrp2!N77</f>
        <v>0</v>
      </c>
      <c r="U106" s="30">
        <f>CdTrp2!O77</f>
        <v>0</v>
      </c>
      <c r="V106" s="30">
        <f>CdTrp2!P77</f>
        <v>0</v>
      </c>
      <c r="W106" s="30">
        <f>CdTrp2!Q77</f>
        <v>0</v>
      </c>
      <c r="X106" s="30">
        <f>CdTrp2!R77</f>
        <v>0</v>
      </c>
      <c r="Y106" s="30">
        <f>CdTrp2!S77</f>
        <v>0</v>
      </c>
      <c r="Z106" s="30">
        <f>CdTrp2!T77</f>
        <v>0</v>
      </c>
      <c r="AA106" s="30">
        <f>CdTrp2!U77</f>
        <v>0</v>
      </c>
      <c r="AB106" s="30">
        <f>CdTrp2!V77</f>
        <v>0</v>
      </c>
      <c r="AC106" s="30">
        <f>CdTrp2!W77</f>
        <v>0</v>
      </c>
      <c r="AD106" s="30">
        <f>CdTrp2!X77</f>
        <v>0</v>
      </c>
      <c r="AE106" s="30">
        <f>CdTrp2!Y77</f>
        <v>0</v>
      </c>
      <c r="AS106" s="5"/>
      <c r="AT106" s="182" t="str">
        <f>CdTrp1!$A60</f>
        <v>lot9</v>
      </c>
      <c r="AU106" s="32"/>
      <c r="AV106" s="168">
        <f>IF(CdTrp1!B60=1,3,IF(CdTrp1!B60=0.5,2,IF(CdTrp1!B60=0,1,0)))</f>
        <v>1</v>
      </c>
      <c r="AW106" s="168">
        <f>IF(CdTrp1!C60=1,3,IF(CdTrp1!C60=0.5,2,IF(CdTrp1!C60=0,1,0)))</f>
        <v>1</v>
      </c>
      <c r="AX106" s="168">
        <f>IF(CdTrp1!D60=1,3,IF(CdTrp1!D60=0.5,2,IF(CdTrp1!D60=0,1,0)))</f>
        <v>1</v>
      </c>
      <c r="AY106" s="168">
        <f>IF(CdTrp1!E60=1,3,IF(CdTrp1!E60=0.5,2,IF(CdTrp1!E60=0,1,0)))</f>
        <v>1</v>
      </c>
      <c r="AZ106" s="168">
        <f>IF(CdTrp1!F60=1,3,IF(CdTrp1!F60=0.5,2,IF(CdTrp1!F60=0,1,0)))</f>
        <v>1</v>
      </c>
      <c r="BA106" s="168">
        <f>IF(CdTrp1!G60=1,3,IF(CdTrp1!G60=0.5,2,IF(CdTrp1!G60=0,1,0)))</f>
        <v>1</v>
      </c>
      <c r="BB106" s="168">
        <f>IF(CdTrp1!H60=1,3,IF(CdTrp1!H60=0.5,2,IF(CdTrp1!H60=0,1,0)))</f>
        <v>1</v>
      </c>
      <c r="BC106" s="168">
        <f>IF(CdTrp1!I60=1,3,IF(CdTrp1!I60=0.5,2,IF(CdTrp1!I60=0,1,0)))</f>
        <v>1</v>
      </c>
      <c r="BD106" s="168">
        <f>IF(CdTrp1!J60=1,3,IF(CdTrp1!J60=0.5,2,IF(CdTrp1!J60=0,1,0)))</f>
        <v>1</v>
      </c>
      <c r="BE106" s="168">
        <f>IF(CdTrp1!K60=1,3,IF(CdTrp1!K60=0.5,2,IF(CdTrp1!K60=0,1,0)))</f>
        <v>1</v>
      </c>
      <c r="BF106" s="168">
        <f>IF(CdTrp1!L60=1,3,IF(CdTrp1!L60=0.5,2,IF(CdTrp1!L60=0,1,0)))</f>
        <v>1</v>
      </c>
      <c r="BG106" s="168">
        <f>IF(CdTrp1!M60=1,3,IF(CdTrp1!M60=0.5,2,IF(CdTrp1!M60=0,1,0)))</f>
        <v>1</v>
      </c>
      <c r="BH106" s="168">
        <f>IF(CdTrp1!N60=1,3,IF(CdTrp1!N60=0.5,2,IF(CdTrp1!N60=0,1,0)))</f>
        <v>1</v>
      </c>
      <c r="BI106" s="168">
        <f>IF(CdTrp1!O60=1,3,IF(CdTrp1!O60=0.5,2,IF(CdTrp1!O60=0,1,0)))</f>
        <v>1</v>
      </c>
      <c r="BJ106" s="168">
        <f>IF(CdTrp1!P60=1,3,IF(CdTrp1!P60=0.5,2,IF(CdTrp1!P60=0,1,0)))</f>
        <v>1</v>
      </c>
      <c r="BK106" s="168">
        <f>IF(CdTrp1!Q60=1,3,IF(CdTrp1!Q60=0.5,2,IF(CdTrp1!Q60=0,1,0)))</f>
        <v>1</v>
      </c>
      <c r="BL106" s="168">
        <f>IF(CdTrp1!R60=1,3,IF(CdTrp1!R60=0.5,2,IF(CdTrp1!R60=0,1,0)))</f>
        <v>1</v>
      </c>
      <c r="BM106" s="168">
        <f>IF(CdTrp1!S60=1,3,IF(CdTrp1!S60=0.5,2,IF(CdTrp1!S60=0,1,0)))</f>
        <v>1</v>
      </c>
      <c r="BN106" s="168">
        <f>IF(CdTrp1!T60=1,3,IF(CdTrp1!T60=0.5,2,IF(CdTrp1!T60=0,1,0)))</f>
        <v>1</v>
      </c>
      <c r="BO106" s="168">
        <f>IF(CdTrp1!U60=1,3,IF(CdTrp1!U60=0.5,2,IF(CdTrp1!U60=0,1,0)))</f>
        <v>1</v>
      </c>
      <c r="BP106" s="168">
        <f>IF(CdTrp1!V60=1,3,IF(CdTrp1!V60=0.5,2,IF(CdTrp1!V60=0,1,0)))</f>
        <v>1</v>
      </c>
      <c r="BQ106" s="168">
        <f>IF(CdTrp1!W60=1,3,IF(CdTrp1!W60=0.5,2,IF(CdTrp1!W60=0,1,0)))</f>
        <v>1</v>
      </c>
      <c r="BR106" s="168">
        <f>IF(CdTrp1!X60=1,3,IF(CdTrp1!X60=0.5,2,IF(CdTrp1!X60=0,1,0)))</f>
        <v>1</v>
      </c>
      <c r="BS106" s="168">
        <f>IF(CdTrp1!Y60=1,3,IF(CdTrp1!Y60=0.5,2,IF(CdTrp1!Y60=0,1,0)))</f>
        <v>1</v>
      </c>
      <c r="BZ106" s="182" t="str">
        <f t="shared" si="23"/>
        <v>lot9</v>
      </c>
      <c r="CA106" s="32"/>
      <c r="CB106" s="168">
        <f>IF(CdTrp2!B60=1,3,IF(CdTrp2!B60=0.5,2,IF(CdTrp2!B60=0,1,0)))</f>
        <v>1</v>
      </c>
      <c r="CC106" s="168">
        <f>IF(CdTrp2!C60=1,3,IF(CdTrp2!C60=0.5,2,IF(CdTrp2!C60=0,1,0)))</f>
        <v>1</v>
      </c>
      <c r="CD106" s="168">
        <f>IF(CdTrp2!D60=1,3,IF(CdTrp2!D60=0.5,2,IF(CdTrp2!D60=0,1,0)))</f>
        <v>1</v>
      </c>
      <c r="CE106" s="168">
        <f>IF(CdTrp2!E60=1,3,IF(CdTrp2!E60=0.5,2,IF(CdTrp2!E60=0,1,0)))</f>
        <v>1</v>
      </c>
      <c r="CF106" s="168">
        <f>IF(CdTrp2!F60=1,3,IF(CdTrp2!F60=0.5,2,IF(CdTrp2!F60=0,1,0)))</f>
        <v>1</v>
      </c>
      <c r="CG106" s="168">
        <f>IF(CdTrp2!G60=1,3,IF(CdTrp2!G60=0.5,2,IF(CdTrp2!G60=0,1,0)))</f>
        <v>1</v>
      </c>
      <c r="CH106" s="168">
        <f>IF(CdTrp2!H60=1,3,IF(CdTrp2!H60=0.5,2,IF(CdTrp2!H60=0,1,0)))</f>
        <v>1</v>
      </c>
      <c r="CI106" s="168">
        <f>IF(CdTrp2!I60=1,3,IF(CdTrp2!I60=0.5,2,IF(CdTrp2!I60=0,1,0)))</f>
        <v>1</v>
      </c>
      <c r="CJ106" s="168">
        <f>IF(CdTrp2!J60=1,3,IF(CdTrp2!J60=0.5,2,IF(CdTrp2!J60=0,1,0)))</f>
        <v>1</v>
      </c>
      <c r="CK106" s="168">
        <f>IF(CdTrp2!K60=1,3,IF(CdTrp2!K60=0.5,2,IF(CdTrp2!K60=0,1,0)))</f>
        <v>1</v>
      </c>
      <c r="CL106" s="168">
        <f>IF(CdTrp2!L60=1,3,IF(CdTrp2!L60=0.5,2,IF(CdTrp2!L60=0,1,0)))</f>
        <v>1</v>
      </c>
      <c r="CM106" s="168">
        <f>IF(CdTrp2!M60=1,3,IF(CdTrp2!M60=0.5,2,IF(CdTrp2!M60=0,1,0)))</f>
        <v>1</v>
      </c>
      <c r="CN106" s="168">
        <f>IF(CdTrp2!N60=1,3,IF(CdTrp2!N60=0.5,2,IF(CdTrp2!N60=0,1,0)))</f>
        <v>1</v>
      </c>
      <c r="CO106" s="168">
        <f>IF(CdTrp2!O60=1,3,IF(CdTrp2!O60=0.5,2,IF(CdTrp2!O60=0,1,0)))</f>
        <v>1</v>
      </c>
      <c r="CP106" s="168">
        <f>IF(CdTrp2!P60=1,3,IF(CdTrp2!P60=0.5,2,IF(CdTrp2!P60=0,1,0)))</f>
        <v>1</v>
      </c>
      <c r="CQ106" s="168">
        <f>IF(CdTrp2!Q60=1,3,IF(CdTrp2!Q60=0.5,2,IF(CdTrp2!Q60=0,1,0)))</f>
        <v>1</v>
      </c>
      <c r="CR106" s="168">
        <f>IF(CdTrp2!R60=1,3,IF(CdTrp2!R60=0.5,2,IF(CdTrp2!R60=0,1,0)))</f>
        <v>1</v>
      </c>
      <c r="CS106" s="168">
        <f>IF(CdTrp2!S60=1,3,IF(CdTrp2!S60=0.5,2,IF(CdTrp2!S60=0,1,0)))</f>
        <v>1</v>
      </c>
      <c r="CT106" s="168">
        <f>IF(CdTrp2!T60=1,3,IF(CdTrp2!T60=0.5,2,IF(CdTrp2!T60=0,1,0)))</f>
        <v>1</v>
      </c>
      <c r="CU106" s="168">
        <f>IF(CdTrp2!U60=1,3,IF(CdTrp2!U60=0.5,2,IF(CdTrp2!U60=0,1,0)))</f>
        <v>1</v>
      </c>
      <c r="CV106" s="168">
        <f>IF(CdTrp2!V60=1,3,IF(CdTrp2!V60=0.5,2,IF(CdTrp2!V60=0,1,0)))</f>
        <v>1</v>
      </c>
      <c r="CW106" s="168">
        <f>IF(CdTrp2!W60=1,3,IF(CdTrp2!W60=0.5,2,IF(CdTrp2!W60=0,1,0)))</f>
        <v>1</v>
      </c>
      <c r="CX106" s="168">
        <f>IF(CdTrp2!X60=1,3,IF(CdTrp2!X60=0.5,2,IF(CdTrp2!X60=0,1,0)))</f>
        <v>1</v>
      </c>
      <c r="CY106" s="168">
        <f>IF(CdTrp2!Y60=1,3,IF(CdTrp2!Y60=0.5,2,IF(CdTrp2!Y60=0,1,0)))</f>
        <v>1</v>
      </c>
      <c r="DC106" s="182" t="str">
        <f t="shared" si="24"/>
        <v>lot9</v>
      </c>
      <c r="DD106" s="32"/>
      <c r="DE106" s="168">
        <f>IF(CdTrp3!B60=1,3,IF(CdTrp3!B60=0.5,2,IF(CdTrp3!B60=0,1,0)))</f>
        <v>1</v>
      </c>
      <c r="DF106" s="168">
        <f>IF(CdTrp3!C60=1,3,IF(CdTrp3!C60=0.5,2,IF(CdTrp3!C60=0,1,0)))</f>
        <v>1</v>
      </c>
      <c r="DG106" s="168">
        <f>IF(CdTrp3!D60=1,3,IF(CdTrp3!D60=0.5,2,IF(CdTrp3!D60=0,1,0)))</f>
        <v>1</v>
      </c>
      <c r="DH106" s="168">
        <f>IF(CdTrp3!E60=1,3,IF(CdTrp3!E60=0.5,2,IF(CdTrp3!E60=0,1,0)))</f>
        <v>1</v>
      </c>
      <c r="DI106" s="168">
        <f>IF(CdTrp3!F60=1,3,IF(CdTrp3!F60=0.5,2,IF(CdTrp3!F60=0,1,0)))</f>
        <v>1</v>
      </c>
      <c r="DJ106" s="168">
        <f>IF(CdTrp3!G60=1,3,IF(CdTrp3!G60=0.5,2,IF(CdTrp3!G60=0,1,0)))</f>
        <v>1</v>
      </c>
      <c r="DK106" s="168">
        <f>IF(CdTrp3!H60=1,3,IF(CdTrp3!H60=0.5,2,IF(CdTrp3!H60=0,1,0)))</f>
        <v>1</v>
      </c>
      <c r="DL106" s="168">
        <f>IF(CdTrp3!I60=1,3,IF(CdTrp3!I60=0.5,2,IF(CdTrp3!I60=0,1,0)))</f>
        <v>1</v>
      </c>
      <c r="DM106" s="168">
        <f>IF(CdTrp3!J60=1,3,IF(CdTrp3!J60=0.5,2,IF(CdTrp3!J60=0,1,0)))</f>
        <v>1</v>
      </c>
      <c r="DN106" s="168">
        <f>IF(CdTrp3!K60=1,3,IF(CdTrp3!K60=0.5,2,IF(CdTrp3!K60=0,1,0)))</f>
        <v>1</v>
      </c>
      <c r="DO106" s="168">
        <f>IF(CdTrp3!L60=1,3,IF(CdTrp3!L60=0.5,2,IF(CdTrp3!L60=0,1,0)))</f>
        <v>1</v>
      </c>
      <c r="DP106" s="168">
        <f>IF(CdTrp3!M60=1,3,IF(CdTrp3!M60=0.5,2,IF(CdTrp3!M60=0,1,0)))</f>
        <v>1</v>
      </c>
      <c r="DQ106" s="168">
        <f>IF(CdTrp3!N60=1,3,IF(CdTrp3!N60=0.5,2,IF(CdTrp3!N60=0,1,0)))</f>
        <v>1</v>
      </c>
      <c r="DR106" s="168">
        <f>IF(CdTrp3!O60=1,3,IF(CdTrp3!O60=0.5,2,IF(CdTrp3!O60=0,1,0)))</f>
        <v>1</v>
      </c>
      <c r="DS106" s="168">
        <f>IF(CdTrp3!P60=1,3,IF(CdTrp3!P60=0.5,2,IF(CdTrp3!P60=0,1,0)))</f>
        <v>1</v>
      </c>
      <c r="DT106" s="168">
        <f>IF(CdTrp3!Q60=1,3,IF(CdTrp3!Q60=0.5,2,IF(CdTrp3!Q60=0,1,0)))</f>
        <v>1</v>
      </c>
      <c r="DU106" s="168">
        <f>IF(CdTrp3!R60=1,3,IF(CdTrp3!R60=0.5,2,IF(CdTrp3!R60=0,1,0)))</f>
        <v>1</v>
      </c>
      <c r="DV106" s="168">
        <f>IF(CdTrp3!S60=1,3,IF(CdTrp3!S60=0.5,2,IF(CdTrp3!S60=0,1,0)))</f>
        <v>1</v>
      </c>
      <c r="DW106" s="168">
        <f>IF(CdTrp3!T60=1,3,IF(CdTrp3!T60=0.5,2,IF(CdTrp3!T60=0,1,0)))</f>
        <v>1</v>
      </c>
      <c r="DX106" s="168">
        <f>IF(CdTrp3!U60=1,3,IF(CdTrp3!U60=0.5,2,IF(CdTrp3!U60=0,1,0)))</f>
        <v>1</v>
      </c>
      <c r="DY106" s="168">
        <f>IF(CdTrp3!V60=1,3,IF(CdTrp3!V60=0.5,2,IF(CdTrp3!V60=0,1,0)))</f>
        <v>1</v>
      </c>
      <c r="DZ106" s="168">
        <f>IF(CdTrp3!W60=1,3,IF(CdTrp3!W60=0.5,2,IF(CdTrp3!W60=0,1,0)))</f>
        <v>1</v>
      </c>
      <c r="EA106" s="168">
        <f>IF(CdTrp3!X60=1,3,IF(CdTrp3!X60=0.5,2,IF(CdTrp3!X60=0,1,0)))</f>
        <v>1</v>
      </c>
      <c r="EB106" s="168">
        <f>IF(CdTrp3!Y60=1,3,IF(CdTrp3!Y60=0.5,2,IF(CdTrp3!Y60=0,1,0)))</f>
        <v>1</v>
      </c>
    </row>
    <row r="107" spans="1:132" x14ac:dyDescent="0.25">
      <c r="B107" s="14" t="s">
        <v>1174</v>
      </c>
      <c r="C107" s="168">
        <f>SUM(H130:AE130)/2</f>
        <v>0</v>
      </c>
      <c r="D107" s="168">
        <f t="shared" si="25"/>
        <v>0</v>
      </c>
      <c r="F107" s="14"/>
      <c r="G107" s="251" t="str">
        <f>CdTrp2!A78</f>
        <v>lot3</v>
      </c>
      <c r="H107" s="30">
        <f>CdTrp2!B78</f>
        <v>0</v>
      </c>
      <c r="I107" s="30">
        <f>CdTrp2!C78</f>
        <v>0</v>
      </c>
      <c r="J107" s="30">
        <f>CdTrp2!D78</f>
        <v>0</v>
      </c>
      <c r="K107" s="30">
        <f>CdTrp2!E78</f>
        <v>0</v>
      </c>
      <c r="L107" s="30">
        <f>CdTrp2!F78</f>
        <v>0</v>
      </c>
      <c r="M107" s="30">
        <f>CdTrp2!G78</f>
        <v>0</v>
      </c>
      <c r="N107" s="30">
        <f>CdTrp2!H78</f>
        <v>0</v>
      </c>
      <c r="O107" s="30">
        <f>CdTrp2!I78</f>
        <v>0</v>
      </c>
      <c r="P107" s="30">
        <f>CdTrp2!J78</f>
        <v>0</v>
      </c>
      <c r="Q107" s="30">
        <f>CdTrp2!K78</f>
        <v>0</v>
      </c>
      <c r="R107" s="30">
        <f>CdTrp2!L78</f>
        <v>0</v>
      </c>
      <c r="S107" s="30">
        <f>CdTrp2!M78</f>
        <v>0</v>
      </c>
      <c r="T107" s="30">
        <f>CdTrp2!N78</f>
        <v>0</v>
      </c>
      <c r="U107" s="30">
        <f>CdTrp2!O78</f>
        <v>0</v>
      </c>
      <c r="V107" s="30">
        <f>CdTrp2!P78</f>
        <v>0</v>
      </c>
      <c r="W107" s="30">
        <f>CdTrp2!Q78</f>
        <v>0</v>
      </c>
      <c r="X107" s="30">
        <f>CdTrp2!R78</f>
        <v>0</v>
      </c>
      <c r="Y107" s="30">
        <f>CdTrp2!S78</f>
        <v>0</v>
      </c>
      <c r="Z107" s="30">
        <f>CdTrp2!T78</f>
        <v>0</v>
      </c>
      <c r="AA107" s="30">
        <f>CdTrp2!U78</f>
        <v>0</v>
      </c>
      <c r="AB107" s="30">
        <f>CdTrp2!V78</f>
        <v>0</v>
      </c>
      <c r="AC107" s="30">
        <f>CdTrp2!W78</f>
        <v>0</v>
      </c>
      <c r="AD107" s="30">
        <f>CdTrp2!X78</f>
        <v>0</v>
      </c>
      <c r="AE107" s="30">
        <f>CdTrp2!Y78</f>
        <v>0</v>
      </c>
      <c r="AS107" s="5"/>
      <c r="AT107" s="252" t="str">
        <f>CdTrp1!$A61</f>
        <v>lot10</v>
      </c>
      <c r="AU107" s="32"/>
      <c r="AV107" s="168">
        <f>IF(CdTrp1!B61=1,3,IF(CdTrp1!B61=0.5,2,IF(CdTrp1!B61=0,1,0)))</f>
        <v>1</v>
      </c>
      <c r="AW107" s="168">
        <f>IF(CdTrp1!C61=1,3,IF(CdTrp1!C61=0.5,2,IF(CdTrp1!C61=0,1,0)))</f>
        <v>1</v>
      </c>
      <c r="AX107" s="168">
        <f>IF(CdTrp1!D61=1,3,IF(CdTrp1!D61=0.5,2,IF(CdTrp1!D61=0,1,0)))</f>
        <v>1</v>
      </c>
      <c r="AY107" s="168">
        <f>IF(CdTrp1!E61=1,3,IF(CdTrp1!E61=0.5,2,IF(CdTrp1!E61=0,1,0)))</f>
        <v>1</v>
      </c>
      <c r="AZ107" s="168">
        <f>IF(CdTrp1!F61=1,3,IF(CdTrp1!F61=0.5,2,IF(CdTrp1!F61=0,1,0)))</f>
        <v>1</v>
      </c>
      <c r="BA107" s="168">
        <f>IF(CdTrp1!G61=1,3,IF(CdTrp1!G61=0.5,2,IF(CdTrp1!G61=0,1,0)))</f>
        <v>1</v>
      </c>
      <c r="BB107" s="168">
        <f>IF(CdTrp1!H61=1,3,IF(CdTrp1!H61=0.5,2,IF(CdTrp1!H61=0,1,0)))</f>
        <v>1</v>
      </c>
      <c r="BC107" s="168">
        <f>IF(CdTrp1!I61=1,3,IF(CdTrp1!I61=0.5,2,IF(CdTrp1!I61=0,1,0)))</f>
        <v>1</v>
      </c>
      <c r="BD107" s="168">
        <f>IF(CdTrp1!J61=1,3,IF(CdTrp1!J61=0.5,2,IF(CdTrp1!J61=0,1,0)))</f>
        <v>1</v>
      </c>
      <c r="BE107" s="168">
        <f>IF(CdTrp1!K61=1,3,IF(CdTrp1!K61=0.5,2,IF(CdTrp1!K61=0,1,0)))</f>
        <v>1</v>
      </c>
      <c r="BF107" s="168">
        <f>IF(CdTrp1!L61=1,3,IF(CdTrp1!L61=0.5,2,IF(CdTrp1!L61=0,1,0)))</f>
        <v>1</v>
      </c>
      <c r="BG107" s="168">
        <f>IF(CdTrp1!M61=1,3,IF(CdTrp1!M61=0.5,2,IF(CdTrp1!M61=0,1,0)))</f>
        <v>1</v>
      </c>
      <c r="BH107" s="168">
        <f>IF(CdTrp1!N61=1,3,IF(CdTrp1!N61=0.5,2,IF(CdTrp1!N61=0,1,0)))</f>
        <v>1</v>
      </c>
      <c r="BI107" s="168">
        <f>IF(CdTrp1!O61=1,3,IF(CdTrp1!O61=0.5,2,IF(CdTrp1!O61=0,1,0)))</f>
        <v>1</v>
      </c>
      <c r="BJ107" s="168">
        <f>IF(CdTrp1!P61=1,3,IF(CdTrp1!P61=0.5,2,IF(CdTrp1!P61=0,1,0)))</f>
        <v>1</v>
      </c>
      <c r="BK107" s="168">
        <f>IF(CdTrp1!Q61=1,3,IF(CdTrp1!Q61=0.5,2,IF(CdTrp1!Q61=0,1,0)))</f>
        <v>1</v>
      </c>
      <c r="BL107" s="168">
        <f>IF(CdTrp1!R61=1,3,IF(CdTrp1!R61=0.5,2,IF(CdTrp1!R61=0,1,0)))</f>
        <v>1</v>
      </c>
      <c r="BM107" s="168">
        <f>IF(CdTrp1!S61=1,3,IF(CdTrp1!S61=0.5,2,IF(CdTrp1!S61=0,1,0)))</f>
        <v>1</v>
      </c>
      <c r="BN107" s="168">
        <f>IF(CdTrp1!T61=1,3,IF(CdTrp1!T61=0.5,2,IF(CdTrp1!T61=0,1,0)))</f>
        <v>1</v>
      </c>
      <c r="BO107" s="168">
        <f>IF(CdTrp1!U61=1,3,IF(CdTrp1!U61=0.5,2,IF(CdTrp1!U61=0,1,0)))</f>
        <v>1</v>
      </c>
      <c r="BP107" s="168">
        <f>IF(CdTrp1!V61=1,3,IF(CdTrp1!V61=0.5,2,IF(CdTrp1!V61=0,1,0)))</f>
        <v>1</v>
      </c>
      <c r="BQ107" s="168">
        <f>IF(CdTrp1!W61=1,3,IF(CdTrp1!W61=0.5,2,IF(CdTrp1!W61=0,1,0)))</f>
        <v>1</v>
      </c>
      <c r="BR107" s="168">
        <f>IF(CdTrp1!X61=1,3,IF(CdTrp1!X61=0.5,2,IF(CdTrp1!X61=0,1,0)))</f>
        <v>1</v>
      </c>
      <c r="BS107" s="168">
        <f>IF(CdTrp1!Y61=1,3,IF(CdTrp1!Y61=0.5,2,IF(CdTrp1!Y61=0,1,0)))</f>
        <v>1</v>
      </c>
      <c r="BZ107" s="182" t="str">
        <f t="shared" si="23"/>
        <v>lot10</v>
      </c>
      <c r="CA107" s="32"/>
      <c r="CB107" s="168">
        <f>IF(CdTrp2!B61=1,3,IF(CdTrp2!B61=0.5,2,IF(CdTrp2!B61=0,1,0)))</f>
        <v>1</v>
      </c>
      <c r="CC107" s="168">
        <f>IF(CdTrp2!C61=1,3,IF(CdTrp2!C61=0.5,2,IF(CdTrp2!C61=0,1,0)))</f>
        <v>1</v>
      </c>
      <c r="CD107" s="168">
        <f>IF(CdTrp2!D61=1,3,IF(CdTrp2!D61=0.5,2,IF(CdTrp2!D61=0,1,0)))</f>
        <v>1</v>
      </c>
      <c r="CE107" s="168">
        <f>IF(CdTrp2!E61=1,3,IF(CdTrp2!E61=0.5,2,IF(CdTrp2!E61=0,1,0)))</f>
        <v>1</v>
      </c>
      <c r="CF107" s="168">
        <f>IF(CdTrp2!F61=1,3,IF(CdTrp2!F61=0.5,2,IF(CdTrp2!F61=0,1,0)))</f>
        <v>1</v>
      </c>
      <c r="CG107" s="168">
        <f>IF(CdTrp2!G61=1,3,IF(CdTrp2!G61=0.5,2,IF(CdTrp2!G61=0,1,0)))</f>
        <v>1</v>
      </c>
      <c r="CH107" s="168">
        <f>IF(CdTrp2!H61=1,3,IF(CdTrp2!H61=0.5,2,IF(CdTrp2!H61=0,1,0)))</f>
        <v>1</v>
      </c>
      <c r="CI107" s="168">
        <f>IF(CdTrp2!I61=1,3,IF(CdTrp2!I61=0.5,2,IF(CdTrp2!I61=0,1,0)))</f>
        <v>1</v>
      </c>
      <c r="CJ107" s="168">
        <f>IF(CdTrp2!J61=1,3,IF(CdTrp2!J61=0.5,2,IF(CdTrp2!J61=0,1,0)))</f>
        <v>1</v>
      </c>
      <c r="CK107" s="168">
        <f>IF(CdTrp2!K61=1,3,IF(CdTrp2!K61=0.5,2,IF(CdTrp2!K61=0,1,0)))</f>
        <v>1</v>
      </c>
      <c r="CL107" s="168">
        <f>IF(CdTrp2!L61=1,3,IF(CdTrp2!L61=0.5,2,IF(CdTrp2!L61=0,1,0)))</f>
        <v>1</v>
      </c>
      <c r="CM107" s="168">
        <f>IF(CdTrp2!M61=1,3,IF(CdTrp2!M61=0.5,2,IF(CdTrp2!M61=0,1,0)))</f>
        <v>1</v>
      </c>
      <c r="CN107" s="168">
        <f>IF(CdTrp2!N61=1,3,IF(CdTrp2!N61=0.5,2,IF(CdTrp2!N61=0,1,0)))</f>
        <v>1</v>
      </c>
      <c r="CO107" s="168">
        <f>IF(CdTrp2!O61=1,3,IF(CdTrp2!O61=0.5,2,IF(CdTrp2!O61=0,1,0)))</f>
        <v>1</v>
      </c>
      <c r="CP107" s="168">
        <f>IF(CdTrp2!P61=1,3,IF(CdTrp2!P61=0.5,2,IF(CdTrp2!P61=0,1,0)))</f>
        <v>1</v>
      </c>
      <c r="CQ107" s="168">
        <f>IF(CdTrp2!Q61=1,3,IF(CdTrp2!Q61=0.5,2,IF(CdTrp2!Q61=0,1,0)))</f>
        <v>1</v>
      </c>
      <c r="CR107" s="168">
        <f>IF(CdTrp2!R61=1,3,IF(CdTrp2!R61=0.5,2,IF(CdTrp2!R61=0,1,0)))</f>
        <v>1</v>
      </c>
      <c r="CS107" s="168">
        <f>IF(CdTrp2!S61=1,3,IF(CdTrp2!S61=0.5,2,IF(CdTrp2!S61=0,1,0)))</f>
        <v>1</v>
      </c>
      <c r="CT107" s="168">
        <f>IF(CdTrp2!T61=1,3,IF(CdTrp2!T61=0.5,2,IF(CdTrp2!T61=0,1,0)))</f>
        <v>1</v>
      </c>
      <c r="CU107" s="168">
        <f>IF(CdTrp2!U61=1,3,IF(CdTrp2!U61=0.5,2,IF(CdTrp2!U61=0,1,0)))</f>
        <v>1</v>
      </c>
      <c r="CV107" s="168">
        <f>IF(CdTrp2!V61=1,3,IF(CdTrp2!V61=0.5,2,IF(CdTrp2!V61=0,1,0)))</f>
        <v>1</v>
      </c>
      <c r="CW107" s="168">
        <f>IF(CdTrp2!W61=1,3,IF(CdTrp2!W61=0.5,2,IF(CdTrp2!W61=0,1,0)))</f>
        <v>1</v>
      </c>
      <c r="CX107" s="168">
        <f>IF(CdTrp2!X61=1,3,IF(CdTrp2!X61=0.5,2,IF(CdTrp2!X61=0,1,0)))</f>
        <v>1</v>
      </c>
      <c r="CY107" s="168">
        <f>IF(CdTrp2!Y61=1,3,IF(CdTrp2!Y61=0.5,2,IF(CdTrp2!Y61=0,1,0)))</f>
        <v>1</v>
      </c>
      <c r="DC107" s="182" t="str">
        <f t="shared" si="24"/>
        <v>lot10</v>
      </c>
      <c r="DD107" s="32"/>
      <c r="DE107" s="168">
        <f>IF(CdTrp3!B61=1,3,IF(CdTrp3!B61=0.5,2,IF(CdTrp3!B61=0,1,0)))</f>
        <v>1</v>
      </c>
      <c r="DF107" s="168">
        <f>IF(CdTrp3!C61=1,3,IF(CdTrp3!C61=0.5,2,IF(CdTrp3!C61=0,1,0)))</f>
        <v>1</v>
      </c>
      <c r="DG107" s="168">
        <f>IF(CdTrp3!D61=1,3,IF(CdTrp3!D61=0.5,2,IF(CdTrp3!D61=0,1,0)))</f>
        <v>1</v>
      </c>
      <c r="DH107" s="168">
        <f>IF(CdTrp3!E61=1,3,IF(CdTrp3!E61=0.5,2,IF(CdTrp3!E61=0,1,0)))</f>
        <v>1</v>
      </c>
      <c r="DI107" s="168">
        <f>IF(CdTrp3!F61=1,3,IF(CdTrp3!F61=0.5,2,IF(CdTrp3!F61=0,1,0)))</f>
        <v>1</v>
      </c>
      <c r="DJ107" s="168">
        <f>IF(CdTrp3!G61=1,3,IF(CdTrp3!G61=0.5,2,IF(CdTrp3!G61=0,1,0)))</f>
        <v>1</v>
      </c>
      <c r="DK107" s="168">
        <f>IF(CdTrp3!H61=1,3,IF(CdTrp3!H61=0.5,2,IF(CdTrp3!H61=0,1,0)))</f>
        <v>1</v>
      </c>
      <c r="DL107" s="168">
        <f>IF(CdTrp3!I61=1,3,IF(CdTrp3!I61=0.5,2,IF(CdTrp3!I61=0,1,0)))</f>
        <v>1</v>
      </c>
      <c r="DM107" s="168">
        <f>IF(CdTrp3!J61=1,3,IF(CdTrp3!J61=0.5,2,IF(CdTrp3!J61=0,1,0)))</f>
        <v>1</v>
      </c>
      <c r="DN107" s="168">
        <f>IF(CdTrp3!K61=1,3,IF(CdTrp3!K61=0.5,2,IF(CdTrp3!K61=0,1,0)))</f>
        <v>1</v>
      </c>
      <c r="DO107" s="168">
        <f>IF(CdTrp3!L61=1,3,IF(CdTrp3!L61=0.5,2,IF(CdTrp3!L61=0,1,0)))</f>
        <v>1</v>
      </c>
      <c r="DP107" s="168">
        <f>IF(CdTrp3!M61=1,3,IF(CdTrp3!M61=0.5,2,IF(CdTrp3!M61=0,1,0)))</f>
        <v>1</v>
      </c>
      <c r="DQ107" s="168">
        <f>IF(CdTrp3!N61=1,3,IF(CdTrp3!N61=0.5,2,IF(CdTrp3!N61=0,1,0)))</f>
        <v>1</v>
      </c>
      <c r="DR107" s="168">
        <f>IF(CdTrp3!O61=1,3,IF(CdTrp3!O61=0.5,2,IF(CdTrp3!O61=0,1,0)))</f>
        <v>1</v>
      </c>
      <c r="DS107" s="168">
        <f>IF(CdTrp3!P61=1,3,IF(CdTrp3!P61=0.5,2,IF(CdTrp3!P61=0,1,0)))</f>
        <v>1</v>
      </c>
      <c r="DT107" s="168">
        <f>IF(CdTrp3!Q61=1,3,IF(CdTrp3!Q61=0.5,2,IF(CdTrp3!Q61=0,1,0)))</f>
        <v>1</v>
      </c>
      <c r="DU107" s="168">
        <f>IF(CdTrp3!R61=1,3,IF(CdTrp3!R61=0.5,2,IF(CdTrp3!R61=0,1,0)))</f>
        <v>1</v>
      </c>
      <c r="DV107" s="168">
        <f>IF(CdTrp3!S61=1,3,IF(CdTrp3!S61=0.5,2,IF(CdTrp3!S61=0,1,0)))</f>
        <v>1</v>
      </c>
      <c r="DW107" s="168">
        <f>IF(CdTrp3!T61=1,3,IF(CdTrp3!T61=0.5,2,IF(CdTrp3!T61=0,1,0)))</f>
        <v>1</v>
      </c>
      <c r="DX107" s="168">
        <f>IF(CdTrp3!U61=1,3,IF(CdTrp3!U61=0.5,2,IF(CdTrp3!U61=0,1,0)))</f>
        <v>1</v>
      </c>
      <c r="DY107" s="168">
        <f>IF(CdTrp3!V61=1,3,IF(CdTrp3!V61=0.5,2,IF(CdTrp3!V61=0,1,0)))</f>
        <v>1</v>
      </c>
      <c r="DZ107" s="168">
        <f>IF(CdTrp3!W61=1,3,IF(CdTrp3!W61=0.5,2,IF(CdTrp3!W61=0,1,0)))</f>
        <v>1</v>
      </c>
      <c r="EA107" s="168">
        <f>IF(CdTrp3!X61=1,3,IF(CdTrp3!X61=0.5,2,IF(CdTrp3!X61=0,1,0)))</f>
        <v>1</v>
      </c>
      <c r="EB107" s="168">
        <f>IF(CdTrp3!Y61=1,3,IF(CdTrp3!Y61=0.5,2,IF(CdTrp3!Y61=0,1,0)))</f>
        <v>1</v>
      </c>
    </row>
    <row r="108" spans="1:132" x14ac:dyDescent="0.25">
      <c r="B108" s="14" t="s">
        <v>1175</v>
      </c>
      <c r="C108" s="168">
        <f>SUM(H131:AE131)/2</f>
        <v>0</v>
      </c>
      <c r="D108" s="168">
        <f t="shared" si="25"/>
        <v>0</v>
      </c>
      <c r="F108" s="14"/>
      <c r="G108" s="30" t="str">
        <f>CdTrp2!A79</f>
        <v>lot4</v>
      </c>
      <c r="H108" s="30">
        <f>CdTrp2!B79</f>
        <v>0</v>
      </c>
      <c r="I108" s="30">
        <f>CdTrp2!C79</f>
        <v>0</v>
      </c>
      <c r="J108" s="30">
        <f>CdTrp2!D79</f>
        <v>0</v>
      </c>
      <c r="K108" s="30">
        <f>CdTrp2!E79</f>
        <v>0</v>
      </c>
      <c r="L108" s="30">
        <f>CdTrp2!F79</f>
        <v>0</v>
      </c>
      <c r="M108" s="30">
        <f>CdTrp2!G79</f>
        <v>0</v>
      </c>
      <c r="N108" s="30">
        <f>CdTrp2!H79</f>
        <v>0</v>
      </c>
      <c r="O108" s="30">
        <f>CdTrp2!I79</f>
        <v>0</v>
      </c>
      <c r="P108" s="30">
        <f>CdTrp2!J79</f>
        <v>0</v>
      </c>
      <c r="Q108" s="30">
        <f>CdTrp2!K79</f>
        <v>0</v>
      </c>
      <c r="R108" s="30">
        <f>CdTrp2!L79</f>
        <v>0</v>
      </c>
      <c r="S108" s="30">
        <f>CdTrp2!M79</f>
        <v>0</v>
      </c>
      <c r="T108" s="30">
        <f>CdTrp2!N79</f>
        <v>0</v>
      </c>
      <c r="U108" s="30">
        <f>CdTrp2!O79</f>
        <v>0</v>
      </c>
      <c r="V108" s="30">
        <f>CdTrp2!P79</f>
        <v>0</v>
      </c>
      <c r="W108" s="30">
        <f>CdTrp2!Q79</f>
        <v>0</v>
      </c>
      <c r="X108" s="30">
        <f>CdTrp2!R79</f>
        <v>0</v>
      </c>
      <c r="Y108" s="30">
        <f>CdTrp2!S79</f>
        <v>0</v>
      </c>
      <c r="Z108" s="30">
        <f>CdTrp2!T79</f>
        <v>0</v>
      </c>
      <c r="AA108" s="30">
        <f>CdTrp2!U79</f>
        <v>0</v>
      </c>
      <c r="AB108" s="30">
        <f>CdTrp2!V79</f>
        <v>0</v>
      </c>
      <c r="AC108" s="30">
        <f>CdTrp2!W79</f>
        <v>0</v>
      </c>
      <c r="AD108" s="30">
        <f>CdTrp2!X79</f>
        <v>0</v>
      </c>
      <c r="AE108" s="30">
        <f>CdTrp2!Y79</f>
        <v>0</v>
      </c>
      <c r="AS108" s="5"/>
      <c r="AT108" s="2" t="s">
        <v>761</v>
      </c>
      <c r="AV108" s="268"/>
      <c r="AW108" s="268"/>
      <c r="AX108" s="268"/>
      <c r="AY108" s="268"/>
      <c r="AZ108" s="268"/>
      <c r="BA108" s="268"/>
      <c r="BB108" s="268"/>
      <c r="BC108" s="268"/>
      <c r="BD108" s="268"/>
      <c r="BE108" s="268"/>
      <c r="BF108" s="268"/>
      <c r="BG108" s="268"/>
      <c r="BH108" s="268"/>
      <c r="BI108" s="268"/>
      <c r="BJ108" s="268"/>
      <c r="BK108" s="268"/>
      <c r="BL108" s="268"/>
      <c r="BM108" s="268"/>
      <c r="BN108" s="268"/>
      <c r="BO108" s="268"/>
      <c r="BP108" s="268"/>
      <c r="BQ108" s="268"/>
      <c r="BR108" s="268"/>
      <c r="BS108" s="268"/>
      <c r="BZ108" s="2" t="s">
        <v>761</v>
      </c>
      <c r="CB108" s="268"/>
      <c r="CC108" s="268"/>
      <c r="CD108" s="268"/>
      <c r="CE108" s="268"/>
      <c r="CF108" s="268"/>
      <c r="CG108" s="268"/>
      <c r="CH108" s="268"/>
      <c r="CI108" s="268"/>
      <c r="CJ108" s="268"/>
      <c r="CK108" s="268"/>
      <c r="CL108" s="268"/>
      <c r="CM108" s="268"/>
      <c r="CN108" s="268"/>
      <c r="CO108" s="268"/>
      <c r="CP108" s="268"/>
      <c r="CQ108" s="268"/>
      <c r="CR108" s="268"/>
      <c r="CS108" s="268"/>
      <c r="CT108" s="268"/>
      <c r="CU108" s="268"/>
      <c r="CV108" s="268"/>
      <c r="CW108" s="268"/>
      <c r="CX108" s="268"/>
      <c r="CY108" s="268"/>
      <c r="DC108" s="2" t="s">
        <v>761</v>
      </c>
      <c r="DE108" s="268"/>
      <c r="DF108" s="268"/>
      <c r="DG108" s="268"/>
      <c r="DH108" s="268"/>
      <c r="DI108" s="268"/>
      <c r="DJ108" s="268"/>
      <c r="DK108" s="268"/>
      <c r="DL108" s="268"/>
      <c r="DM108" s="268"/>
      <c r="DN108" s="268"/>
      <c r="DO108" s="268"/>
      <c r="DP108" s="268"/>
      <c r="DQ108" s="268"/>
      <c r="DR108" s="268"/>
      <c r="DS108" s="268"/>
      <c r="DT108" s="268"/>
      <c r="DU108" s="268"/>
      <c r="DV108" s="268"/>
      <c r="DW108" s="268"/>
      <c r="DX108" s="268"/>
      <c r="DY108" s="268"/>
      <c r="DZ108" s="268"/>
      <c r="EA108" s="268"/>
      <c r="EB108" s="268"/>
    </row>
    <row r="109" spans="1:132" x14ac:dyDescent="0.25">
      <c r="B109" s="14" t="s">
        <v>1176</v>
      </c>
      <c r="C109" s="168">
        <f>SUM(H132:AE132)/2</f>
        <v>22.5</v>
      </c>
      <c r="D109" s="168">
        <f t="shared" si="25"/>
        <v>22.5</v>
      </c>
      <c r="F109" s="14"/>
      <c r="G109" s="251" t="str">
        <f>CdTrp2!A80</f>
        <v>lot5</v>
      </c>
      <c r="H109" s="30">
        <f>CdTrp2!B80</f>
        <v>0</v>
      </c>
      <c r="I109" s="30">
        <f>CdTrp2!C80</f>
        <v>0</v>
      </c>
      <c r="J109" s="30">
        <f>CdTrp2!D80</f>
        <v>0</v>
      </c>
      <c r="K109" s="30">
        <f>CdTrp2!E80</f>
        <v>0</v>
      </c>
      <c r="L109" s="30">
        <f>CdTrp2!F80</f>
        <v>0</v>
      </c>
      <c r="M109" s="30">
        <f>CdTrp2!G80</f>
        <v>0</v>
      </c>
      <c r="N109" s="30">
        <f>CdTrp2!H80</f>
        <v>0</v>
      </c>
      <c r="O109" s="30">
        <f>CdTrp2!I80</f>
        <v>0</v>
      </c>
      <c r="P109" s="30">
        <f>CdTrp2!J80</f>
        <v>0</v>
      </c>
      <c r="Q109" s="30">
        <f>CdTrp2!K80</f>
        <v>0</v>
      </c>
      <c r="R109" s="30">
        <f>CdTrp2!L80</f>
        <v>0</v>
      </c>
      <c r="S109" s="30">
        <f>CdTrp2!M80</f>
        <v>0</v>
      </c>
      <c r="T109" s="30">
        <f>CdTrp2!N80</f>
        <v>0</v>
      </c>
      <c r="U109" s="30">
        <f>CdTrp2!O80</f>
        <v>0</v>
      </c>
      <c r="V109" s="30">
        <f>CdTrp2!P80</f>
        <v>0</v>
      </c>
      <c r="W109" s="30">
        <f>CdTrp2!Q80</f>
        <v>0</v>
      </c>
      <c r="X109" s="30">
        <f>CdTrp2!R80</f>
        <v>0</v>
      </c>
      <c r="Y109" s="30">
        <f>CdTrp2!S80</f>
        <v>0</v>
      </c>
      <c r="Z109" s="30">
        <f>CdTrp2!T80</f>
        <v>0</v>
      </c>
      <c r="AA109" s="30">
        <f>CdTrp2!U80</f>
        <v>0</v>
      </c>
      <c r="AB109" s="30">
        <f>CdTrp2!V80</f>
        <v>0</v>
      </c>
      <c r="AC109" s="30">
        <f>CdTrp2!W80</f>
        <v>0</v>
      </c>
      <c r="AD109" s="30">
        <f>CdTrp2!X80</f>
        <v>0</v>
      </c>
      <c r="AE109" s="30">
        <f>CdTrp2!Y80</f>
        <v>0</v>
      </c>
      <c r="AT109" s="182" t="str">
        <f>AT98</f>
        <v xml:space="preserve">Vaches </v>
      </c>
      <c r="AU109" s="32"/>
      <c r="AV109" s="168">
        <f>IF(CdTrp1!B76=1,1,IF(CdTrp1!B76=2,2,IF(CdTrp1!B76=3,2,IF(CdTrp1!B76=4,4,0))))</f>
        <v>0</v>
      </c>
      <c r="AW109" s="168">
        <f>IF(CdTrp1!C76=1,1,IF(CdTrp1!C76=2,2,IF(CdTrp1!C76=3,2,IF(CdTrp1!C76=4,4,0))))</f>
        <v>0</v>
      </c>
      <c r="AX109" s="168">
        <f>IF(CdTrp1!D76=1,1,IF(CdTrp1!D76=2,2,IF(CdTrp1!D76=3,2,IF(CdTrp1!D76=4,4,0))))</f>
        <v>0</v>
      </c>
      <c r="AY109" s="168">
        <f>IF(CdTrp1!E76=1,1,IF(CdTrp1!E76=2,2,IF(CdTrp1!E76=3,2,IF(CdTrp1!E76=4,4,0))))</f>
        <v>0</v>
      </c>
      <c r="AZ109" s="168">
        <f>IF(CdTrp1!F76=1,1,IF(CdTrp1!F76=2,2,IF(CdTrp1!F76=3,2,IF(CdTrp1!F76=4,4,0))))</f>
        <v>1</v>
      </c>
      <c r="BA109" s="168">
        <f>IF(CdTrp1!G76=1,1,IF(CdTrp1!G76=2,2,IF(CdTrp1!G76=3,2,IF(CdTrp1!G76=4,4,0))))</f>
        <v>1</v>
      </c>
      <c r="BB109" s="168">
        <f>IF(CdTrp1!H76=1,1,IF(CdTrp1!H76=2,2,IF(CdTrp1!H76=3,2,IF(CdTrp1!H76=4,4,0))))</f>
        <v>1</v>
      </c>
      <c r="BC109" s="168">
        <f>IF(CdTrp1!I76=1,1,IF(CdTrp1!I76=2,2,IF(CdTrp1!I76=3,2,IF(CdTrp1!I76=4,4,0))))</f>
        <v>1</v>
      </c>
      <c r="BD109" s="168">
        <f>IF(CdTrp1!J76=1,1,IF(CdTrp1!J76=2,2,IF(CdTrp1!J76=3,2,IF(CdTrp1!J76=4,4,0))))</f>
        <v>1</v>
      </c>
      <c r="BE109" s="168">
        <f>IF(CdTrp1!K76=1,1,IF(CdTrp1!K76=2,2,IF(CdTrp1!K76=3,2,IF(CdTrp1!K76=4,4,0))))</f>
        <v>1</v>
      </c>
      <c r="BF109" s="168">
        <f>IF(CdTrp1!L76=1,1,IF(CdTrp1!L76=2,2,IF(CdTrp1!L76=3,2,IF(CdTrp1!L76=4,4,0))))</f>
        <v>1</v>
      </c>
      <c r="BG109" s="168">
        <f>IF(CdTrp1!M76=1,1,IF(CdTrp1!M76=2,2,IF(CdTrp1!M76=3,2,IF(CdTrp1!M76=4,4,0))))</f>
        <v>1</v>
      </c>
      <c r="BH109" s="168">
        <v>2</v>
      </c>
      <c r="BI109" s="168">
        <f>IF(CdTrp1!O76=1,1,IF(CdTrp1!O76=2,2,IF(CdTrp1!O76=3,2,IF(CdTrp1!O76=4,4,0))))</f>
        <v>1</v>
      </c>
      <c r="BJ109" s="168">
        <f>IF(CdTrp1!P76=1,1,IF(CdTrp1!P76=2,2,IF(CdTrp1!P76=3,2,IF(CdTrp1!P76=4,4,0))))</f>
        <v>1</v>
      </c>
      <c r="BK109" s="168">
        <f>IF(CdTrp1!Q76=1,1,IF(CdTrp1!Q76=2,2,IF(CdTrp1!Q76=3,2,IF(CdTrp1!Q76=4,4,0))))</f>
        <v>1</v>
      </c>
      <c r="BL109" s="168">
        <f>IF(CdTrp1!R76=1,1,IF(CdTrp1!R76=2,2,IF(CdTrp1!R76=3,2,IF(CdTrp1!R76=4,4,0))))</f>
        <v>1</v>
      </c>
      <c r="BM109" s="168">
        <f>IF(CdTrp1!S76=1,1,IF(CdTrp1!S76=2,2,IF(CdTrp1!S76=3,2,IF(CdTrp1!S76=4,4,0))))</f>
        <v>1</v>
      </c>
      <c r="BN109" s="168">
        <f>IF(CdTrp1!T76=1,1,IF(CdTrp1!T76=2,2,IF(CdTrp1!T76=3,2,IF(CdTrp1!T76=4,4,0))))</f>
        <v>1</v>
      </c>
      <c r="BO109" s="168">
        <f>IF(CdTrp1!U76=1,1,IF(CdTrp1!U76=2,2,IF(CdTrp1!U76=3,2,IF(CdTrp1!U76=4,4,0))))</f>
        <v>1</v>
      </c>
      <c r="BP109" s="168">
        <f>IF(CdTrp1!V76=1,1,IF(CdTrp1!V76=2,2,IF(CdTrp1!V76=3,2,IF(CdTrp1!V76=4,4,0))))</f>
        <v>0</v>
      </c>
      <c r="BQ109" s="168">
        <f>IF(CdTrp1!W76=1,1,IF(CdTrp1!W76=2,2,IF(CdTrp1!W76=3,2,IF(CdTrp1!W76=4,4,0))))</f>
        <v>0</v>
      </c>
      <c r="BR109" s="168">
        <f>IF(CdTrp1!X76=1,1,IF(CdTrp1!X76=2,2,IF(CdTrp1!X76=3,2,IF(CdTrp1!X76=4,4,0))))</f>
        <v>0</v>
      </c>
      <c r="BS109" s="168">
        <f>IF(CdTrp1!Y76=1,1,IF(CdTrp1!Y76=2,2,IF(CdTrp1!Y76=3,2,IF(CdTrp1!Y76=4,4,0))))</f>
        <v>0</v>
      </c>
      <c r="BU109">
        <v>1</v>
      </c>
      <c r="BV109" t="s">
        <v>218</v>
      </c>
      <c r="BZ109" s="182" t="str">
        <f t="shared" ref="BZ109:BZ116" si="26">+BZ75</f>
        <v>lot1</v>
      </c>
      <c r="CA109" s="32"/>
      <c r="CB109" s="168">
        <f>IF(CdTrp2!B76=1,1,IF(CdTrp2!B76=2,2,IF(CdTrp2!B76=3,2,IF(CdTrp2!B76=4,4,0))))</f>
        <v>0</v>
      </c>
      <c r="CC109" s="168">
        <f>IF(CdTrp2!C76=1,1,IF(CdTrp2!C76=2,2,IF(CdTrp2!C76=3,2,IF(CdTrp2!C76=4,4,0))))</f>
        <v>0</v>
      </c>
      <c r="CD109" s="168">
        <f>IF(CdTrp2!D76=1,1,IF(CdTrp2!D76=2,2,IF(CdTrp2!D76=3,2,IF(CdTrp2!D76=4,4,0))))</f>
        <v>0</v>
      </c>
      <c r="CE109" s="168">
        <f>IF(CdTrp2!E76=1,1,IF(CdTrp2!E76=2,2,IF(CdTrp2!E76=3,2,IF(CdTrp2!E76=4,4,0))))</f>
        <v>0</v>
      </c>
      <c r="CF109" s="168">
        <f>IF(CdTrp2!F76=1,1,IF(CdTrp2!F76=2,2,IF(CdTrp2!F76=3,2,IF(CdTrp2!F76=4,4,0))))</f>
        <v>0</v>
      </c>
      <c r="CG109" s="168">
        <f>IF(CdTrp2!G76=1,1,IF(CdTrp2!G76=2,2,IF(CdTrp2!G76=3,2,IF(CdTrp2!G76=4,4,0))))</f>
        <v>0</v>
      </c>
      <c r="CH109" s="168">
        <f>IF(CdTrp2!H76=1,1,IF(CdTrp2!H76=2,2,IF(CdTrp2!H76=3,2,IF(CdTrp2!H76=4,4,0))))</f>
        <v>0</v>
      </c>
      <c r="CI109" s="168">
        <f>IF(CdTrp2!I76=1,1,IF(CdTrp2!I76=2,2,IF(CdTrp2!I76=3,2,IF(CdTrp2!I76=4,4,0))))</f>
        <v>0</v>
      </c>
      <c r="CJ109" s="168">
        <f>IF(CdTrp2!J76=1,1,IF(CdTrp2!J76=2,2,IF(CdTrp2!J76=3,2,IF(CdTrp2!J76=4,4,0))))</f>
        <v>0</v>
      </c>
      <c r="CK109" s="168">
        <f>IF(CdTrp2!K76=1,1,IF(CdTrp2!K76=2,2,IF(CdTrp2!K76=3,2,IF(CdTrp2!K76=4,4,0))))</f>
        <v>0</v>
      </c>
      <c r="CL109" s="168">
        <f>IF(CdTrp2!L76=1,1,IF(CdTrp2!L76=2,2,IF(CdTrp2!L76=3,2,IF(CdTrp2!L76=4,4,0))))</f>
        <v>0</v>
      </c>
      <c r="CM109" s="168">
        <f>IF(CdTrp2!M76=1,1,IF(CdTrp2!M76=2,2,IF(CdTrp2!M76=3,2,IF(CdTrp2!M76=4,4,0))))</f>
        <v>0</v>
      </c>
      <c r="CN109" s="168">
        <f>IF(CdTrp2!N76=1,1,IF(CdTrp2!N76=2,2,IF(CdTrp2!N76=3,2,IF(CdTrp2!N76=4,4,0))))</f>
        <v>0</v>
      </c>
      <c r="CO109" s="168">
        <f>IF(CdTrp2!O76=1,1,IF(CdTrp2!O76=2,2,IF(CdTrp2!O76=3,2,IF(CdTrp2!O76=4,4,0))))</f>
        <v>0</v>
      </c>
      <c r="CP109" s="168">
        <f>IF(CdTrp2!P76=1,1,IF(CdTrp2!P76=2,2,IF(CdTrp2!P76=3,2,IF(CdTrp2!P76=4,4,0))))</f>
        <v>0</v>
      </c>
      <c r="CQ109" s="168">
        <f>IF(CdTrp2!Q76=1,1,IF(CdTrp2!Q76=2,2,IF(CdTrp2!Q76=3,2,IF(CdTrp2!Q76=4,4,0))))</f>
        <v>0</v>
      </c>
      <c r="CR109" s="168">
        <f>IF(CdTrp2!R76=1,1,IF(CdTrp2!R76=2,2,IF(CdTrp2!R76=3,2,IF(CdTrp2!R76=4,4,0))))</f>
        <v>0</v>
      </c>
      <c r="CS109" s="168">
        <f>IF(CdTrp2!S76=1,1,IF(CdTrp2!S76=2,2,IF(CdTrp2!S76=3,2,IF(CdTrp2!S76=4,4,0))))</f>
        <v>0</v>
      </c>
      <c r="CT109" s="168">
        <f>IF(CdTrp2!T76=1,1,IF(CdTrp2!T76=2,2,IF(CdTrp2!T76=3,2,IF(CdTrp2!T76=4,4,0))))</f>
        <v>0</v>
      </c>
      <c r="CU109" s="168">
        <f>IF(CdTrp2!U76=1,1,IF(CdTrp2!U76=2,2,IF(CdTrp2!U76=3,2,IF(CdTrp2!U76=4,4,0))))</f>
        <v>0</v>
      </c>
      <c r="CV109" s="168">
        <f>IF(CdTrp2!V76=1,1,IF(CdTrp2!V76=2,2,IF(CdTrp2!V76=3,2,IF(CdTrp2!V76=4,4,0))))</f>
        <v>0</v>
      </c>
      <c r="CW109" s="168">
        <f>IF(CdTrp2!W76=1,1,IF(CdTrp2!W76=2,2,IF(CdTrp2!W76=3,2,IF(CdTrp2!W76=4,4,0))))</f>
        <v>0</v>
      </c>
      <c r="CX109" s="168">
        <f>IF(CdTrp2!X76=1,1,IF(CdTrp2!X76=2,2,IF(CdTrp2!X76=3,2,IF(CdTrp2!X76=4,4,0))))</f>
        <v>0</v>
      </c>
      <c r="CY109" s="168">
        <f>IF(CdTrp2!Y76=1,1,IF(CdTrp2!Y76=2,2,IF(CdTrp2!Y76=3,2,IF(CdTrp2!Y76=4,4,0))))</f>
        <v>0</v>
      </c>
      <c r="DC109" s="182" t="str">
        <f t="shared" ref="DC109:DC116" si="27">+DC75</f>
        <v>lot1</v>
      </c>
      <c r="DD109" s="32"/>
      <c r="DE109" s="168">
        <f>IF(CdTrp3!B76=1,1,IF(CdTrp3!B76=2,2,IF(CdTrp3!B76=3,2,IF(CdTrp3!B76=4,4,0))))</f>
        <v>0</v>
      </c>
      <c r="DF109" s="168">
        <f>IF(CdTrp3!C76=1,1,IF(CdTrp3!C76=2,2,IF(CdTrp3!C76=3,2,IF(CdTrp3!C76=4,4,0))))</f>
        <v>0</v>
      </c>
      <c r="DG109" s="168">
        <f>IF(CdTrp3!D76=1,1,IF(CdTrp3!D76=2,2,IF(CdTrp3!D76=3,2,IF(CdTrp3!D76=4,4,0))))</f>
        <v>0</v>
      </c>
      <c r="DH109" s="168">
        <f>IF(CdTrp3!E76=1,1,IF(CdTrp3!E76=2,2,IF(CdTrp3!E76=3,2,IF(CdTrp3!E76=4,4,0))))</f>
        <v>0</v>
      </c>
      <c r="DI109" s="168">
        <f>IF(CdTrp3!F76=1,1,IF(CdTrp3!F76=2,2,IF(CdTrp3!F76=3,2,IF(CdTrp3!F76=4,4,0))))</f>
        <v>0</v>
      </c>
      <c r="DJ109" s="168">
        <f>IF(CdTrp3!G76=1,1,IF(CdTrp3!G76=2,2,IF(CdTrp3!G76=3,2,IF(CdTrp3!G76=4,4,0))))</f>
        <v>0</v>
      </c>
      <c r="DK109" s="168">
        <f>IF(CdTrp3!H76=1,1,IF(CdTrp3!H76=2,2,IF(CdTrp3!H76=3,2,IF(CdTrp3!H76=4,4,0))))</f>
        <v>0</v>
      </c>
      <c r="DL109" s="168">
        <f>IF(CdTrp3!I76=1,1,IF(CdTrp3!I76=2,2,IF(CdTrp3!I76=3,2,IF(CdTrp3!I76=4,4,0))))</f>
        <v>0</v>
      </c>
      <c r="DM109" s="168">
        <f>IF(CdTrp3!J76=1,1,IF(CdTrp3!J76=2,2,IF(CdTrp3!J76=3,2,IF(CdTrp3!J76=4,4,0))))</f>
        <v>0</v>
      </c>
      <c r="DN109" s="168">
        <f>IF(CdTrp3!K76=1,1,IF(CdTrp3!K76=2,2,IF(CdTrp3!K76=3,2,IF(CdTrp3!K76=4,4,0))))</f>
        <v>0</v>
      </c>
      <c r="DO109" s="168">
        <f>IF(CdTrp3!L76=1,1,IF(CdTrp3!L76=2,2,IF(CdTrp3!L76=3,2,IF(CdTrp3!L76=4,4,0))))</f>
        <v>0</v>
      </c>
      <c r="DP109" s="168">
        <f>IF(CdTrp3!M76=1,1,IF(CdTrp3!M76=2,2,IF(CdTrp3!M76=3,2,IF(CdTrp3!M76=4,4,0))))</f>
        <v>0</v>
      </c>
      <c r="DQ109" s="168">
        <f>IF(CdTrp3!N76=1,1,IF(CdTrp3!N76=2,2,IF(CdTrp3!N76=3,2,IF(CdTrp3!N76=4,4,0))))</f>
        <v>0</v>
      </c>
      <c r="DR109" s="168">
        <f>IF(CdTrp3!O76=1,1,IF(CdTrp3!O76=2,2,IF(CdTrp3!O76=3,2,IF(CdTrp3!O76=4,4,0))))</f>
        <v>0</v>
      </c>
      <c r="DS109" s="168">
        <f>IF(CdTrp3!P76=1,1,IF(CdTrp3!P76=2,2,IF(CdTrp3!P76=3,2,IF(CdTrp3!P76=4,4,0))))</f>
        <v>0</v>
      </c>
      <c r="DT109" s="168">
        <f>IF(CdTrp3!Q76=1,1,IF(CdTrp3!Q76=2,2,IF(CdTrp3!Q76=3,2,IF(CdTrp3!Q76=4,4,0))))</f>
        <v>0</v>
      </c>
      <c r="DU109" s="168">
        <f>IF(CdTrp3!R76=1,1,IF(CdTrp3!R76=2,2,IF(CdTrp3!R76=3,2,IF(CdTrp3!R76=4,4,0))))</f>
        <v>0</v>
      </c>
      <c r="DV109" s="168">
        <f>IF(CdTrp3!S76=1,1,IF(CdTrp3!S76=2,2,IF(CdTrp3!S76=3,2,IF(CdTrp3!S76=4,4,0))))</f>
        <v>0</v>
      </c>
      <c r="DW109" s="168">
        <f>IF(CdTrp3!T76=1,1,IF(CdTrp3!T76=2,2,IF(CdTrp3!T76=3,2,IF(CdTrp3!T76=4,4,0))))</f>
        <v>0</v>
      </c>
      <c r="DX109" s="168">
        <f>IF(CdTrp3!U76=1,1,IF(CdTrp3!U76=2,2,IF(CdTrp3!U76=3,2,IF(CdTrp3!U76=4,4,0))))</f>
        <v>0</v>
      </c>
      <c r="DY109" s="168">
        <f>IF(CdTrp3!V76=1,1,IF(CdTrp3!V76=2,2,IF(CdTrp3!V76=3,2,IF(CdTrp3!V76=4,4,0))))</f>
        <v>0</v>
      </c>
      <c r="DZ109" s="168">
        <f>IF(CdTrp3!W76=1,1,IF(CdTrp3!W76=2,2,IF(CdTrp3!W76=3,2,IF(CdTrp3!W76=4,4,0))))</f>
        <v>0</v>
      </c>
      <c r="EA109" s="168">
        <f>IF(CdTrp3!X76=1,1,IF(CdTrp3!X76=2,2,IF(CdTrp3!X76=3,2,IF(CdTrp3!X76=4,4,0))))</f>
        <v>0</v>
      </c>
      <c r="EB109" s="168">
        <f>IF(CdTrp3!Y76=1,1,IF(CdTrp3!Y76=2,2,IF(CdTrp3!Y76=3,2,IF(CdTrp3!Y76=4,4,0))))</f>
        <v>0</v>
      </c>
    </row>
    <row r="110" spans="1:132" x14ac:dyDescent="0.25">
      <c r="B110" s="14" t="s">
        <v>1177</v>
      </c>
      <c r="C110" s="168">
        <f>COUNTIF($H$94:$AE$103,1)/2</f>
        <v>22.5</v>
      </c>
      <c r="D110" s="168">
        <f t="shared" si="25"/>
        <v>22.5</v>
      </c>
      <c r="F110" s="14"/>
      <c r="G110" s="30" t="str">
        <f>CdTrp2!A81</f>
        <v>lot6</v>
      </c>
      <c r="H110" s="30">
        <f>CdTrp2!B81</f>
        <v>0</v>
      </c>
      <c r="I110" s="30">
        <f>CdTrp2!C81</f>
        <v>0</v>
      </c>
      <c r="J110" s="30">
        <f>CdTrp2!D81</f>
        <v>0</v>
      </c>
      <c r="K110" s="30">
        <f>CdTrp2!E81</f>
        <v>0</v>
      </c>
      <c r="L110" s="30">
        <f>CdTrp2!F81</f>
        <v>0</v>
      </c>
      <c r="M110" s="30">
        <f>CdTrp2!G81</f>
        <v>0</v>
      </c>
      <c r="N110" s="30">
        <f>CdTrp2!H81</f>
        <v>0</v>
      </c>
      <c r="O110" s="30">
        <f>CdTrp2!I81</f>
        <v>0</v>
      </c>
      <c r="P110" s="30">
        <f>CdTrp2!J81</f>
        <v>0</v>
      </c>
      <c r="Q110" s="30">
        <f>CdTrp2!K81</f>
        <v>0</v>
      </c>
      <c r="R110" s="30">
        <f>CdTrp2!L81</f>
        <v>0</v>
      </c>
      <c r="S110" s="30">
        <f>CdTrp2!M81</f>
        <v>0</v>
      </c>
      <c r="T110" s="30">
        <f>CdTrp2!N81</f>
        <v>0</v>
      </c>
      <c r="U110" s="30">
        <f>CdTrp2!O81</f>
        <v>0</v>
      </c>
      <c r="V110" s="30">
        <f>CdTrp2!P81</f>
        <v>0</v>
      </c>
      <c r="W110" s="30">
        <f>CdTrp2!Q81</f>
        <v>0</v>
      </c>
      <c r="X110" s="30">
        <f>CdTrp2!R81</f>
        <v>0</v>
      </c>
      <c r="Y110" s="30">
        <f>CdTrp2!S81</f>
        <v>0</v>
      </c>
      <c r="Z110" s="30">
        <f>CdTrp2!T81</f>
        <v>0</v>
      </c>
      <c r="AA110" s="30">
        <f>CdTrp2!U81</f>
        <v>0</v>
      </c>
      <c r="AB110" s="30">
        <f>CdTrp2!V81</f>
        <v>0</v>
      </c>
      <c r="AC110" s="30">
        <f>CdTrp2!W81</f>
        <v>0</v>
      </c>
      <c r="AD110" s="30">
        <f>CdTrp2!X81</f>
        <v>0</v>
      </c>
      <c r="AE110" s="30">
        <f>CdTrp2!Y81</f>
        <v>0</v>
      </c>
      <c r="AT110" s="182" t="str">
        <f t="shared" ref="AT110:AT118" si="28">AT99</f>
        <v>Génisses 24 mois</v>
      </c>
      <c r="AU110" s="32"/>
      <c r="AV110" s="168">
        <f>IF(CdTrp1!B77=1,1,IF(CdTrp1!B77=2,2,IF(CdTrp1!B77=3,2,IF(CdTrp1!B77=4,4,0))))</f>
        <v>0</v>
      </c>
      <c r="AW110" s="168">
        <f>IF(CdTrp1!C77=1,1,IF(CdTrp1!C77=2,2,IF(CdTrp1!C77=3,2,IF(CdTrp1!C77=4,4,0))))</f>
        <v>0</v>
      </c>
      <c r="AX110" s="168">
        <f>IF(CdTrp1!D77=1,1,IF(CdTrp1!D77=2,2,IF(CdTrp1!D77=3,2,IF(CdTrp1!D77=4,4,0))))</f>
        <v>0</v>
      </c>
      <c r="AY110" s="168">
        <f>IF(CdTrp1!E77=1,1,IF(CdTrp1!E77=2,2,IF(CdTrp1!E77=3,2,IF(CdTrp1!E77=4,4,0))))</f>
        <v>0</v>
      </c>
      <c r="AZ110" s="168">
        <f>IF(CdTrp1!F77=1,1,IF(CdTrp1!F77=2,2,IF(CdTrp1!F77=3,2,IF(CdTrp1!F77=4,4,0))))</f>
        <v>1</v>
      </c>
      <c r="BA110" s="168">
        <f>IF(CdTrp1!G77=1,1,IF(CdTrp1!G77=2,2,IF(CdTrp1!G77=3,2,IF(CdTrp1!G77=4,4,0))))</f>
        <v>1</v>
      </c>
      <c r="BB110" s="168">
        <f>IF(CdTrp1!H77=1,1,IF(CdTrp1!H77=2,2,IF(CdTrp1!H77=3,2,IF(CdTrp1!H77=4,4,0))))</f>
        <v>1</v>
      </c>
      <c r="BC110" s="168">
        <f>IF(CdTrp1!I77=1,1,IF(CdTrp1!I77=2,2,IF(CdTrp1!I77=3,2,IF(CdTrp1!I77=4,4,0))))</f>
        <v>1</v>
      </c>
      <c r="BD110" s="168">
        <f>IF(CdTrp1!J77=1,1,IF(CdTrp1!J77=2,2,IF(CdTrp1!J77=3,2,IF(CdTrp1!J77=4,4,0))))</f>
        <v>1</v>
      </c>
      <c r="BE110" s="168">
        <f>IF(CdTrp1!K77=1,1,IF(CdTrp1!K77=2,2,IF(CdTrp1!K77=3,2,IF(CdTrp1!K77=4,4,0))))</f>
        <v>1</v>
      </c>
      <c r="BF110" s="168">
        <f>IF(CdTrp1!L77=1,1,IF(CdTrp1!L77=2,2,IF(CdTrp1!L77=3,2,IF(CdTrp1!L77=4,4,0))))</f>
        <v>1</v>
      </c>
      <c r="BG110" s="168">
        <f>IF(CdTrp1!M77=1,1,IF(CdTrp1!M77=2,2,IF(CdTrp1!M77=3,2,IF(CdTrp1!M77=4,4,0))))</f>
        <v>1</v>
      </c>
      <c r="BH110" s="168">
        <f>IF(CdTrp1!N77=1,1,IF(CdTrp1!N77=2,2,IF(CdTrp1!N77=3,2,IF(CdTrp1!N77=4,4,0))))</f>
        <v>1</v>
      </c>
      <c r="BI110" s="168">
        <f>IF(CdTrp1!O77=1,1,IF(CdTrp1!O77=2,2,IF(CdTrp1!O77=3,2,IF(CdTrp1!O77=4,4,0))))</f>
        <v>1</v>
      </c>
      <c r="BJ110" s="168">
        <f>IF(CdTrp1!P77=1,1,IF(CdTrp1!P77=2,2,IF(CdTrp1!P77=3,2,IF(CdTrp1!P77=4,4,0))))</f>
        <v>1</v>
      </c>
      <c r="BK110" s="168">
        <f>IF(CdTrp1!Q77=1,1,IF(CdTrp1!Q77=2,2,IF(CdTrp1!Q77=3,2,IF(CdTrp1!Q77=4,4,0))))</f>
        <v>1</v>
      </c>
      <c r="BL110" s="168">
        <f>IF(CdTrp1!R77=1,1,IF(CdTrp1!R77=2,2,IF(CdTrp1!R77=3,2,IF(CdTrp1!R77=4,4,0))))</f>
        <v>1</v>
      </c>
      <c r="BM110" s="168">
        <f>IF(CdTrp1!S77=1,1,IF(CdTrp1!S77=2,2,IF(CdTrp1!S77=3,2,IF(CdTrp1!S77=4,4,0))))</f>
        <v>1</v>
      </c>
      <c r="BN110" s="168">
        <f>IF(CdTrp1!T77=1,1,IF(CdTrp1!T77=2,2,IF(CdTrp1!T77=3,2,IF(CdTrp1!T77=4,4,0))))</f>
        <v>1</v>
      </c>
      <c r="BO110" s="168">
        <f>IF(CdTrp1!U77=1,1,IF(CdTrp1!U77=2,2,IF(CdTrp1!U77=3,2,IF(CdTrp1!U77=4,4,0))))</f>
        <v>1</v>
      </c>
      <c r="BP110" s="168">
        <f>IF(CdTrp1!V77=1,1,IF(CdTrp1!V77=2,2,IF(CdTrp1!V77=3,2,IF(CdTrp1!V77=4,4,0))))</f>
        <v>1</v>
      </c>
      <c r="BQ110" s="168">
        <f>IF(CdTrp1!W77=1,1,IF(CdTrp1!W77=2,2,IF(CdTrp1!W77=3,2,IF(CdTrp1!W77=4,4,0))))</f>
        <v>0</v>
      </c>
      <c r="BR110" s="168">
        <f>IF(CdTrp1!X77=1,1,IF(CdTrp1!X77=2,2,IF(CdTrp1!X77=3,2,IF(CdTrp1!X77=4,4,0))))</f>
        <v>0</v>
      </c>
      <c r="BS110" s="168">
        <f>IF(CdTrp1!Y77=1,1,IF(CdTrp1!Y77=2,2,IF(CdTrp1!Y77=3,2,IF(CdTrp1!Y77=4,4,0))))</f>
        <v>0</v>
      </c>
      <c r="BU110">
        <v>2</v>
      </c>
      <c r="BV110" t="s">
        <v>765</v>
      </c>
      <c r="BY110" s="17"/>
      <c r="BZ110" s="182" t="str">
        <f t="shared" si="26"/>
        <v>lot2</v>
      </c>
      <c r="CA110" s="32"/>
      <c r="CB110" s="168">
        <f>IF(CdTrp2!B77=1,1,IF(CdTrp2!B77=2,2,IF(CdTrp2!B77=3,2,IF(CdTrp2!B77=4,4,0))))</f>
        <v>0</v>
      </c>
      <c r="CC110" s="168">
        <f>IF(CdTrp2!C77=1,1,IF(CdTrp2!C77=2,2,IF(CdTrp2!C77=3,2,IF(CdTrp2!C77=4,4,0))))</f>
        <v>0</v>
      </c>
      <c r="CD110" s="168">
        <f>IF(CdTrp2!D77=1,1,IF(CdTrp2!D77=2,2,IF(CdTrp2!D77=3,2,IF(CdTrp2!D77=4,4,0))))</f>
        <v>0</v>
      </c>
      <c r="CE110" s="168">
        <f>IF(CdTrp2!E77=1,1,IF(CdTrp2!E77=2,2,IF(CdTrp2!E77=3,2,IF(CdTrp2!E77=4,4,0))))</f>
        <v>0</v>
      </c>
      <c r="CF110" s="168">
        <f>IF(CdTrp2!F77=1,1,IF(CdTrp2!F77=2,2,IF(CdTrp2!F77=3,2,IF(CdTrp2!F77=4,4,0))))</f>
        <v>0</v>
      </c>
      <c r="CG110" s="168">
        <f>IF(CdTrp2!G77=1,1,IF(CdTrp2!G77=2,2,IF(CdTrp2!G77=3,2,IF(CdTrp2!G77=4,4,0))))</f>
        <v>0</v>
      </c>
      <c r="CH110" s="168">
        <f>IF(CdTrp2!H77=1,1,IF(CdTrp2!H77=2,2,IF(CdTrp2!H77=3,2,IF(CdTrp2!H77=4,4,0))))</f>
        <v>0</v>
      </c>
      <c r="CI110" s="168">
        <f>IF(CdTrp2!I77=1,1,IF(CdTrp2!I77=2,2,IF(CdTrp2!I77=3,2,IF(CdTrp2!I77=4,4,0))))</f>
        <v>0</v>
      </c>
      <c r="CJ110" s="168">
        <f>IF(CdTrp2!J77=1,1,IF(CdTrp2!J77=2,2,IF(CdTrp2!J77=3,2,IF(CdTrp2!J77=4,4,0))))</f>
        <v>0</v>
      </c>
      <c r="CK110" s="168">
        <f>IF(CdTrp2!K77=1,1,IF(CdTrp2!K77=2,2,IF(CdTrp2!K77=3,2,IF(CdTrp2!K77=4,4,0))))</f>
        <v>0</v>
      </c>
      <c r="CL110" s="168">
        <f>IF(CdTrp2!L77=1,1,IF(CdTrp2!L77=2,2,IF(CdTrp2!L77=3,2,IF(CdTrp2!L77=4,4,0))))</f>
        <v>0</v>
      </c>
      <c r="CM110" s="168">
        <f>IF(CdTrp2!M77=1,1,IF(CdTrp2!M77=2,2,IF(CdTrp2!M77=3,2,IF(CdTrp2!M77=4,4,0))))</f>
        <v>0</v>
      </c>
      <c r="CN110" s="168">
        <f>IF(CdTrp2!N77=1,1,IF(CdTrp2!N77=2,2,IF(CdTrp2!N77=3,2,IF(CdTrp2!N77=4,4,0))))</f>
        <v>0</v>
      </c>
      <c r="CO110" s="168">
        <f>IF(CdTrp2!O77=1,1,IF(CdTrp2!O77=2,2,IF(CdTrp2!O77=3,2,IF(CdTrp2!O77=4,4,0))))</f>
        <v>0</v>
      </c>
      <c r="CP110" s="168">
        <f>IF(CdTrp2!P77=1,1,IF(CdTrp2!P77=2,2,IF(CdTrp2!P77=3,2,IF(CdTrp2!P77=4,4,0))))</f>
        <v>0</v>
      </c>
      <c r="CQ110" s="168">
        <f>IF(CdTrp2!Q77=1,1,IF(CdTrp2!Q77=2,2,IF(CdTrp2!Q77=3,2,IF(CdTrp2!Q77=4,4,0))))</f>
        <v>0</v>
      </c>
      <c r="CR110" s="168">
        <f>IF(CdTrp2!R77=1,1,IF(CdTrp2!R77=2,2,IF(CdTrp2!R77=3,2,IF(CdTrp2!R77=4,4,0))))</f>
        <v>0</v>
      </c>
      <c r="CS110" s="168">
        <f>IF(CdTrp2!S77=1,1,IF(CdTrp2!S77=2,2,IF(CdTrp2!S77=3,2,IF(CdTrp2!S77=4,4,0))))</f>
        <v>0</v>
      </c>
      <c r="CT110" s="168">
        <f>IF(CdTrp2!T77=1,1,IF(CdTrp2!T77=2,2,IF(CdTrp2!T77=3,2,IF(CdTrp2!T77=4,4,0))))</f>
        <v>0</v>
      </c>
      <c r="CU110" s="168">
        <f>IF(CdTrp2!U77=1,1,IF(CdTrp2!U77=2,2,IF(CdTrp2!U77=3,2,IF(CdTrp2!U77=4,4,0))))</f>
        <v>0</v>
      </c>
      <c r="CV110" s="168">
        <f>IF(CdTrp2!V77=1,1,IF(CdTrp2!V77=2,2,IF(CdTrp2!V77=3,2,IF(CdTrp2!V77=4,4,0))))</f>
        <v>0</v>
      </c>
      <c r="CW110" s="168">
        <f>IF(CdTrp2!W77=1,1,IF(CdTrp2!W77=2,2,IF(CdTrp2!W77=3,2,IF(CdTrp2!W77=4,4,0))))</f>
        <v>0</v>
      </c>
      <c r="CX110" s="168">
        <f>IF(CdTrp2!X77=1,1,IF(CdTrp2!X77=2,2,IF(CdTrp2!X77=3,2,IF(CdTrp2!X77=4,4,0))))</f>
        <v>0</v>
      </c>
      <c r="CY110" s="168">
        <f>IF(CdTrp2!Y77=1,1,IF(CdTrp2!Y77=2,2,IF(CdTrp2!Y77=3,2,IF(CdTrp2!Y77=4,4,0))))</f>
        <v>0</v>
      </c>
      <c r="DB110" s="17"/>
      <c r="DC110" s="182" t="str">
        <f t="shared" si="27"/>
        <v>lot2</v>
      </c>
      <c r="DD110" s="32"/>
      <c r="DE110" s="168">
        <f>IF(CdTrp3!B77=1,1,IF(CdTrp3!B77=2,2,IF(CdTrp3!B77=3,2,IF(CdTrp3!B77=4,4,0))))</f>
        <v>0</v>
      </c>
      <c r="DF110" s="168">
        <f>IF(CdTrp3!C77=1,1,IF(CdTrp3!C77=2,2,IF(CdTrp3!C77=3,2,IF(CdTrp3!C77=4,4,0))))</f>
        <v>0</v>
      </c>
      <c r="DG110" s="168">
        <f>IF(CdTrp3!D77=1,1,IF(CdTrp3!D77=2,2,IF(CdTrp3!D77=3,2,IF(CdTrp3!D77=4,4,0))))</f>
        <v>0</v>
      </c>
      <c r="DH110" s="168">
        <f>IF(CdTrp3!E77=1,1,IF(CdTrp3!E77=2,2,IF(CdTrp3!E77=3,2,IF(CdTrp3!E77=4,4,0))))</f>
        <v>0</v>
      </c>
      <c r="DI110" s="168">
        <f>IF(CdTrp3!F77=1,1,IF(CdTrp3!F77=2,2,IF(CdTrp3!F77=3,2,IF(CdTrp3!F77=4,4,0))))</f>
        <v>0</v>
      </c>
      <c r="DJ110" s="168">
        <f>IF(CdTrp3!G77=1,1,IF(CdTrp3!G77=2,2,IF(CdTrp3!G77=3,2,IF(CdTrp3!G77=4,4,0))))</f>
        <v>0</v>
      </c>
      <c r="DK110" s="168">
        <f>IF(CdTrp3!H77=1,1,IF(CdTrp3!H77=2,2,IF(CdTrp3!H77=3,2,IF(CdTrp3!H77=4,4,0))))</f>
        <v>0</v>
      </c>
      <c r="DL110" s="168">
        <f>IF(CdTrp3!I77=1,1,IF(CdTrp3!I77=2,2,IF(CdTrp3!I77=3,2,IF(CdTrp3!I77=4,4,0))))</f>
        <v>0</v>
      </c>
      <c r="DM110" s="168">
        <f>IF(CdTrp3!J77=1,1,IF(CdTrp3!J77=2,2,IF(CdTrp3!J77=3,2,IF(CdTrp3!J77=4,4,0))))</f>
        <v>0</v>
      </c>
      <c r="DN110" s="168">
        <f>IF(CdTrp3!K77=1,1,IF(CdTrp3!K77=2,2,IF(CdTrp3!K77=3,2,IF(CdTrp3!K77=4,4,0))))</f>
        <v>0</v>
      </c>
      <c r="DO110" s="168">
        <f>IF(CdTrp3!L77=1,1,IF(CdTrp3!L77=2,2,IF(CdTrp3!L77=3,2,IF(CdTrp3!L77=4,4,0))))</f>
        <v>0</v>
      </c>
      <c r="DP110" s="168">
        <f>IF(CdTrp3!M77=1,1,IF(CdTrp3!M77=2,2,IF(CdTrp3!M77=3,2,IF(CdTrp3!M77=4,4,0))))</f>
        <v>0</v>
      </c>
      <c r="DQ110" s="168">
        <f>IF(CdTrp3!N77=1,1,IF(CdTrp3!N77=2,2,IF(CdTrp3!N77=3,2,IF(CdTrp3!N77=4,4,0))))</f>
        <v>0</v>
      </c>
      <c r="DR110" s="168">
        <f>IF(CdTrp3!O77=1,1,IF(CdTrp3!O77=2,2,IF(CdTrp3!O77=3,2,IF(CdTrp3!O77=4,4,0))))</f>
        <v>0</v>
      </c>
      <c r="DS110" s="168">
        <f>IF(CdTrp3!P77=1,1,IF(CdTrp3!P77=2,2,IF(CdTrp3!P77=3,2,IF(CdTrp3!P77=4,4,0))))</f>
        <v>0</v>
      </c>
      <c r="DT110" s="168">
        <f>IF(CdTrp3!Q77=1,1,IF(CdTrp3!Q77=2,2,IF(CdTrp3!Q77=3,2,IF(CdTrp3!Q77=4,4,0))))</f>
        <v>0</v>
      </c>
      <c r="DU110" s="168">
        <f>IF(CdTrp3!R77=1,1,IF(CdTrp3!R77=2,2,IF(CdTrp3!R77=3,2,IF(CdTrp3!R77=4,4,0))))</f>
        <v>0</v>
      </c>
      <c r="DV110" s="168">
        <f>IF(CdTrp3!S77=1,1,IF(CdTrp3!S77=2,2,IF(CdTrp3!S77=3,2,IF(CdTrp3!S77=4,4,0))))</f>
        <v>0</v>
      </c>
      <c r="DW110" s="168">
        <f>IF(CdTrp3!T77=1,1,IF(CdTrp3!T77=2,2,IF(CdTrp3!T77=3,2,IF(CdTrp3!T77=4,4,0))))</f>
        <v>0</v>
      </c>
      <c r="DX110" s="168">
        <f>IF(CdTrp3!U77=1,1,IF(CdTrp3!U77=2,2,IF(CdTrp3!U77=3,2,IF(CdTrp3!U77=4,4,0))))</f>
        <v>0</v>
      </c>
      <c r="DY110" s="168">
        <f>IF(CdTrp3!V77=1,1,IF(CdTrp3!V77=2,2,IF(CdTrp3!V77=3,2,IF(CdTrp3!V77=4,4,0))))</f>
        <v>0</v>
      </c>
      <c r="DZ110" s="168">
        <f>IF(CdTrp3!W77=1,1,IF(CdTrp3!W77=2,2,IF(CdTrp3!W77=3,2,IF(CdTrp3!W77=4,4,0))))</f>
        <v>0</v>
      </c>
      <c r="EA110" s="168">
        <f>IF(CdTrp3!X77=1,1,IF(CdTrp3!X77=2,2,IF(CdTrp3!X77=3,2,IF(CdTrp3!X77=4,4,0))))</f>
        <v>0</v>
      </c>
      <c r="EB110" s="168">
        <f>IF(CdTrp3!Y77=1,1,IF(CdTrp3!Y77=2,2,IF(CdTrp3!Y77=3,2,IF(CdTrp3!Y77=4,4,0))))</f>
        <v>0</v>
      </c>
    </row>
    <row r="111" spans="1:132" x14ac:dyDescent="0.25">
      <c r="B111" s="14" t="s">
        <v>1178</v>
      </c>
      <c r="C111" s="168">
        <f>COUNTIF($H$105:$AE$114,1)/2</f>
        <v>0</v>
      </c>
      <c r="D111" s="168">
        <f t="shared" si="25"/>
        <v>0</v>
      </c>
      <c r="F111" s="14"/>
      <c r="G111" s="251" t="str">
        <f>CdTrp2!A82</f>
        <v>lot7</v>
      </c>
      <c r="H111" s="30">
        <f>CdTrp2!B82</f>
        <v>0</v>
      </c>
      <c r="I111" s="30">
        <f>CdTrp2!C82</f>
        <v>0</v>
      </c>
      <c r="J111" s="30">
        <f>CdTrp2!D82</f>
        <v>0</v>
      </c>
      <c r="K111" s="30">
        <f>CdTrp2!E82</f>
        <v>0</v>
      </c>
      <c r="L111" s="30">
        <f>CdTrp2!F82</f>
        <v>0</v>
      </c>
      <c r="M111" s="30">
        <f>CdTrp2!G82</f>
        <v>0</v>
      </c>
      <c r="N111" s="30">
        <f>CdTrp2!H82</f>
        <v>0</v>
      </c>
      <c r="O111" s="30">
        <f>CdTrp2!I82</f>
        <v>0</v>
      </c>
      <c r="P111" s="30">
        <f>CdTrp2!J82</f>
        <v>0</v>
      </c>
      <c r="Q111" s="30">
        <f>CdTrp2!K82</f>
        <v>0</v>
      </c>
      <c r="R111" s="30">
        <f>CdTrp2!L82</f>
        <v>0</v>
      </c>
      <c r="S111" s="30">
        <f>CdTrp2!M82</f>
        <v>0</v>
      </c>
      <c r="T111" s="30">
        <f>CdTrp2!N82</f>
        <v>0</v>
      </c>
      <c r="U111" s="30">
        <f>CdTrp2!O82</f>
        <v>0</v>
      </c>
      <c r="V111" s="30">
        <f>CdTrp2!P82</f>
        <v>0</v>
      </c>
      <c r="W111" s="30">
        <f>CdTrp2!Q82</f>
        <v>0</v>
      </c>
      <c r="X111" s="30">
        <f>CdTrp2!R82</f>
        <v>0</v>
      </c>
      <c r="Y111" s="30">
        <f>CdTrp2!S82</f>
        <v>0</v>
      </c>
      <c r="Z111" s="30">
        <f>CdTrp2!T82</f>
        <v>0</v>
      </c>
      <c r="AA111" s="30">
        <f>CdTrp2!U82</f>
        <v>0</v>
      </c>
      <c r="AB111" s="30">
        <f>CdTrp2!V82</f>
        <v>0</v>
      </c>
      <c r="AC111" s="30">
        <f>CdTrp2!W82</f>
        <v>0</v>
      </c>
      <c r="AD111" s="30">
        <f>CdTrp2!X82</f>
        <v>0</v>
      </c>
      <c r="AE111" s="30">
        <f>CdTrp2!Y82</f>
        <v>0</v>
      </c>
      <c r="AT111" s="182" t="str">
        <f t="shared" si="28"/>
        <v>Génisses jeunes</v>
      </c>
      <c r="AU111" s="32"/>
      <c r="AV111" s="168">
        <f>IF(CdTrp1!B78=1,1,IF(CdTrp1!B78=2,2,IF(CdTrp1!B78=3,2,IF(CdTrp1!B78=4,4,0))))</f>
        <v>0</v>
      </c>
      <c r="AW111" s="168">
        <f>IF(CdTrp1!C78=1,1,IF(CdTrp1!C78=2,2,IF(CdTrp1!C78=3,2,IF(CdTrp1!C78=4,4,0))))</f>
        <v>0</v>
      </c>
      <c r="AX111" s="168">
        <f>IF(CdTrp1!D78=1,1,IF(CdTrp1!D78=2,2,IF(CdTrp1!D78=3,2,IF(CdTrp1!D78=4,4,0))))</f>
        <v>0</v>
      </c>
      <c r="AY111" s="168">
        <f>IF(CdTrp1!E78=1,1,IF(CdTrp1!E78=2,2,IF(CdTrp1!E78=3,2,IF(CdTrp1!E78=4,4,0))))</f>
        <v>0</v>
      </c>
      <c r="AZ111" s="168">
        <f>IF(CdTrp1!F78=1,1,IF(CdTrp1!F78=2,2,IF(CdTrp1!F78=3,2,IF(CdTrp1!F78=4,4,0))))</f>
        <v>0</v>
      </c>
      <c r="BA111" s="168">
        <f>IF(CdTrp1!G78=1,1,IF(CdTrp1!G78=2,2,IF(CdTrp1!G78=3,2,IF(CdTrp1!G78=4,4,0))))</f>
        <v>0</v>
      </c>
      <c r="BB111" s="168">
        <f>IF(CdTrp1!H78=1,1,IF(CdTrp1!H78=2,2,IF(CdTrp1!H78=3,2,IF(CdTrp1!H78=4,4,0))))</f>
        <v>0</v>
      </c>
      <c r="BC111" s="168">
        <f>IF(CdTrp1!I78=1,1,IF(CdTrp1!I78=2,2,IF(CdTrp1!I78=3,2,IF(CdTrp1!I78=4,4,0))))</f>
        <v>0</v>
      </c>
      <c r="BD111" s="168">
        <f>IF(CdTrp1!J78=1,1,IF(CdTrp1!J78=2,2,IF(CdTrp1!J78=3,2,IF(CdTrp1!J78=4,4,0))))</f>
        <v>0</v>
      </c>
      <c r="BE111" s="168">
        <f>IF(CdTrp1!K78=1,1,IF(CdTrp1!K78=2,2,IF(CdTrp1!K78=3,2,IF(CdTrp1!K78=4,4,0))))</f>
        <v>1</v>
      </c>
      <c r="BF111" s="168">
        <f>IF(CdTrp1!L78=1,1,IF(CdTrp1!L78=2,2,IF(CdTrp1!L78=3,2,IF(CdTrp1!L78=4,4,0))))</f>
        <v>1</v>
      </c>
      <c r="BG111" s="168">
        <f>IF(CdTrp1!M78=1,1,IF(CdTrp1!M78=2,2,IF(CdTrp1!M78=3,2,IF(CdTrp1!M78=4,4,0))))</f>
        <v>1</v>
      </c>
      <c r="BH111" s="168">
        <f>IF(CdTrp1!N78=1,1,IF(CdTrp1!N78=2,2,IF(CdTrp1!N78=3,2,IF(CdTrp1!N78=4,4,0))))</f>
        <v>1</v>
      </c>
      <c r="BI111" s="168">
        <f>IF(CdTrp1!O78=1,1,IF(CdTrp1!O78=2,2,IF(CdTrp1!O78=3,2,IF(CdTrp1!O78=4,4,0))))</f>
        <v>1</v>
      </c>
      <c r="BJ111" s="168">
        <f>IF(CdTrp1!P78=1,1,IF(CdTrp1!P78=2,2,IF(CdTrp1!P78=3,2,IF(CdTrp1!P78=4,4,0))))</f>
        <v>1</v>
      </c>
      <c r="BK111" s="168">
        <f>IF(CdTrp1!Q78=1,1,IF(CdTrp1!Q78=2,2,IF(CdTrp1!Q78=3,2,IF(CdTrp1!Q78=4,4,0))))</f>
        <v>1</v>
      </c>
      <c r="BL111" s="168">
        <f>IF(CdTrp1!R78=1,1,IF(CdTrp1!R78=2,2,IF(CdTrp1!R78=3,2,IF(CdTrp1!R78=4,4,0))))</f>
        <v>1</v>
      </c>
      <c r="BM111" s="168">
        <f>IF(CdTrp1!S78=1,1,IF(CdTrp1!S78=2,2,IF(CdTrp1!S78=3,2,IF(CdTrp1!S78=4,4,0))))</f>
        <v>1</v>
      </c>
      <c r="BN111" s="168">
        <f>IF(CdTrp1!T78=1,1,IF(CdTrp1!T78=2,2,IF(CdTrp1!T78=3,2,IF(CdTrp1!T78=4,4,0))))</f>
        <v>1</v>
      </c>
      <c r="BO111" s="168">
        <f>IF(CdTrp1!U78=1,1,IF(CdTrp1!U78=2,2,IF(CdTrp1!U78=3,2,IF(CdTrp1!U78=4,4,0))))</f>
        <v>1</v>
      </c>
      <c r="BP111" s="168">
        <f>IF(CdTrp1!V78=1,1,IF(CdTrp1!V78=2,2,IF(CdTrp1!V78=3,2,IF(CdTrp1!V78=4,4,0))))</f>
        <v>1</v>
      </c>
      <c r="BQ111" s="168">
        <f>IF(CdTrp1!W78=1,1,IF(CdTrp1!W78=2,2,IF(CdTrp1!W78=3,2,IF(CdTrp1!W78=4,4,0))))</f>
        <v>0</v>
      </c>
      <c r="BR111" s="168">
        <f>IF(CdTrp1!X78=1,1,IF(CdTrp1!X78=2,2,IF(CdTrp1!X78=3,2,IF(CdTrp1!X78=4,4,0))))</f>
        <v>0</v>
      </c>
      <c r="BS111" s="168">
        <f>IF(CdTrp1!Y78=1,1,IF(CdTrp1!Y78=2,2,IF(CdTrp1!Y78=3,2,IF(CdTrp1!Y78=4,4,0))))</f>
        <v>0</v>
      </c>
      <c r="BU111" s="189">
        <v>4</v>
      </c>
      <c r="BV111" t="s">
        <v>767</v>
      </c>
      <c r="BZ111" s="182" t="str">
        <f t="shared" si="26"/>
        <v>lot3</v>
      </c>
      <c r="CA111" s="32"/>
      <c r="CB111" s="168">
        <f>IF(CdTrp2!B78=1,1,IF(CdTrp2!B78=2,2,IF(CdTrp2!B78=3,2,IF(CdTrp2!B78=4,4,0))))</f>
        <v>0</v>
      </c>
      <c r="CC111" s="168">
        <f>IF(CdTrp2!C78=1,1,IF(CdTrp2!C78=2,2,IF(CdTrp2!C78=3,2,IF(CdTrp2!C78=4,4,0))))</f>
        <v>0</v>
      </c>
      <c r="CD111" s="168">
        <f>IF(CdTrp2!D78=1,1,IF(CdTrp2!D78=2,2,IF(CdTrp2!D78=3,2,IF(CdTrp2!D78=4,4,0))))</f>
        <v>0</v>
      </c>
      <c r="CE111" s="168">
        <f>IF(CdTrp2!E78=1,1,IF(CdTrp2!E78=2,2,IF(CdTrp2!E78=3,2,IF(CdTrp2!E78=4,4,0))))</f>
        <v>0</v>
      </c>
      <c r="CF111" s="168">
        <f>IF(CdTrp2!F78=1,1,IF(CdTrp2!F78=2,2,IF(CdTrp2!F78=3,2,IF(CdTrp2!F78=4,4,0))))</f>
        <v>0</v>
      </c>
      <c r="CG111" s="168">
        <f>IF(CdTrp2!G78=1,1,IF(CdTrp2!G78=2,2,IF(CdTrp2!G78=3,2,IF(CdTrp2!G78=4,4,0))))</f>
        <v>0</v>
      </c>
      <c r="CH111" s="168">
        <f>IF(CdTrp2!H78=1,1,IF(CdTrp2!H78=2,2,IF(CdTrp2!H78=3,2,IF(CdTrp2!H78=4,4,0))))</f>
        <v>0</v>
      </c>
      <c r="CI111" s="168">
        <f>IF(CdTrp2!I78=1,1,IF(CdTrp2!I78=2,2,IF(CdTrp2!I78=3,2,IF(CdTrp2!I78=4,4,0))))</f>
        <v>0</v>
      </c>
      <c r="CJ111" s="168">
        <f>IF(CdTrp2!J78=1,1,IF(CdTrp2!J78=2,2,IF(CdTrp2!J78=3,2,IF(CdTrp2!J78=4,4,0))))</f>
        <v>0</v>
      </c>
      <c r="CK111" s="168">
        <f>IF(CdTrp2!K78=1,1,IF(CdTrp2!K78=2,2,IF(CdTrp2!K78=3,2,IF(CdTrp2!K78=4,4,0))))</f>
        <v>0</v>
      </c>
      <c r="CL111" s="168">
        <f>IF(CdTrp2!L78=1,1,IF(CdTrp2!L78=2,2,IF(CdTrp2!L78=3,2,IF(CdTrp2!L78=4,4,0))))</f>
        <v>0</v>
      </c>
      <c r="CM111" s="168">
        <f>IF(CdTrp2!M78=1,1,IF(CdTrp2!M78=2,2,IF(CdTrp2!M78=3,2,IF(CdTrp2!M78=4,4,0))))</f>
        <v>0</v>
      </c>
      <c r="CN111" s="168">
        <f>IF(CdTrp2!N78=1,1,IF(CdTrp2!N78=2,2,IF(CdTrp2!N78=3,2,IF(CdTrp2!N78=4,4,0))))</f>
        <v>0</v>
      </c>
      <c r="CO111" s="168">
        <f>IF(CdTrp2!O78=1,1,IF(CdTrp2!O78=2,2,IF(CdTrp2!O78=3,2,IF(CdTrp2!O78=4,4,0))))</f>
        <v>0</v>
      </c>
      <c r="CP111" s="168">
        <f>IF(CdTrp2!P78=1,1,IF(CdTrp2!P78=2,2,IF(CdTrp2!P78=3,2,IF(CdTrp2!P78=4,4,0))))</f>
        <v>0</v>
      </c>
      <c r="CQ111" s="168">
        <f>IF(CdTrp2!Q78=1,1,IF(CdTrp2!Q78=2,2,IF(CdTrp2!Q78=3,2,IF(CdTrp2!Q78=4,4,0))))</f>
        <v>0</v>
      </c>
      <c r="CR111" s="168">
        <f>IF(CdTrp2!R78=1,1,IF(CdTrp2!R78=2,2,IF(CdTrp2!R78=3,2,IF(CdTrp2!R78=4,4,0))))</f>
        <v>0</v>
      </c>
      <c r="CS111" s="168">
        <f>IF(CdTrp2!S78=1,1,IF(CdTrp2!S78=2,2,IF(CdTrp2!S78=3,2,IF(CdTrp2!S78=4,4,0))))</f>
        <v>0</v>
      </c>
      <c r="CT111" s="168">
        <f>IF(CdTrp2!T78=1,1,IF(CdTrp2!T78=2,2,IF(CdTrp2!T78=3,2,IF(CdTrp2!T78=4,4,0))))</f>
        <v>0</v>
      </c>
      <c r="CU111" s="168">
        <f>IF(CdTrp2!U78=1,1,IF(CdTrp2!U78=2,2,IF(CdTrp2!U78=3,2,IF(CdTrp2!U78=4,4,0))))</f>
        <v>0</v>
      </c>
      <c r="CV111" s="168">
        <f>IF(CdTrp2!V78=1,1,IF(CdTrp2!V78=2,2,IF(CdTrp2!V78=3,2,IF(CdTrp2!V78=4,4,0))))</f>
        <v>0</v>
      </c>
      <c r="CW111" s="168">
        <f>IF(CdTrp2!W78=1,1,IF(CdTrp2!W78=2,2,IF(CdTrp2!W78=3,2,IF(CdTrp2!W78=4,4,0))))</f>
        <v>0</v>
      </c>
      <c r="CX111" s="168">
        <f>IF(CdTrp2!X78=1,1,IF(CdTrp2!X78=2,2,IF(CdTrp2!X78=3,2,IF(CdTrp2!X78=4,4,0))))</f>
        <v>0</v>
      </c>
      <c r="CY111" s="168">
        <f>IF(CdTrp2!Y78=1,1,IF(CdTrp2!Y78=2,2,IF(CdTrp2!Y78=3,2,IF(CdTrp2!Y78=4,4,0))))</f>
        <v>0</v>
      </c>
      <c r="DC111" s="182" t="str">
        <f t="shared" si="27"/>
        <v>lot3</v>
      </c>
      <c r="DD111" s="32"/>
      <c r="DE111" s="168">
        <f>IF(CdTrp3!B78=1,1,IF(CdTrp3!B78=2,2,IF(CdTrp3!B78=3,2,IF(CdTrp3!B78=4,4,0))))</f>
        <v>0</v>
      </c>
      <c r="DF111" s="168">
        <f>IF(CdTrp3!C78=1,1,IF(CdTrp3!C78=2,2,IF(CdTrp3!C78=3,2,IF(CdTrp3!C78=4,4,0))))</f>
        <v>0</v>
      </c>
      <c r="DG111" s="168">
        <f>IF(CdTrp3!D78=1,1,IF(CdTrp3!D78=2,2,IF(CdTrp3!D78=3,2,IF(CdTrp3!D78=4,4,0))))</f>
        <v>0</v>
      </c>
      <c r="DH111" s="168">
        <f>IF(CdTrp3!E78=1,1,IF(CdTrp3!E78=2,2,IF(CdTrp3!E78=3,2,IF(CdTrp3!E78=4,4,0))))</f>
        <v>0</v>
      </c>
      <c r="DI111" s="168">
        <f>IF(CdTrp3!F78=1,1,IF(CdTrp3!F78=2,2,IF(CdTrp3!F78=3,2,IF(CdTrp3!F78=4,4,0))))</f>
        <v>0</v>
      </c>
      <c r="DJ111" s="168">
        <f>IF(CdTrp3!G78=1,1,IF(CdTrp3!G78=2,2,IF(CdTrp3!G78=3,2,IF(CdTrp3!G78=4,4,0))))</f>
        <v>0</v>
      </c>
      <c r="DK111" s="168">
        <f>IF(CdTrp3!H78=1,1,IF(CdTrp3!H78=2,2,IF(CdTrp3!H78=3,2,IF(CdTrp3!H78=4,4,0))))</f>
        <v>0</v>
      </c>
      <c r="DL111" s="168">
        <f>IF(CdTrp3!I78=1,1,IF(CdTrp3!I78=2,2,IF(CdTrp3!I78=3,2,IF(CdTrp3!I78=4,4,0))))</f>
        <v>0</v>
      </c>
      <c r="DM111" s="168">
        <f>IF(CdTrp3!J78=1,1,IF(CdTrp3!J78=2,2,IF(CdTrp3!J78=3,2,IF(CdTrp3!J78=4,4,0))))</f>
        <v>0</v>
      </c>
      <c r="DN111" s="168">
        <f>IF(CdTrp3!K78=1,1,IF(CdTrp3!K78=2,2,IF(CdTrp3!K78=3,2,IF(CdTrp3!K78=4,4,0))))</f>
        <v>0</v>
      </c>
      <c r="DO111" s="168">
        <f>IF(CdTrp3!L78=1,1,IF(CdTrp3!L78=2,2,IF(CdTrp3!L78=3,2,IF(CdTrp3!L78=4,4,0))))</f>
        <v>0</v>
      </c>
      <c r="DP111" s="168">
        <f>IF(CdTrp3!M78=1,1,IF(CdTrp3!M78=2,2,IF(CdTrp3!M78=3,2,IF(CdTrp3!M78=4,4,0))))</f>
        <v>0</v>
      </c>
      <c r="DQ111" s="168">
        <f>IF(CdTrp3!N78=1,1,IF(CdTrp3!N78=2,2,IF(CdTrp3!N78=3,2,IF(CdTrp3!N78=4,4,0))))</f>
        <v>0</v>
      </c>
      <c r="DR111" s="168">
        <f>IF(CdTrp3!O78=1,1,IF(CdTrp3!O78=2,2,IF(CdTrp3!O78=3,2,IF(CdTrp3!O78=4,4,0))))</f>
        <v>0</v>
      </c>
      <c r="DS111" s="168">
        <f>IF(CdTrp3!P78=1,1,IF(CdTrp3!P78=2,2,IF(CdTrp3!P78=3,2,IF(CdTrp3!P78=4,4,0))))</f>
        <v>0</v>
      </c>
      <c r="DT111" s="168">
        <f>IF(CdTrp3!Q78=1,1,IF(CdTrp3!Q78=2,2,IF(CdTrp3!Q78=3,2,IF(CdTrp3!Q78=4,4,0))))</f>
        <v>0</v>
      </c>
      <c r="DU111" s="168">
        <f>IF(CdTrp3!R78=1,1,IF(CdTrp3!R78=2,2,IF(CdTrp3!R78=3,2,IF(CdTrp3!R78=4,4,0))))</f>
        <v>0</v>
      </c>
      <c r="DV111" s="168">
        <f>IF(CdTrp3!S78=1,1,IF(CdTrp3!S78=2,2,IF(CdTrp3!S78=3,2,IF(CdTrp3!S78=4,4,0))))</f>
        <v>0</v>
      </c>
      <c r="DW111" s="168">
        <f>IF(CdTrp3!T78=1,1,IF(CdTrp3!T78=2,2,IF(CdTrp3!T78=3,2,IF(CdTrp3!T78=4,4,0))))</f>
        <v>0</v>
      </c>
      <c r="DX111" s="168">
        <f>IF(CdTrp3!U78=1,1,IF(CdTrp3!U78=2,2,IF(CdTrp3!U78=3,2,IF(CdTrp3!U78=4,4,0))))</f>
        <v>0</v>
      </c>
      <c r="DY111" s="168">
        <f>IF(CdTrp3!V78=1,1,IF(CdTrp3!V78=2,2,IF(CdTrp3!V78=3,2,IF(CdTrp3!V78=4,4,0))))</f>
        <v>0</v>
      </c>
      <c r="DZ111" s="168">
        <f>IF(CdTrp3!W78=1,1,IF(CdTrp3!W78=2,2,IF(CdTrp3!W78=3,2,IF(CdTrp3!W78=4,4,0))))</f>
        <v>0</v>
      </c>
      <c r="EA111" s="168">
        <f>IF(CdTrp3!X78=1,1,IF(CdTrp3!X78=2,2,IF(CdTrp3!X78=3,2,IF(CdTrp3!X78=4,4,0))))</f>
        <v>0</v>
      </c>
      <c r="EB111" s="168">
        <f>IF(CdTrp3!Y78=1,1,IF(CdTrp3!Y78=2,2,IF(CdTrp3!Y78=3,2,IF(CdTrp3!Y78=4,4,0))))</f>
        <v>0</v>
      </c>
    </row>
    <row r="112" spans="1:132" x14ac:dyDescent="0.25">
      <c r="B112" s="14" t="s">
        <v>1179</v>
      </c>
      <c r="C112" s="168">
        <f>COUNTIF($H$116:$AE$125,1)/2</f>
        <v>0</v>
      </c>
      <c r="D112" s="168">
        <f t="shared" si="25"/>
        <v>0</v>
      </c>
      <c r="F112" s="14"/>
      <c r="G112" s="251" t="str">
        <f>CdTrp2!A83</f>
        <v>lot8</v>
      </c>
      <c r="H112" s="30">
        <f>CdTrp2!B83</f>
        <v>0</v>
      </c>
      <c r="I112" s="30">
        <f>CdTrp2!C83</f>
        <v>0</v>
      </c>
      <c r="J112" s="30">
        <f>CdTrp2!D83</f>
        <v>0</v>
      </c>
      <c r="K112" s="30">
        <f>CdTrp2!E83</f>
        <v>0</v>
      </c>
      <c r="L112" s="30">
        <f>CdTrp2!F83</f>
        <v>0</v>
      </c>
      <c r="M112" s="30">
        <f>CdTrp2!G83</f>
        <v>0</v>
      </c>
      <c r="N112" s="30">
        <f>CdTrp2!H83</f>
        <v>0</v>
      </c>
      <c r="O112" s="30">
        <f>CdTrp2!I83</f>
        <v>0</v>
      </c>
      <c r="P112" s="30">
        <f>CdTrp2!J83</f>
        <v>0</v>
      </c>
      <c r="Q112" s="30">
        <f>CdTrp2!K83</f>
        <v>0</v>
      </c>
      <c r="R112" s="30">
        <f>CdTrp2!L83</f>
        <v>0</v>
      </c>
      <c r="S112" s="30">
        <f>CdTrp2!M83</f>
        <v>0</v>
      </c>
      <c r="T112" s="30">
        <f>CdTrp2!N83</f>
        <v>0</v>
      </c>
      <c r="U112" s="30">
        <f>CdTrp2!O83</f>
        <v>0</v>
      </c>
      <c r="V112" s="30">
        <f>CdTrp2!P83</f>
        <v>0</v>
      </c>
      <c r="W112" s="30">
        <f>CdTrp2!Q83</f>
        <v>0</v>
      </c>
      <c r="X112" s="30">
        <f>CdTrp2!R83</f>
        <v>0</v>
      </c>
      <c r="Y112" s="30">
        <f>CdTrp2!S83</f>
        <v>0</v>
      </c>
      <c r="Z112" s="30">
        <f>CdTrp2!T83</f>
        <v>0</v>
      </c>
      <c r="AA112" s="30">
        <f>CdTrp2!U83</f>
        <v>0</v>
      </c>
      <c r="AB112" s="30">
        <f>CdTrp2!V83</f>
        <v>0</v>
      </c>
      <c r="AC112" s="30">
        <f>CdTrp2!W83</f>
        <v>0</v>
      </c>
      <c r="AD112" s="30">
        <f>CdTrp2!X83</f>
        <v>0</v>
      </c>
      <c r="AE112" s="30">
        <f>CdTrp2!Y83</f>
        <v>0</v>
      </c>
      <c r="AT112" s="182" t="str">
        <f t="shared" si="28"/>
        <v>broutards</v>
      </c>
      <c r="AU112" s="32"/>
      <c r="AV112" s="168">
        <f>IF(CdTrp1!B79=1,1,IF(CdTrp1!B79=2,2,IF(CdTrp1!B79=3,2,IF(CdTrp1!B79=4,4,0))))</f>
        <v>0</v>
      </c>
      <c r="AW112" s="168">
        <f>IF(CdTrp1!C79=1,1,IF(CdTrp1!C79=2,2,IF(CdTrp1!C79=3,2,IF(CdTrp1!C79=4,4,0))))</f>
        <v>0</v>
      </c>
      <c r="AX112" s="168">
        <f>IF(CdTrp1!D79=1,1,IF(CdTrp1!D79=2,2,IF(CdTrp1!D79=3,2,IF(CdTrp1!D79=4,4,0))))</f>
        <v>0</v>
      </c>
      <c r="AY112" s="168">
        <f>IF(CdTrp1!E79=1,1,IF(CdTrp1!E79=2,2,IF(CdTrp1!E79=3,2,IF(CdTrp1!E79=4,4,0))))</f>
        <v>0</v>
      </c>
      <c r="AZ112" s="168">
        <f>IF(CdTrp1!F79=1,1,IF(CdTrp1!F79=2,2,IF(CdTrp1!F79=3,2,IF(CdTrp1!F79=4,4,0))))</f>
        <v>0</v>
      </c>
      <c r="BA112" s="168">
        <f>IF(CdTrp1!G79=1,1,IF(CdTrp1!G79=2,2,IF(CdTrp1!G79=3,2,IF(CdTrp1!G79=4,4,0))))</f>
        <v>0</v>
      </c>
      <c r="BB112" s="168">
        <f>IF(CdTrp1!H79=1,1,IF(CdTrp1!H79=2,2,IF(CdTrp1!H79=3,2,IF(CdTrp1!H79=4,4,0))))</f>
        <v>0</v>
      </c>
      <c r="BC112" s="168">
        <f>IF(CdTrp1!I79=1,1,IF(CdTrp1!I79=2,2,IF(CdTrp1!I79=3,2,IF(CdTrp1!I79=4,4,0))))</f>
        <v>0</v>
      </c>
      <c r="BD112" s="168">
        <f>IF(CdTrp1!J79=1,1,IF(CdTrp1!J79=2,2,IF(CdTrp1!J79=3,2,IF(CdTrp1!J79=4,4,0))))</f>
        <v>0</v>
      </c>
      <c r="BE112" s="168">
        <f>IF(CdTrp1!K79=1,1,IF(CdTrp1!K79=2,2,IF(CdTrp1!K79=3,2,IF(CdTrp1!K79=4,4,0))))</f>
        <v>0</v>
      </c>
      <c r="BF112" s="168">
        <f>IF(CdTrp1!L79=1,1,IF(CdTrp1!L79=2,2,IF(CdTrp1!L79=3,2,IF(CdTrp1!L79=4,4,0))))</f>
        <v>0</v>
      </c>
      <c r="BG112" s="168">
        <f>IF(CdTrp1!M79=1,1,IF(CdTrp1!M79=2,2,IF(CdTrp1!M79=3,2,IF(CdTrp1!M79=4,4,0))))</f>
        <v>0</v>
      </c>
      <c r="BH112" s="168">
        <f>IF(CdTrp1!N79=1,1,IF(CdTrp1!N79=2,2,IF(CdTrp1!N79=3,2,IF(CdTrp1!N79=4,4,0))))</f>
        <v>0</v>
      </c>
      <c r="BI112" s="168">
        <f>IF(CdTrp1!O79=1,1,IF(CdTrp1!O79=2,2,IF(CdTrp1!O79=3,2,IF(CdTrp1!O79=4,4,0))))</f>
        <v>0</v>
      </c>
      <c r="BJ112" s="168">
        <f>IF(CdTrp1!P79=1,1,IF(CdTrp1!P79=2,2,IF(CdTrp1!P79=3,2,IF(CdTrp1!P79=4,4,0))))</f>
        <v>0</v>
      </c>
      <c r="BK112" s="168">
        <f>IF(CdTrp1!Q79=1,1,IF(CdTrp1!Q79=2,2,IF(CdTrp1!Q79=3,2,IF(CdTrp1!Q79=4,4,0))))</f>
        <v>0</v>
      </c>
      <c r="BL112" s="168">
        <f>IF(CdTrp1!R79=1,1,IF(CdTrp1!R79=2,2,IF(CdTrp1!R79=3,2,IF(CdTrp1!R79=4,4,0))))</f>
        <v>0</v>
      </c>
      <c r="BM112" s="168">
        <f>IF(CdTrp1!S79=1,1,IF(CdTrp1!S79=2,2,IF(CdTrp1!S79=3,2,IF(CdTrp1!S79=4,4,0))))</f>
        <v>0</v>
      </c>
      <c r="BN112" s="168">
        <f>IF(CdTrp1!T79=1,1,IF(CdTrp1!T79=2,2,IF(CdTrp1!T79=3,2,IF(CdTrp1!T79=4,4,0))))</f>
        <v>0</v>
      </c>
      <c r="BO112" s="168">
        <f>IF(CdTrp1!U79=1,1,IF(CdTrp1!U79=2,2,IF(CdTrp1!U79=3,2,IF(CdTrp1!U79=4,4,0))))</f>
        <v>0</v>
      </c>
      <c r="BP112" s="168">
        <f>IF(CdTrp1!V79=1,1,IF(CdTrp1!V79=2,2,IF(CdTrp1!V79=3,2,IF(CdTrp1!V79=4,4,0))))</f>
        <v>0</v>
      </c>
      <c r="BQ112" s="168">
        <f>IF(CdTrp1!W79=1,1,IF(CdTrp1!W79=2,2,IF(CdTrp1!W79=3,2,IF(CdTrp1!W79=4,4,0))))</f>
        <v>0</v>
      </c>
      <c r="BR112" s="168">
        <f>IF(CdTrp1!X79=1,1,IF(CdTrp1!X79=2,2,IF(CdTrp1!X79=3,2,IF(CdTrp1!X79=4,4,0))))</f>
        <v>0</v>
      </c>
      <c r="BS112" s="168">
        <f>IF(CdTrp1!Y79=1,1,IF(CdTrp1!Y79=2,2,IF(CdTrp1!Y79=3,2,IF(CdTrp1!Y79=4,4,0))))</f>
        <v>0</v>
      </c>
      <c r="BU112">
        <v>0</v>
      </c>
      <c r="BV112" t="s">
        <v>769</v>
      </c>
      <c r="BZ112" s="182" t="str">
        <f t="shared" si="26"/>
        <v>lot4</v>
      </c>
      <c r="CA112" s="32"/>
      <c r="CB112" s="168">
        <f>IF(CdTrp2!B79=1,1,IF(CdTrp2!B79=2,2,IF(CdTrp2!B79=3,2,IF(CdTrp2!B79=4,4,0))))</f>
        <v>0</v>
      </c>
      <c r="CC112" s="168">
        <f>IF(CdTrp2!C79=1,1,IF(CdTrp2!C79=2,2,IF(CdTrp2!C79=3,2,IF(CdTrp2!C79=4,4,0))))</f>
        <v>0</v>
      </c>
      <c r="CD112" s="168">
        <f>IF(CdTrp2!D79=1,1,IF(CdTrp2!D79=2,2,IF(CdTrp2!D79=3,2,IF(CdTrp2!D79=4,4,0))))</f>
        <v>0</v>
      </c>
      <c r="CE112" s="168">
        <f>IF(CdTrp2!E79=1,1,IF(CdTrp2!E79=2,2,IF(CdTrp2!E79=3,2,IF(CdTrp2!E79=4,4,0))))</f>
        <v>0</v>
      </c>
      <c r="CF112" s="168">
        <f>IF(CdTrp2!F79=1,1,IF(CdTrp2!F79=2,2,IF(CdTrp2!F79=3,2,IF(CdTrp2!F79=4,4,0))))</f>
        <v>0</v>
      </c>
      <c r="CG112" s="168">
        <f>IF(CdTrp2!G79=1,1,IF(CdTrp2!G79=2,2,IF(CdTrp2!G79=3,2,IF(CdTrp2!G79=4,4,0))))</f>
        <v>0</v>
      </c>
      <c r="CH112" s="168">
        <f>IF(CdTrp2!H79=1,1,IF(CdTrp2!H79=2,2,IF(CdTrp2!H79=3,2,IF(CdTrp2!H79=4,4,0))))</f>
        <v>0</v>
      </c>
      <c r="CI112" s="168">
        <f>IF(CdTrp2!I79=1,1,IF(CdTrp2!I79=2,2,IF(CdTrp2!I79=3,2,IF(CdTrp2!I79=4,4,0))))</f>
        <v>0</v>
      </c>
      <c r="CJ112" s="168">
        <f>IF(CdTrp2!J79=1,1,IF(CdTrp2!J79=2,2,IF(CdTrp2!J79=3,2,IF(CdTrp2!J79=4,4,0))))</f>
        <v>0</v>
      </c>
      <c r="CK112" s="168">
        <f>IF(CdTrp2!K79=1,1,IF(CdTrp2!K79=2,2,IF(CdTrp2!K79=3,2,IF(CdTrp2!K79=4,4,0))))</f>
        <v>0</v>
      </c>
      <c r="CL112" s="168">
        <f>IF(CdTrp2!L79=1,1,IF(CdTrp2!L79=2,2,IF(CdTrp2!L79=3,2,IF(CdTrp2!L79=4,4,0))))</f>
        <v>0</v>
      </c>
      <c r="CM112" s="168">
        <f>IF(CdTrp2!M79=1,1,IF(CdTrp2!M79=2,2,IF(CdTrp2!M79=3,2,IF(CdTrp2!M79=4,4,0))))</f>
        <v>0</v>
      </c>
      <c r="CN112" s="168">
        <f>IF(CdTrp2!N79=1,1,IF(CdTrp2!N79=2,2,IF(CdTrp2!N79=3,2,IF(CdTrp2!N79=4,4,0))))</f>
        <v>0</v>
      </c>
      <c r="CO112" s="168">
        <f>IF(CdTrp2!O79=1,1,IF(CdTrp2!O79=2,2,IF(CdTrp2!O79=3,2,IF(CdTrp2!O79=4,4,0))))</f>
        <v>0</v>
      </c>
      <c r="CP112" s="168">
        <f>IF(CdTrp2!P79=1,1,IF(CdTrp2!P79=2,2,IF(CdTrp2!P79=3,2,IF(CdTrp2!P79=4,4,0))))</f>
        <v>0</v>
      </c>
      <c r="CQ112" s="168">
        <f>IF(CdTrp2!Q79=1,1,IF(CdTrp2!Q79=2,2,IF(CdTrp2!Q79=3,2,IF(CdTrp2!Q79=4,4,0))))</f>
        <v>0</v>
      </c>
      <c r="CR112" s="168">
        <f>IF(CdTrp2!R79=1,1,IF(CdTrp2!R79=2,2,IF(CdTrp2!R79=3,2,IF(CdTrp2!R79=4,4,0))))</f>
        <v>0</v>
      </c>
      <c r="CS112" s="168">
        <f>IF(CdTrp2!S79=1,1,IF(CdTrp2!S79=2,2,IF(CdTrp2!S79=3,2,IF(CdTrp2!S79=4,4,0))))</f>
        <v>0</v>
      </c>
      <c r="CT112" s="168">
        <f>IF(CdTrp2!T79=1,1,IF(CdTrp2!T79=2,2,IF(CdTrp2!T79=3,2,IF(CdTrp2!T79=4,4,0))))</f>
        <v>0</v>
      </c>
      <c r="CU112" s="168">
        <f>IF(CdTrp2!U79=1,1,IF(CdTrp2!U79=2,2,IF(CdTrp2!U79=3,2,IF(CdTrp2!U79=4,4,0))))</f>
        <v>0</v>
      </c>
      <c r="CV112" s="168">
        <f>IF(CdTrp2!V79=1,1,IF(CdTrp2!V79=2,2,IF(CdTrp2!V79=3,2,IF(CdTrp2!V79=4,4,0))))</f>
        <v>0</v>
      </c>
      <c r="CW112" s="168">
        <f>IF(CdTrp2!W79=1,1,IF(CdTrp2!W79=2,2,IF(CdTrp2!W79=3,2,IF(CdTrp2!W79=4,4,0))))</f>
        <v>0</v>
      </c>
      <c r="CX112" s="168">
        <f>IF(CdTrp2!X79=1,1,IF(CdTrp2!X79=2,2,IF(CdTrp2!X79=3,2,IF(CdTrp2!X79=4,4,0))))</f>
        <v>0</v>
      </c>
      <c r="CY112" s="168">
        <f>IF(CdTrp2!Y79=1,1,IF(CdTrp2!Y79=2,2,IF(CdTrp2!Y79=3,2,IF(CdTrp2!Y79=4,4,0))))</f>
        <v>0</v>
      </c>
      <c r="DC112" s="182" t="str">
        <f t="shared" si="27"/>
        <v>lot4</v>
      </c>
      <c r="DD112" s="32"/>
      <c r="DE112" s="168">
        <f>IF(CdTrp3!B79=1,1,IF(CdTrp3!B79=2,2,IF(CdTrp3!B79=3,2,IF(CdTrp3!B79=4,4,0))))</f>
        <v>0</v>
      </c>
      <c r="DF112" s="168">
        <f>IF(CdTrp3!C79=1,1,IF(CdTrp3!C79=2,2,IF(CdTrp3!C79=3,2,IF(CdTrp3!C79=4,4,0))))</f>
        <v>0</v>
      </c>
      <c r="DG112" s="168">
        <f>IF(CdTrp3!D79=1,1,IF(CdTrp3!D79=2,2,IF(CdTrp3!D79=3,2,IF(CdTrp3!D79=4,4,0))))</f>
        <v>0</v>
      </c>
      <c r="DH112" s="168">
        <f>IF(CdTrp3!E79=1,1,IF(CdTrp3!E79=2,2,IF(CdTrp3!E79=3,2,IF(CdTrp3!E79=4,4,0))))</f>
        <v>0</v>
      </c>
      <c r="DI112" s="168">
        <f>IF(CdTrp3!F79=1,1,IF(CdTrp3!F79=2,2,IF(CdTrp3!F79=3,2,IF(CdTrp3!F79=4,4,0))))</f>
        <v>0</v>
      </c>
      <c r="DJ112" s="168">
        <f>IF(CdTrp3!G79=1,1,IF(CdTrp3!G79=2,2,IF(CdTrp3!G79=3,2,IF(CdTrp3!G79=4,4,0))))</f>
        <v>0</v>
      </c>
      <c r="DK112" s="168">
        <f>IF(CdTrp3!H79=1,1,IF(CdTrp3!H79=2,2,IF(CdTrp3!H79=3,2,IF(CdTrp3!H79=4,4,0))))</f>
        <v>0</v>
      </c>
      <c r="DL112" s="168">
        <f>IF(CdTrp3!I79=1,1,IF(CdTrp3!I79=2,2,IF(CdTrp3!I79=3,2,IF(CdTrp3!I79=4,4,0))))</f>
        <v>0</v>
      </c>
      <c r="DM112" s="168">
        <f>IF(CdTrp3!J79=1,1,IF(CdTrp3!J79=2,2,IF(CdTrp3!J79=3,2,IF(CdTrp3!J79=4,4,0))))</f>
        <v>0</v>
      </c>
      <c r="DN112" s="168">
        <f>IF(CdTrp3!K79=1,1,IF(CdTrp3!K79=2,2,IF(CdTrp3!K79=3,2,IF(CdTrp3!K79=4,4,0))))</f>
        <v>0</v>
      </c>
      <c r="DO112" s="168">
        <f>IF(CdTrp3!L79=1,1,IF(CdTrp3!L79=2,2,IF(CdTrp3!L79=3,2,IF(CdTrp3!L79=4,4,0))))</f>
        <v>0</v>
      </c>
      <c r="DP112" s="168">
        <f>IF(CdTrp3!M79=1,1,IF(CdTrp3!M79=2,2,IF(CdTrp3!M79=3,2,IF(CdTrp3!M79=4,4,0))))</f>
        <v>0</v>
      </c>
      <c r="DQ112" s="168">
        <f>IF(CdTrp3!N79=1,1,IF(CdTrp3!N79=2,2,IF(CdTrp3!N79=3,2,IF(CdTrp3!N79=4,4,0))))</f>
        <v>0</v>
      </c>
      <c r="DR112" s="168">
        <f>IF(CdTrp3!O79=1,1,IF(CdTrp3!O79=2,2,IF(CdTrp3!O79=3,2,IF(CdTrp3!O79=4,4,0))))</f>
        <v>0</v>
      </c>
      <c r="DS112" s="168">
        <f>IF(CdTrp3!P79=1,1,IF(CdTrp3!P79=2,2,IF(CdTrp3!P79=3,2,IF(CdTrp3!P79=4,4,0))))</f>
        <v>0</v>
      </c>
      <c r="DT112" s="168">
        <f>IF(CdTrp3!Q79=1,1,IF(CdTrp3!Q79=2,2,IF(CdTrp3!Q79=3,2,IF(CdTrp3!Q79=4,4,0))))</f>
        <v>0</v>
      </c>
      <c r="DU112" s="168">
        <f>IF(CdTrp3!R79=1,1,IF(CdTrp3!R79=2,2,IF(CdTrp3!R79=3,2,IF(CdTrp3!R79=4,4,0))))</f>
        <v>0</v>
      </c>
      <c r="DV112" s="168">
        <f>IF(CdTrp3!S79=1,1,IF(CdTrp3!S79=2,2,IF(CdTrp3!S79=3,2,IF(CdTrp3!S79=4,4,0))))</f>
        <v>0</v>
      </c>
      <c r="DW112" s="168">
        <f>IF(CdTrp3!T79=1,1,IF(CdTrp3!T79=2,2,IF(CdTrp3!T79=3,2,IF(CdTrp3!T79=4,4,0))))</f>
        <v>0</v>
      </c>
      <c r="DX112" s="168">
        <f>IF(CdTrp3!U79=1,1,IF(CdTrp3!U79=2,2,IF(CdTrp3!U79=3,2,IF(CdTrp3!U79=4,4,0))))</f>
        <v>0</v>
      </c>
      <c r="DY112" s="168">
        <f>IF(CdTrp3!V79=1,1,IF(CdTrp3!V79=2,2,IF(CdTrp3!V79=3,2,IF(CdTrp3!V79=4,4,0))))</f>
        <v>0</v>
      </c>
      <c r="DZ112" s="168">
        <f>IF(CdTrp3!W79=1,1,IF(CdTrp3!W79=2,2,IF(CdTrp3!W79=3,2,IF(CdTrp3!W79=4,4,0))))</f>
        <v>0</v>
      </c>
      <c r="EA112" s="168">
        <f>IF(CdTrp3!X79=1,1,IF(CdTrp3!X79=2,2,IF(CdTrp3!X79=3,2,IF(CdTrp3!X79=4,4,0))))</f>
        <v>0</v>
      </c>
      <c r="EB112" s="168">
        <f>IF(CdTrp3!Y79=1,1,IF(CdTrp3!Y79=2,2,IF(CdTrp3!Y79=3,2,IF(CdTrp3!Y79=4,4,0))))</f>
        <v>0</v>
      </c>
    </row>
    <row r="113" spans="2:132" x14ac:dyDescent="0.25">
      <c r="B113" s="14" t="s">
        <v>1180</v>
      </c>
      <c r="C113" s="168">
        <f>COUNTIF($H$94:$AE$103,2)/2</f>
        <v>0</v>
      </c>
      <c r="D113" s="168">
        <f t="shared" si="25"/>
        <v>0</v>
      </c>
      <c r="F113" s="14"/>
      <c r="G113" s="30" t="str">
        <f>CdTrp2!A84</f>
        <v>lot9</v>
      </c>
      <c r="H113" s="30">
        <f>CdTrp2!B84</f>
        <v>0</v>
      </c>
      <c r="I113" s="30">
        <f>CdTrp2!C84</f>
        <v>0</v>
      </c>
      <c r="J113" s="30">
        <f>CdTrp2!D84</f>
        <v>0</v>
      </c>
      <c r="K113" s="30">
        <f>CdTrp2!E84</f>
        <v>0</v>
      </c>
      <c r="L113" s="30">
        <f>CdTrp2!F84</f>
        <v>0</v>
      </c>
      <c r="M113" s="30">
        <f>CdTrp2!G84</f>
        <v>0</v>
      </c>
      <c r="N113" s="30">
        <f>CdTrp2!H84</f>
        <v>0</v>
      </c>
      <c r="O113" s="30">
        <f>CdTrp2!I84</f>
        <v>0</v>
      </c>
      <c r="P113" s="30">
        <f>CdTrp2!J84</f>
        <v>0</v>
      </c>
      <c r="Q113" s="30">
        <f>CdTrp2!K84</f>
        <v>0</v>
      </c>
      <c r="R113" s="30">
        <f>CdTrp2!L84</f>
        <v>0</v>
      </c>
      <c r="S113" s="30">
        <f>CdTrp2!M84</f>
        <v>0</v>
      </c>
      <c r="T113" s="30">
        <f>CdTrp2!N84</f>
        <v>0</v>
      </c>
      <c r="U113" s="30">
        <f>CdTrp2!O84</f>
        <v>0</v>
      </c>
      <c r="V113" s="30">
        <f>CdTrp2!P84</f>
        <v>0</v>
      </c>
      <c r="W113" s="30">
        <f>CdTrp2!Q84</f>
        <v>0</v>
      </c>
      <c r="X113" s="30">
        <f>CdTrp2!R84</f>
        <v>0</v>
      </c>
      <c r="Y113" s="30">
        <f>CdTrp2!S84</f>
        <v>0</v>
      </c>
      <c r="Z113" s="30">
        <f>CdTrp2!T84</f>
        <v>0</v>
      </c>
      <c r="AA113" s="30">
        <f>CdTrp2!U84</f>
        <v>0</v>
      </c>
      <c r="AB113" s="30">
        <f>CdTrp2!V84</f>
        <v>0</v>
      </c>
      <c r="AC113" s="30">
        <f>CdTrp2!W84</f>
        <v>0</v>
      </c>
      <c r="AD113" s="30">
        <f>CdTrp2!X84</f>
        <v>0</v>
      </c>
      <c r="AE113" s="30">
        <f>CdTrp2!Y84</f>
        <v>0</v>
      </c>
      <c r="AT113" s="182" t="str">
        <f t="shared" si="28"/>
        <v>génisses &lt; 1 an</v>
      </c>
      <c r="AU113" s="32"/>
      <c r="AV113" s="168">
        <f>IF(CdTrp1!B80=1,1,IF(CdTrp1!B80=2,2,IF(CdTrp1!B80=3,2,IF(CdTrp1!B80=4,4,0))))</f>
        <v>0</v>
      </c>
      <c r="AW113" s="168">
        <f>IF(CdTrp1!C80=1,1,IF(CdTrp1!C80=2,2,IF(CdTrp1!C80=3,2,IF(CdTrp1!C80=4,4,0))))</f>
        <v>0</v>
      </c>
      <c r="AX113" s="168">
        <f>IF(CdTrp1!D80=1,1,IF(CdTrp1!D80=2,2,IF(CdTrp1!D80=3,2,IF(CdTrp1!D80=4,4,0))))</f>
        <v>0</v>
      </c>
      <c r="AY113" s="168">
        <f>IF(CdTrp1!E80=1,1,IF(CdTrp1!E80=2,2,IF(CdTrp1!E80=3,2,IF(CdTrp1!E80=4,4,0))))</f>
        <v>0</v>
      </c>
      <c r="AZ113" s="168">
        <f>IF(CdTrp1!F80=1,1,IF(CdTrp1!F80=2,2,IF(CdTrp1!F80=3,2,IF(CdTrp1!F80=4,4,0))))</f>
        <v>0</v>
      </c>
      <c r="BA113" s="168">
        <f>IF(CdTrp1!G80=1,1,IF(CdTrp1!G80=2,2,IF(CdTrp1!G80=3,2,IF(CdTrp1!G80=4,4,0))))</f>
        <v>0</v>
      </c>
      <c r="BB113" s="168">
        <f>IF(CdTrp1!H80=1,1,IF(CdTrp1!H80=2,2,IF(CdTrp1!H80=3,2,IF(CdTrp1!H80=4,4,0))))</f>
        <v>0</v>
      </c>
      <c r="BC113" s="168">
        <f>IF(CdTrp1!I80=1,1,IF(CdTrp1!I80=2,2,IF(CdTrp1!I80=3,2,IF(CdTrp1!I80=4,4,0))))</f>
        <v>0</v>
      </c>
      <c r="BD113" s="168">
        <f>IF(CdTrp1!J80=1,1,IF(CdTrp1!J80=2,2,IF(CdTrp1!J80=3,2,IF(CdTrp1!J80=4,4,0))))</f>
        <v>0</v>
      </c>
      <c r="BE113" s="168">
        <f>IF(CdTrp1!K80=1,1,IF(CdTrp1!K80=2,2,IF(CdTrp1!K80=3,2,IF(CdTrp1!K80=4,4,0))))</f>
        <v>0</v>
      </c>
      <c r="BF113" s="168">
        <f>IF(CdTrp1!L80=1,1,IF(CdTrp1!L80=2,2,IF(CdTrp1!L80=3,2,IF(CdTrp1!L80=4,4,0))))</f>
        <v>0</v>
      </c>
      <c r="BG113" s="168">
        <f>IF(CdTrp1!M80=1,1,IF(CdTrp1!M80=2,2,IF(CdTrp1!M80=3,2,IF(CdTrp1!M80=4,4,0))))</f>
        <v>0</v>
      </c>
      <c r="BH113" s="168">
        <f>IF(CdTrp1!N80=1,1,IF(CdTrp1!N80=2,2,IF(CdTrp1!N80=3,2,IF(CdTrp1!N80=4,4,0))))</f>
        <v>0</v>
      </c>
      <c r="BI113" s="168">
        <f>IF(CdTrp1!O80=1,1,IF(CdTrp1!O80=2,2,IF(CdTrp1!O80=3,2,IF(CdTrp1!O80=4,4,0))))</f>
        <v>0</v>
      </c>
      <c r="BJ113" s="168">
        <f>IF(CdTrp1!P80=1,1,IF(CdTrp1!P80=2,2,IF(CdTrp1!P80=3,2,IF(CdTrp1!P80=4,4,0))))</f>
        <v>0</v>
      </c>
      <c r="BK113" s="168">
        <f>IF(CdTrp1!Q80=1,1,IF(CdTrp1!Q80=2,2,IF(CdTrp1!Q80=3,2,IF(CdTrp1!Q80=4,4,0))))</f>
        <v>0</v>
      </c>
      <c r="BL113" s="168">
        <f>IF(CdTrp1!R80=1,1,IF(CdTrp1!R80=2,2,IF(CdTrp1!R80=3,2,IF(CdTrp1!R80=4,4,0))))</f>
        <v>0</v>
      </c>
      <c r="BM113" s="168">
        <f>IF(CdTrp1!S80=1,1,IF(CdTrp1!S80=2,2,IF(CdTrp1!S80=3,2,IF(CdTrp1!S80=4,4,0))))</f>
        <v>0</v>
      </c>
      <c r="BN113" s="168">
        <f>IF(CdTrp1!T80=1,1,IF(CdTrp1!T80=2,2,IF(CdTrp1!T80=3,2,IF(CdTrp1!T80=4,4,0))))</f>
        <v>0</v>
      </c>
      <c r="BO113" s="168">
        <f>IF(CdTrp1!U80=1,1,IF(CdTrp1!U80=2,2,IF(CdTrp1!U80=3,2,IF(CdTrp1!U80=4,4,0))))</f>
        <v>0</v>
      </c>
      <c r="BP113" s="168">
        <f>IF(CdTrp1!V80=1,1,IF(CdTrp1!V80=2,2,IF(CdTrp1!V80=3,2,IF(CdTrp1!V80=4,4,0))))</f>
        <v>0</v>
      </c>
      <c r="BQ113" s="168">
        <f>IF(CdTrp1!W80=1,1,IF(CdTrp1!W80=2,2,IF(CdTrp1!W80=3,2,IF(CdTrp1!W80=4,4,0))))</f>
        <v>0</v>
      </c>
      <c r="BR113" s="168">
        <f>IF(CdTrp1!X80=1,1,IF(CdTrp1!X80=2,2,IF(CdTrp1!X80=3,2,IF(CdTrp1!X80=4,4,0))))</f>
        <v>0</v>
      </c>
      <c r="BS113" s="168">
        <f>IF(CdTrp1!Y80=1,1,IF(CdTrp1!Y80=2,2,IF(CdTrp1!Y80=3,2,IF(CdTrp1!Y80=4,4,0))))</f>
        <v>0</v>
      </c>
      <c r="BZ113" s="182" t="str">
        <f t="shared" si="26"/>
        <v>lot5</v>
      </c>
      <c r="CA113" s="32"/>
      <c r="CB113" s="168">
        <f>IF(CdTrp2!B80=1,1,IF(CdTrp2!B80=2,2,IF(CdTrp2!B80=3,2,IF(CdTrp2!B80=4,4,0))))</f>
        <v>0</v>
      </c>
      <c r="CC113" s="168">
        <f>IF(CdTrp2!C80=1,1,IF(CdTrp2!C80=2,2,IF(CdTrp2!C80=3,2,IF(CdTrp2!C80=4,4,0))))</f>
        <v>0</v>
      </c>
      <c r="CD113" s="168">
        <f>IF(CdTrp2!D80=1,1,IF(CdTrp2!D80=2,2,IF(CdTrp2!D80=3,2,IF(CdTrp2!D80=4,4,0))))</f>
        <v>0</v>
      </c>
      <c r="CE113" s="168">
        <f>IF(CdTrp2!E80=1,1,IF(CdTrp2!E80=2,2,IF(CdTrp2!E80=3,2,IF(CdTrp2!E80=4,4,0))))</f>
        <v>0</v>
      </c>
      <c r="CF113" s="168">
        <f>IF(CdTrp2!F80=1,1,IF(CdTrp2!F80=2,2,IF(CdTrp2!F80=3,2,IF(CdTrp2!F80=4,4,0))))</f>
        <v>0</v>
      </c>
      <c r="CG113" s="168">
        <f>IF(CdTrp2!G80=1,1,IF(CdTrp2!G80=2,2,IF(CdTrp2!G80=3,2,IF(CdTrp2!G80=4,4,0))))</f>
        <v>0</v>
      </c>
      <c r="CH113" s="168">
        <f>IF(CdTrp2!H80=1,1,IF(CdTrp2!H80=2,2,IF(CdTrp2!H80=3,2,IF(CdTrp2!H80=4,4,0))))</f>
        <v>0</v>
      </c>
      <c r="CI113" s="168">
        <f>IF(CdTrp2!I80=1,1,IF(CdTrp2!I80=2,2,IF(CdTrp2!I80=3,2,IF(CdTrp2!I80=4,4,0))))</f>
        <v>0</v>
      </c>
      <c r="CJ113" s="168">
        <f>IF(CdTrp2!J80=1,1,IF(CdTrp2!J80=2,2,IF(CdTrp2!J80=3,2,IF(CdTrp2!J80=4,4,0))))</f>
        <v>0</v>
      </c>
      <c r="CK113" s="168">
        <f>IF(CdTrp2!K80=1,1,IF(CdTrp2!K80=2,2,IF(CdTrp2!K80=3,2,IF(CdTrp2!K80=4,4,0))))</f>
        <v>0</v>
      </c>
      <c r="CL113" s="168">
        <f>IF(CdTrp2!L80=1,1,IF(CdTrp2!L80=2,2,IF(CdTrp2!L80=3,2,IF(CdTrp2!L80=4,4,0))))</f>
        <v>0</v>
      </c>
      <c r="CM113" s="168">
        <f>IF(CdTrp2!M80=1,1,IF(CdTrp2!M80=2,2,IF(CdTrp2!M80=3,2,IF(CdTrp2!M80=4,4,0))))</f>
        <v>0</v>
      </c>
      <c r="CN113" s="168">
        <f>IF(CdTrp2!N80=1,1,IF(CdTrp2!N80=2,2,IF(CdTrp2!N80=3,2,IF(CdTrp2!N80=4,4,0))))</f>
        <v>0</v>
      </c>
      <c r="CO113" s="168">
        <f>IF(CdTrp2!O80=1,1,IF(CdTrp2!O80=2,2,IF(CdTrp2!O80=3,2,IF(CdTrp2!O80=4,4,0))))</f>
        <v>0</v>
      </c>
      <c r="CP113" s="168">
        <f>IF(CdTrp2!P80=1,1,IF(CdTrp2!P80=2,2,IF(CdTrp2!P80=3,2,IF(CdTrp2!P80=4,4,0))))</f>
        <v>0</v>
      </c>
      <c r="CQ113" s="168">
        <f>IF(CdTrp2!Q80=1,1,IF(CdTrp2!Q80=2,2,IF(CdTrp2!Q80=3,2,IF(CdTrp2!Q80=4,4,0))))</f>
        <v>0</v>
      </c>
      <c r="CR113" s="168">
        <f>IF(CdTrp2!R80=1,1,IF(CdTrp2!R80=2,2,IF(CdTrp2!R80=3,2,IF(CdTrp2!R80=4,4,0))))</f>
        <v>0</v>
      </c>
      <c r="CS113" s="168">
        <f>IF(CdTrp2!S80=1,1,IF(CdTrp2!S80=2,2,IF(CdTrp2!S80=3,2,IF(CdTrp2!S80=4,4,0))))</f>
        <v>0</v>
      </c>
      <c r="CT113" s="168">
        <f>IF(CdTrp2!T80=1,1,IF(CdTrp2!T80=2,2,IF(CdTrp2!T80=3,2,IF(CdTrp2!T80=4,4,0))))</f>
        <v>0</v>
      </c>
      <c r="CU113" s="168">
        <f>IF(CdTrp2!U80=1,1,IF(CdTrp2!U80=2,2,IF(CdTrp2!U80=3,2,IF(CdTrp2!U80=4,4,0))))</f>
        <v>0</v>
      </c>
      <c r="CV113" s="168">
        <f>IF(CdTrp2!V80=1,1,IF(CdTrp2!V80=2,2,IF(CdTrp2!V80=3,2,IF(CdTrp2!V80=4,4,0))))</f>
        <v>0</v>
      </c>
      <c r="CW113" s="168">
        <f>IF(CdTrp2!W80=1,1,IF(CdTrp2!W80=2,2,IF(CdTrp2!W80=3,2,IF(CdTrp2!W80=4,4,0))))</f>
        <v>0</v>
      </c>
      <c r="CX113" s="168">
        <f>IF(CdTrp2!X80=1,1,IF(CdTrp2!X80=2,2,IF(CdTrp2!X80=3,2,IF(CdTrp2!X80=4,4,0))))</f>
        <v>0</v>
      </c>
      <c r="CY113" s="168">
        <f>IF(CdTrp2!Y80=1,1,IF(CdTrp2!Y80=2,2,IF(CdTrp2!Y80=3,2,IF(CdTrp2!Y80=4,4,0))))</f>
        <v>0</v>
      </c>
      <c r="DC113" s="182" t="str">
        <f t="shared" si="27"/>
        <v>lot5</v>
      </c>
      <c r="DD113" s="32"/>
      <c r="DE113" s="168">
        <f>IF(CdTrp3!B80=1,1,IF(CdTrp3!B80=2,2,IF(CdTrp3!B80=3,2,IF(CdTrp3!B80=4,4,0))))</f>
        <v>0</v>
      </c>
      <c r="DF113" s="168">
        <f>IF(CdTrp3!C80=1,1,IF(CdTrp3!C80=2,2,IF(CdTrp3!C80=3,2,IF(CdTrp3!C80=4,4,0))))</f>
        <v>0</v>
      </c>
      <c r="DG113" s="168">
        <f>IF(CdTrp3!D80=1,1,IF(CdTrp3!D80=2,2,IF(CdTrp3!D80=3,2,IF(CdTrp3!D80=4,4,0))))</f>
        <v>0</v>
      </c>
      <c r="DH113" s="168">
        <f>IF(CdTrp3!E80=1,1,IF(CdTrp3!E80=2,2,IF(CdTrp3!E80=3,2,IF(CdTrp3!E80=4,4,0))))</f>
        <v>0</v>
      </c>
      <c r="DI113" s="168">
        <f>IF(CdTrp3!F80=1,1,IF(CdTrp3!F80=2,2,IF(CdTrp3!F80=3,2,IF(CdTrp3!F80=4,4,0))))</f>
        <v>0</v>
      </c>
      <c r="DJ113" s="168">
        <f>IF(CdTrp3!G80=1,1,IF(CdTrp3!G80=2,2,IF(CdTrp3!G80=3,2,IF(CdTrp3!G80=4,4,0))))</f>
        <v>0</v>
      </c>
      <c r="DK113" s="168">
        <f>IF(CdTrp3!H80=1,1,IF(CdTrp3!H80=2,2,IF(CdTrp3!H80=3,2,IF(CdTrp3!H80=4,4,0))))</f>
        <v>0</v>
      </c>
      <c r="DL113" s="168">
        <f>IF(CdTrp3!I80=1,1,IF(CdTrp3!I80=2,2,IF(CdTrp3!I80=3,2,IF(CdTrp3!I80=4,4,0))))</f>
        <v>0</v>
      </c>
      <c r="DM113" s="168">
        <f>IF(CdTrp3!J80=1,1,IF(CdTrp3!J80=2,2,IF(CdTrp3!J80=3,2,IF(CdTrp3!J80=4,4,0))))</f>
        <v>0</v>
      </c>
      <c r="DN113" s="168">
        <f>IF(CdTrp3!K80=1,1,IF(CdTrp3!K80=2,2,IF(CdTrp3!K80=3,2,IF(CdTrp3!K80=4,4,0))))</f>
        <v>0</v>
      </c>
      <c r="DO113" s="168">
        <f>IF(CdTrp3!L80=1,1,IF(CdTrp3!L80=2,2,IF(CdTrp3!L80=3,2,IF(CdTrp3!L80=4,4,0))))</f>
        <v>0</v>
      </c>
      <c r="DP113" s="168">
        <f>IF(CdTrp3!M80=1,1,IF(CdTrp3!M80=2,2,IF(CdTrp3!M80=3,2,IF(CdTrp3!M80=4,4,0))))</f>
        <v>0</v>
      </c>
      <c r="DQ113" s="168">
        <f>IF(CdTrp3!N80=1,1,IF(CdTrp3!N80=2,2,IF(CdTrp3!N80=3,2,IF(CdTrp3!N80=4,4,0))))</f>
        <v>0</v>
      </c>
      <c r="DR113" s="168">
        <f>IF(CdTrp3!O80=1,1,IF(CdTrp3!O80=2,2,IF(CdTrp3!O80=3,2,IF(CdTrp3!O80=4,4,0))))</f>
        <v>0</v>
      </c>
      <c r="DS113" s="168">
        <f>IF(CdTrp3!P80=1,1,IF(CdTrp3!P80=2,2,IF(CdTrp3!P80=3,2,IF(CdTrp3!P80=4,4,0))))</f>
        <v>0</v>
      </c>
      <c r="DT113" s="168">
        <f>IF(CdTrp3!Q80=1,1,IF(CdTrp3!Q80=2,2,IF(CdTrp3!Q80=3,2,IF(CdTrp3!Q80=4,4,0))))</f>
        <v>0</v>
      </c>
      <c r="DU113" s="168">
        <f>IF(CdTrp3!R80=1,1,IF(CdTrp3!R80=2,2,IF(CdTrp3!R80=3,2,IF(CdTrp3!R80=4,4,0))))</f>
        <v>0</v>
      </c>
      <c r="DV113" s="168">
        <f>IF(CdTrp3!S80=1,1,IF(CdTrp3!S80=2,2,IF(CdTrp3!S80=3,2,IF(CdTrp3!S80=4,4,0))))</f>
        <v>0</v>
      </c>
      <c r="DW113" s="168">
        <f>IF(CdTrp3!T80=1,1,IF(CdTrp3!T80=2,2,IF(CdTrp3!T80=3,2,IF(CdTrp3!T80=4,4,0))))</f>
        <v>0</v>
      </c>
      <c r="DX113" s="168">
        <f>IF(CdTrp3!U80=1,1,IF(CdTrp3!U80=2,2,IF(CdTrp3!U80=3,2,IF(CdTrp3!U80=4,4,0))))</f>
        <v>0</v>
      </c>
      <c r="DY113" s="168">
        <f>IF(CdTrp3!V80=1,1,IF(CdTrp3!V80=2,2,IF(CdTrp3!V80=3,2,IF(CdTrp3!V80=4,4,0))))</f>
        <v>0</v>
      </c>
      <c r="DZ113" s="168">
        <f>IF(CdTrp3!W80=1,1,IF(CdTrp3!W80=2,2,IF(CdTrp3!W80=3,2,IF(CdTrp3!W80=4,4,0))))</f>
        <v>0</v>
      </c>
      <c r="EA113" s="168">
        <f>IF(CdTrp3!X80=1,1,IF(CdTrp3!X80=2,2,IF(CdTrp3!X80=3,2,IF(CdTrp3!X80=4,4,0))))</f>
        <v>0</v>
      </c>
      <c r="EB113" s="168">
        <f>IF(CdTrp3!Y80=1,1,IF(CdTrp3!Y80=2,2,IF(CdTrp3!Y80=3,2,IF(CdTrp3!Y80=4,4,0))))</f>
        <v>0</v>
      </c>
    </row>
    <row r="114" spans="2:132" x14ac:dyDescent="0.25">
      <c r="B114" s="14" t="s">
        <v>1181</v>
      </c>
      <c r="C114" s="168">
        <f>COUNTIF($H$105:$AE$114,2)/2</f>
        <v>0</v>
      </c>
      <c r="D114" s="168">
        <f t="shared" si="25"/>
        <v>0</v>
      </c>
      <c r="F114" s="14"/>
      <c r="G114" s="251" t="str">
        <f>CdTrp2!A85</f>
        <v>lot10</v>
      </c>
      <c r="H114" s="30">
        <f>CdTrp2!B85</f>
        <v>0</v>
      </c>
      <c r="I114" s="30">
        <f>CdTrp2!C85</f>
        <v>0</v>
      </c>
      <c r="J114" s="30">
        <f>CdTrp2!D85</f>
        <v>0</v>
      </c>
      <c r="K114" s="30">
        <f>CdTrp2!E85</f>
        <v>0</v>
      </c>
      <c r="L114" s="30">
        <f>CdTrp2!F85</f>
        <v>0</v>
      </c>
      <c r="M114" s="30">
        <f>CdTrp2!G85</f>
        <v>0</v>
      </c>
      <c r="N114" s="30">
        <f>CdTrp2!H85</f>
        <v>0</v>
      </c>
      <c r="O114" s="30">
        <f>CdTrp2!I85</f>
        <v>0</v>
      </c>
      <c r="P114" s="30">
        <f>CdTrp2!J85</f>
        <v>0</v>
      </c>
      <c r="Q114" s="30">
        <f>CdTrp2!K85</f>
        <v>0</v>
      </c>
      <c r="R114" s="30">
        <f>CdTrp2!L85</f>
        <v>0</v>
      </c>
      <c r="S114" s="30">
        <f>CdTrp2!M85</f>
        <v>0</v>
      </c>
      <c r="T114" s="30">
        <f>CdTrp2!N85</f>
        <v>0</v>
      </c>
      <c r="U114" s="30">
        <f>CdTrp2!O85</f>
        <v>0</v>
      </c>
      <c r="V114" s="30">
        <f>CdTrp2!P85</f>
        <v>0</v>
      </c>
      <c r="W114" s="30">
        <f>CdTrp2!Q85</f>
        <v>0</v>
      </c>
      <c r="X114" s="30">
        <f>CdTrp2!R85</f>
        <v>0</v>
      </c>
      <c r="Y114" s="30">
        <f>CdTrp2!S85</f>
        <v>0</v>
      </c>
      <c r="Z114" s="30">
        <f>CdTrp2!T85</f>
        <v>0</v>
      </c>
      <c r="AA114" s="30">
        <f>CdTrp2!U85</f>
        <v>0</v>
      </c>
      <c r="AB114" s="30">
        <f>CdTrp2!V85</f>
        <v>0</v>
      </c>
      <c r="AC114" s="30">
        <f>CdTrp2!W85</f>
        <v>0</v>
      </c>
      <c r="AD114" s="30">
        <f>CdTrp2!X85</f>
        <v>0</v>
      </c>
      <c r="AE114" s="30">
        <f>CdTrp2!Y85</f>
        <v>0</v>
      </c>
      <c r="AT114" s="182" t="str">
        <f t="shared" si="28"/>
        <v>lot6</v>
      </c>
      <c r="AU114" s="32"/>
      <c r="AV114" s="168">
        <f>IF(CdTrp1!B81=1,1,IF(CdTrp1!B81=2,2,IF(CdTrp1!B81=3,2,IF(CdTrp1!B81=4,4,0))))</f>
        <v>0</v>
      </c>
      <c r="AW114" s="168">
        <f>IF(CdTrp1!C81=1,1,IF(CdTrp1!C81=2,2,IF(CdTrp1!C81=3,2,IF(CdTrp1!C81=4,4,0))))</f>
        <v>0</v>
      </c>
      <c r="AX114" s="168">
        <f>IF(CdTrp1!D81=1,1,IF(CdTrp1!D81=2,2,IF(CdTrp1!D81=3,2,IF(CdTrp1!D81=4,4,0))))</f>
        <v>0</v>
      </c>
      <c r="AY114" s="168">
        <f>IF(CdTrp1!E81=1,1,IF(CdTrp1!E81=2,2,IF(CdTrp1!E81=3,2,IF(CdTrp1!E81=4,4,0))))</f>
        <v>0</v>
      </c>
      <c r="AZ114" s="168">
        <f>IF(CdTrp1!F81=1,1,IF(CdTrp1!F81=2,2,IF(CdTrp1!F81=3,2,IF(CdTrp1!F81=4,4,0))))</f>
        <v>0</v>
      </c>
      <c r="BA114" s="168">
        <f>IF(CdTrp1!G81=1,1,IF(CdTrp1!G81=2,2,IF(CdTrp1!G81=3,2,IF(CdTrp1!G81=4,4,0))))</f>
        <v>0</v>
      </c>
      <c r="BB114" s="168">
        <f>IF(CdTrp1!H81=1,1,IF(CdTrp1!H81=2,2,IF(CdTrp1!H81=3,2,IF(CdTrp1!H81=4,4,0))))</f>
        <v>0</v>
      </c>
      <c r="BC114" s="168">
        <f>IF(CdTrp1!I81=1,1,IF(CdTrp1!I81=2,2,IF(CdTrp1!I81=3,2,IF(CdTrp1!I81=4,4,0))))</f>
        <v>0</v>
      </c>
      <c r="BD114" s="168">
        <f>IF(CdTrp1!J81=1,1,IF(CdTrp1!J81=2,2,IF(CdTrp1!J81=3,2,IF(CdTrp1!J81=4,4,0))))</f>
        <v>0</v>
      </c>
      <c r="BE114" s="168">
        <f>IF(CdTrp1!K81=1,1,IF(CdTrp1!K81=2,2,IF(CdTrp1!K81=3,2,IF(CdTrp1!K81=4,4,0))))</f>
        <v>0</v>
      </c>
      <c r="BF114" s="168">
        <f>IF(CdTrp1!L81=1,1,IF(CdTrp1!L81=2,2,IF(CdTrp1!L81=3,2,IF(CdTrp1!L81=4,4,0))))</f>
        <v>0</v>
      </c>
      <c r="BG114" s="168">
        <f>IF(CdTrp1!M81=1,1,IF(CdTrp1!M81=2,2,IF(CdTrp1!M81=3,2,IF(CdTrp1!M81=4,4,0))))</f>
        <v>0</v>
      </c>
      <c r="BH114" s="168">
        <f>IF(CdTrp1!N81=1,1,IF(CdTrp1!N81=2,2,IF(CdTrp1!N81=3,2,IF(CdTrp1!N81=4,4,0))))</f>
        <v>0</v>
      </c>
      <c r="BI114" s="168">
        <f>IF(CdTrp1!O81=1,1,IF(CdTrp1!O81=2,2,IF(CdTrp1!O81=3,2,IF(CdTrp1!O81=4,4,0))))</f>
        <v>0</v>
      </c>
      <c r="BJ114" s="168">
        <f>IF(CdTrp1!P81=1,1,IF(CdTrp1!P81=2,2,IF(CdTrp1!P81=3,2,IF(CdTrp1!P81=4,4,0))))</f>
        <v>0</v>
      </c>
      <c r="BK114" s="168">
        <f>IF(CdTrp1!Q81=1,1,IF(CdTrp1!Q81=2,2,IF(CdTrp1!Q81=3,2,IF(CdTrp1!Q81=4,4,0))))</f>
        <v>0</v>
      </c>
      <c r="BL114" s="168">
        <f>IF(CdTrp1!R81=1,1,IF(CdTrp1!R81=2,2,IF(CdTrp1!R81=3,2,IF(CdTrp1!R81=4,4,0))))</f>
        <v>0</v>
      </c>
      <c r="BM114" s="168">
        <f>IF(CdTrp1!S81=1,1,IF(CdTrp1!S81=2,2,IF(CdTrp1!S81=3,2,IF(CdTrp1!S81=4,4,0))))</f>
        <v>0</v>
      </c>
      <c r="BN114" s="168">
        <f>IF(CdTrp1!T81=1,1,IF(CdTrp1!T81=2,2,IF(CdTrp1!T81=3,2,IF(CdTrp1!T81=4,4,0))))</f>
        <v>0</v>
      </c>
      <c r="BO114" s="168">
        <f>IF(CdTrp1!U81=1,1,IF(CdTrp1!U81=2,2,IF(CdTrp1!U81=3,2,IF(CdTrp1!U81=4,4,0))))</f>
        <v>0</v>
      </c>
      <c r="BP114" s="168">
        <f>IF(CdTrp1!V81=1,1,IF(CdTrp1!V81=2,2,IF(CdTrp1!V81=3,2,IF(CdTrp1!V81=4,4,0))))</f>
        <v>0</v>
      </c>
      <c r="BQ114" s="168">
        <f>IF(CdTrp1!W81=1,1,IF(CdTrp1!W81=2,2,IF(CdTrp1!W81=3,2,IF(CdTrp1!W81=4,4,0))))</f>
        <v>0</v>
      </c>
      <c r="BR114" s="168">
        <f>IF(CdTrp1!X81=1,1,IF(CdTrp1!X81=2,2,IF(CdTrp1!X81=3,2,IF(CdTrp1!X81=4,4,0))))</f>
        <v>0</v>
      </c>
      <c r="BS114" s="168">
        <f>IF(CdTrp1!Y81=1,1,IF(CdTrp1!Y81=2,2,IF(CdTrp1!Y81=3,2,IF(CdTrp1!Y81=4,4,0))))</f>
        <v>0</v>
      </c>
      <c r="BZ114" s="182" t="str">
        <f t="shared" si="26"/>
        <v>lot6</v>
      </c>
      <c r="CA114" s="32"/>
      <c r="CB114" s="168">
        <f>IF(CdTrp2!B81=1,1,IF(CdTrp2!B81=2,2,IF(CdTrp2!B81=3,2,IF(CdTrp2!B81=4,4,0))))</f>
        <v>0</v>
      </c>
      <c r="CC114" s="168">
        <f>IF(CdTrp2!C81=1,1,IF(CdTrp2!C81=2,2,IF(CdTrp2!C81=3,2,IF(CdTrp2!C81=4,4,0))))</f>
        <v>0</v>
      </c>
      <c r="CD114" s="168">
        <f>IF(CdTrp2!D81=1,1,IF(CdTrp2!D81=2,2,IF(CdTrp2!D81=3,2,IF(CdTrp2!D81=4,4,0))))</f>
        <v>0</v>
      </c>
      <c r="CE114" s="168">
        <f>IF(CdTrp2!E81=1,1,IF(CdTrp2!E81=2,2,IF(CdTrp2!E81=3,2,IF(CdTrp2!E81=4,4,0))))</f>
        <v>0</v>
      </c>
      <c r="CF114" s="168">
        <f>IF(CdTrp2!F81=1,1,IF(CdTrp2!F81=2,2,IF(CdTrp2!F81=3,2,IF(CdTrp2!F81=4,4,0))))</f>
        <v>0</v>
      </c>
      <c r="CG114" s="168">
        <f>IF(CdTrp2!G81=1,1,IF(CdTrp2!G81=2,2,IF(CdTrp2!G81=3,2,IF(CdTrp2!G81=4,4,0))))</f>
        <v>0</v>
      </c>
      <c r="CH114" s="168">
        <f>IF(CdTrp2!H81=1,1,IF(CdTrp2!H81=2,2,IF(CdTrp2!H81=3,2,IF(CdTrp2!H81=4,4,0))))</f>
        <v>0</v>
      </c>
      <c r="CI114" s="168">
        <f>IF(CdTrp2!I81=1,1,IF(CdTrp2!I81=2,2,IF(CdTrp2!I81=3,2,IF(CdTrp2!I81=4,4,0))))</f>
        <v>0</v>
      </c>
      <c r="CJ114" s="168">
        <f>IF(CdTrp2!J81=1,1,IF(CdTrp2!J81=2,2,IF(CdTrp2!J81=3,2,IF(CdTrp2!J81=4,4,0))))</f>
        <v>0</v>
      </c>
      <c r="CK114" s="168">
        <f>IF(CdTrp2!K81=1,1,IF(CdTrp2!K81=2,2,IF(CdTrp2!K81=3,2,IF(CdTrp2!K81=4,4,0))))</f>
        <v>0</v>
      </c>
      <c r="CL114" s="168">
        <f>IF(CdTrp2!L81=1,1,IF(CdTrp2!L81=2,2,IF(CdTrp2!L81=3,2,IF(CdTrp2!L81=4,4,0))))</f>
        <v>0</v>
      </c>
      <c r="CM114" s="168">
        <f>IF(CdTrp2!M81=1,1,IF(CdTrp2!M81=2,2,IF(CdTrp2!M81=3,2,IF(CdTrp2!M81=4,4,0))))</f>
        <v>0</v>
      </c>
      <c r="CN114" s="168">
        <f>IF(CdTrp2!N81=1,1,IF(CdTrp2!N81=2,2,IF(CdTrp2!N81=3,2,IF(CdTrp2!N81=4,4,0))))</f>
        <v>0</v>
      </c>
      <c r="CO114" s="168">
        <f>IF(CdTrp2!O81=1,1,IF(CdTrp2!O81=2,2,IF(CdTrp2!O81=3,2,IF(CdTrp2!O81=4,4,0))))</f>
        <v>0</v>
      </c>
      <c r="CP114" s="168">
        <f>IF(CdTrp2!P81=1,1,IF(CdTrp2!P81=2,2,IF(CdTrp2!P81=3,2,IF(CdTrp2!P81=4,4,0))))</f>
        <v>0</v>
      </c>
      <c r="CQ114" s="168">
        <f>IF(CdTrp2!Q81=1,1,IF(CdTrp2!Q81=2,2,IF(CdTrp2!Q81=3,2,IF(CdTrp2!Q81=4,4,0))))</f>
        <v>0</v>
      </c>
      <c r="CR114" s="168">
        <f>IF(CdTrp2!R81=1,1,IF(CdTrp2!R81=2,2,IF(CdTrp2!R81=3,2,IF(CdTrp2!R81=4,4,0))))</f>
        <v>0</v>
      </c>
      <c r="CS114" s="168">
        <f>IF(CdTrp2!S81=1,1,IF(CdTrp2!S81=2,2,IF(CdTrp2!S81=3,2,IF(CdTrp2!S81=4,4,0))))</f>
        <v>0</v>
      </c>
      <c r="CT114" s="168">
        <f>IF(CdTrp2!T81=1,1,IF(CdTrp2!T81=2,2,IF(CdTrp2!T81=3,2,IF(CdTrp2!T81=4,4,0))))</f>
        <v>0</v>
      </c>
      <c r="CU114" s="168">
        <f>IF(CdTrp2!U81=1,1,IF(CdTrp2!U81=2,2,IF(CdTrp2!U81=3,2,IF(CdTrp2!U81=4,4,0))))</f>
        <v>0</v>
      </c>
      <c r="CV114" s="168">
        <f>IF(CdTrp2!V81=1,1,IF(CdTrp2!V81=2,2,IF(CdTrp2!V81=3,2,IF(CdTrp2!V81=4,4,0))))</f>
        <v>0</v>
      </c>
      <c r="CW114" s="168">
        <f>IF(CdTrp2!W81=1,1,IF(CdTrp2!W81=2,2,IF(CdTrp2!W81=3,2,IF(CdTrp2!W81=4,4,0))))</f>
        <v>0</v>
      </c>
      <c r="CX114" s="168">
        <f>IF(CdTrp2!X81=1,1,IF(CdTrp2!X81=2,2,IF(CdTrp2!X81=3,2,IF(CdTrp2!X81=4,4,0))))</f>
        <v>0</v>
      </c>
      <c r="CY114" s="168">
        <f>IF(CdTrp2!Y81=1,1,IF(CdTrp2!Y81=2,2,IF(CdTrp2!Y81=3,2,IF(CdTrp2!Y81=4,4,0))))</f>
        <v>0</v>
      </c>
      <c r="DC114" s="182" t="str">
        <f t="shared" si="27"/>
        <v>lot6</v>
      </c>
      <c r="DD114" s="32"/>
      <c r="DE114" s="168">
        <f>IF(CdTrp3!B81=1,1,IF(CdTrp3!B81=2,2,IF(CdTrp3!B81=3,2,IF(CdTrp3!B81=4,4,0))))</f>
        <v>0</v>
      </c>
      <c r="DF114" s="168">
        <f>IF(CdTrp3!C81=1,1,IF(CdTrp3!C81=2,2,IF(CdTrp3!C81=3,2,IF(CdTrp3!C81=4,4,0))))</f>
        <v>0</v>
      </c>
      <c r="DG114" s="168">
        <f>IF(CdTrp3!D81=1,1,IF(CdTrp3!D81=2,2,IF(CdTrp3!D81=3,2,IF(CdTrp3!D81=4,4,0))))</f>
        <v>0</v>
      </c>
      <c r="DH114" s="168">
        <f>IF(CdTrp3!E81=1,1,IF(CdTrp3!E81=2,2,IF(CdTrp3!E81=3,2,IF(CdTrp3!E81=4,4,0))))</f>
        <v>0</v>
      </c>
      <c r="DI114" s="168">
        <f>IF(CdTrp3!F81=1,1,IF(CdTrp3!F81=2,2,IF(CdTrp3!F81=3,2,IF(CdTrp3!F81=4,4,0))))</f>
        <v>0</v>
      </c>
      <c r="DJ114" s="168">
        <f>IF(CdTrp3!G81=1,1,IF(CdTrp3!G81=2,2,IF(CdTrp3!G81=3,2,IF(CdTrp3!G81=4,4,0))))</f>
        <v>0</v>
      </c>
      <c r="DK114" s="168">
        <f>IF(CdTrp3!H81=1,1,IF(CdTrp3!H81=2,2,IF(CdTrp3!H81=3,2,IF(CdTrp3!H81=4,4,0))))</f>
        <v>0</v>
      </c>
      <c r="DL114" s="168">
        <f>IF(CdTrp3!I81=1,1,IF(CdTrp3!I81=2,2,IF(CdTrp3!I81=3,2,IF(CdTrp3!I81=4,4,0))))</f>
        <v>0</v>
      </c>
      <c r="DM114" s="168">
        <f>IF(CdTrp3!J81=1,1,IF(CdTrp3!J81=2,2,IF(CdTrp3!J81=3,2,IF(CdTrp3!J81=4,4,0))))</f>
        <v>0</v>
      </c>
      <c r="DN114" s="168">
        <f>IF(CdTrp3!K81=1,1,IF(CdTrp3!K81=2,2,IF(CdTrp3!K81=3,2,IF(CdTrp3!K81=4,4,0))))</f>
        <v>0</v>
      </c>
      <c r="DO114" s="168">
        <f>IF(CdTrp3!L81=1,1,IF(CdTrp3!L81=2,2,IF(CdTrp3!L81=3,2,IF(CdTrp3!L81=4,4,0))))</f>
        <v>0</v>
      </c>
      <c r="DP114" s="168">
        <f>IF(CdTrp3!M81=1,1,IF(CdTrp3!M81=2,2,IF(CdTrp3!M81=3,2,IF(CdTrp3!M81=4,4,0))))</f>
        <v>0</v>
      </c>
      <c r="DQ114" s="168">
        <f>IF(CdTrp3!N81=1,1,IF(CdTrp3!N81=2,2,IF(CdTrp3!N81=3,2,IF(CdTrp3!N81=4,4,0))))</f>
        <v>0</v>
      </c>
      <c r="DR114" s="168">
        <f>IF(CdTrp3!O81=1,1,IF(CdTrp3!O81=2,2,IF(CdTrp3!O81=3,2,IF(CdTrp3!O81=4,4,0))))</f>
        <v>0</v>
      </c>
      <c r="DS114" s="168">
        <f>IF(CdTrp3!P81=1,1,IF(CdTrp3!P81=2,2,IF(CdTrp3!P81=3,2,IF(CdTrp3!P81=4,4,0))))</f>
        <v>0</v>
      </c>
      <c r="DT114" s="168">
        <f>IF(CdTrp3!Q81=1,1,IF(CdTrp3!Q81=2,2,IF(CdTrp3!Q81=3,2,IF(CdTrp3!Q81=4,4,0))))</f>
        <v>0</v>
      </c>
      <c r="DU114" s="168">
        <f>IF(CdTrp3!R81=1,1,IF(CdTrp3!R81=2,2,IF(CdTrp3!R81=3,2,IF(CdTrp3!R81=4,4,0))))</f>
        <v>0</v>
      </c>
      <c r="DV114" s="168">
        <f>IF(CdTrp3!S81=1,1,IF(CdTrp3!S81=2,2,IF(CdTrp3!S81=3,2,IF(CdTrp3!S81=4,4,0))))</f>
        <v>0</v>
      </c>
      <c r="DW114" s="168">
        <f>IF(CdTrp3!T81=1,1,IF(CdTrp3!T81=2,2,IF(CdTrp3!T81=3,2,IF(CdTrp3!T81=4,4,0))))</f>
        <v>0</v>
      </c>
      <c r="DX114" s="168">
        <f>IF(CdTrp3!U81=1,1,IF(CdTrp3!U81=2,2,IF(CdTrp3!U81=3,2,IF(CdTrp3!U81=4,4,0))))</f>
        <v>0</v>
      </c>
      <c r="DY114" s="168">
        <f>IF(CdTrp3!V81=1,1,IF(CdTrp3!V81=2,2,IF(CdTrp3!V81=3,2,IF(CdTrp3!V81=4,4,0))))</f>
        <v>0</v>
      </c>
      <c r="DZ114" s="168">
        <f>IF(CdTrp3!W81=1,1,IF(CdTrp3!W81=2,2,IF(CdTrp3!W81=3,2,IF(CdTrp3!W81=4,4,0))))</f>
        <v>0</v>
      </c>
      <c r="EA114" s="168">
        <f>IF(CdTrp3!X81=1,1,IF(CdTrp3!X81=2,2,IF(CdTrp3!X81=3,2,IF(CdTrp3!X81=4,4,0))))</f>
        <v>0</v>
      </c>
      <c r="EB114" s="168">
        <f>IF(CdTrp3!Y81=1,1,IF(CdTrp3!Y81=2,2,IF(CdTrp3!Y81=3,2,IF(CdTrp3!Y81=4,4,0))))</f>
        <v>0</v>
      </c>
    </row>
    <row r="115" spans="2:132" x14ac:dyDescent="0.25">
      <c r="B115" s="14" t="s">
        <v>1182</v>
      </c>
      <c r="C115" s="168">
        <f>COUNTIF($H$116:$AE$125,2)/2</f>
        <v>0</v>
      </c>
      <c r="D115" s="168">
        <f t="shared" si="25"/>
        <v>0</v>
      </c>
      <c r="F115" s="14" t="s">
        <v>886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T115" s="182" t="str">
        <f t="shared" si="28"/>
        <v>lot7</v>
      </c>
      <c r="AU115" s="32"/>
      <c r="AV115" s="168">
        <f>IF(CdTrp1!B82=1,1,IF(CdTrp1!B82=2,2,IF(CdTrp1!B82=3,2,IF(CdTrp1!B82=4,4,0))))</f>
        <v>0</v>
      </c>
      <c r="AW115" s="168">
        <f>IF(CdTrp1!C82=1,1,IF(CdTrp1!C82=2,2,IF(CdTrp1!C82=3,2,IF(CdTrp1!C82=4,4,0))))</f>
        <v>0</v>
      </c>
      <c r="AX115" s="168">
        <f>IF(CdTrp1!D82=1,1,IF(CdTrp1!D82=2,2,IF(CdTrp1!D82=3,2,IF(CdTrp1!D82=4,4,0))))</f>
        <v>0</v>
      </c>
      <c r="AY115" s="168">
        <f>IF(CdTrp1!E82=1,1,IF(CdTrp1!E82=2,2,IF(CdTrp1!E82=3,2,IF(CdTrp1!E82=4,4,0))))</f>
        <v>0</v>
      </c>
      <c r="AZ115" s="168">
        <f>IF(CdTrp1!F82=1,1,IF(CdTrp1!F82=2,2,IF(CdTrp1!F82=3,2,IF(CdTrp1!F82=4,4,0))))</f>
        <v>0</v>
      </c>
      <c r="BA115" s="168">
        <f>IF(CdTrp1!G82=1,1,IF(CdTrp1!G82=2,2,IF(CdTrp1!G82=3,2,IF(CdTrp1!G82=4,4,0))))</f>
        <v>0</v>
      </c>
      <c r="BB115" s="168">
        <f>IF(CdTrp1!H82=1,1,IF(CdTrp1!H82=2,2,IF(CdTrp1!H82=3,2,IF(CdTrp1!H82=4,4,0))))</f>
        <v>0</v>
      </c>
      <c r="BC115" s="168">
        <f>IF(CdTrp1!I82=1,1,IF(CdTrp1!I82=2,2,IF(CdTrp1!I82=3,2,IF(CdTrp1!I82=4,4,0))))</f>
        <v>0</v>
      </c>
      <c r="BD115" s="168">
        <f>IF(CdTrp1!J82=1,1,IF(CdTrp1!J82=2,2,IF(CdTrp1!J82=3,2,IF(CdTrp1!J82=4,4,0))))</f>
        <v>0</v>
      </c>
      <c r="BE115" s="168">
        <f>IF(CdTrp1!K82=1,1,IF(CdTrp1!K82=2,2,IF(CdTrp1!K82=3,2,IF(CdTrp1!K82=4,4,0))))</f>
        <v>0</v>
      </c>
      <c r="BF115" s="168">
        <f>IF(CdTrp1!L82=1,1,IF(CdTrp1!L82=2,2,IF(CdTrp1!L82=3,2,IF(CdTrp1!L82=4,4,0))))</f>
        <v>0</v>
      </c>
      <c r="BG115" s="168">
        <f>IF(CdTrp1!M82=1,1,IF(CdTrp1!M82=2,2,IF(CdTrp1!M82=3,2,IF(CdTrp1!M82=4,4,0))))</f>
        <v>0</v>
      </c>
      <c r="BH115" s="168">
        <f>IF(CdTrp1!N82=1,1,IF(CdTrp1!N82=2,2,IF(CdTrp1!N82=3,2,IF(CdTrp1!N82=4,4,0))))</f>
        <v>0</v>
      </c>
      <c r="BI115" s="168">
        <f>IF(CdTrp1!O82=1,1,IF(CdTrp1!O82=2,2,IF(CdTrp1!O82=3,2,IF(CdTrp1!O82=4,4,0))))</f>
        <v>0</v>
      </c>
      <c r="BJ115" s="168">
        <f>IF(CdTrp1!P82=1,1,IF(CdTrp1!P82=2,2,IF(CdTrp1!P82=3,2,IF(CdTrp1!P82=4,4,0))))</f>
        <v>0</v>
      </c>
      <c r="BK115" s="168">
        <f>IF(CdTrp1!Q82=1,1,IF(CdTrp1!Q82=2,2,IF(CdTrp1!Q82=3,2,IF(CdTrp1!Q82=4,4,0))))</f>
        <v>0</v>
      </c>
      <c r="BL115" s="168">
        <f>IF(CdTrp1!R82=1,1,IF(CdTrp1!R82=2,2,IF(CdTrp1!R82=3,2,IF(CdTrp1!R82=4,4,0))))</f>
        <v>0</v>
      </c>
      <c r="BM115" s="168">
        <f>IF(CdTrp1!S82=1,1,IF(CdTrp1!S82=2,2,IF(CdTrp1!S82=3,2,IF(CdTrp1!S82=4,4,0))))</f>
        <v>0</v>
      </c>
      <c r="BN115" s="168">
        <f>IF(CdTrp1!T82=1,1,IF(CdTrp1!T82=2,2,IF(CdTrp1!T82=3,2,IF(CdTrp1!T82=4,4,0))))</f>
        <v>0</v>
      </c>
      <c r="BO115" s="168">
        <f>IF(CdTrp1!U82=1,1,IF(CdTrp1!U82=2,2,IF(CdTrp1!U82=3,2,IF(CdTrp1!U82=4,4,0))))</f>
        <v>0</v>
      </c>
      <c r="BP115" s="168">
        <f>IF(CdTrp1!V82=1,1,IF(CdTrp1!V82=2,2,IF(CdTrp1!V82=3,2,IF(CdTrp1!V82=4,4,0))))</f>
        <v>0</v>
      </c>
      <c r="BQ115" s="168">
        <f>IF(CdTrp1!W82=1,1,IF(CdTrp1!W82=2,2,IF(CdTrp1!W82=3,2,IF(CdTrp1!W82=4,4,0))))</f>
        <v>0</v>
      </c>
      <c r="BR115" s="168">
        <f>IF(CdTrp1!X82=1,1,IF(CdTrp1!X82=2,2,IF(CdTrp1!X82=3,2,IF(CdTrp1!X82=4,4,0))))</f>
        <v>0</v>
      </c>
      <c r="BS115" s="168">
        <f>IF(CdTrp1!Y82=1,1,IF(CdTrp1!Y82=2,2,IF(CdTrp1!Y82=3,2,IF(CdTrp1!Y82=4,4,0))))</f>
        <v>0</v>
      </c>
      <c r="BZ115" s="182" t="str">
        <f t="shared" si="26"/>
        <v>lot7</v>
      </c>
      <c r="CA115" s="32"/>
      <c r="CB115" s="168">
        <f>IF(CdTrp2!B82=1,1,IF(CdTrp2!B82=2,2,IF(CdTrp2!B82=3,2,IF(CdTrp2!B82=4,4,0))))</f>
        <v>0</v>
      </c>
      <c r="CC115" s="168">
        <f>IF(CdTrp2!C82=1,1,IF(CdTrp2!C82=2,2,IF(CdTrp2!C82=3,2,IF(CdTrp2!C82=4,4,0))))</f>
        <v>0</v>
      </c>
      <c r="CD115" s="168">
        <f>IF(CdTrp2!D82=1,1,IF(CdTrp2!D82=2,2,IF(CdTrp2!D82=3,2,IF(CdTrp2!D82=4,4,0))))</f>
        <v>0</v>
      </c>
      <c r="CE115" s="168">
        <f>IF(CdTrp2!E82=1,1,IF(CdTrp2!E82=2,2,IF(CdTrp2!E82=3,2,IF(CdTrp2!E82=4,4,0))))</f>
        <v>0</v>
      </c>
      <c r="CF115" s="168">
        <f>IF(CdTrp2!F82=1,1,IF(CdTrp2!F82=2,2,IF(CdTrp2!F82=3,2,IF(CdTrp2!F82=4,4,0))))</f>
        <v>0</v>
      </c>
      <c r="CG115" s="168">
        <f>IF(CdTrp2!G82=1,1,IF(CdTrp2!G82=2,2,IF(CdTrp2!G82=3,2,IF(CdTrp2!G82=4,4,0))))</f>
        <v>0</v>
      </c>
      <c r="CH115" s="168">
        <f>IF(CdTrp2!H82=1,1,IF(CdTrp2!H82=2,2,IF(CdTrp2!H82=3,2,IF(CdTrp2!H82=4,4,0))))</f>
        <v>0</v>
      </c>
      <c r="CI115" s="168">
        <f>IF(CdTrp2!I82=1,1,IF(CdTrp2!I82=2,2,IF(CdTrp2!I82=3,2,IF(CdTrp2!I82=4,4,0))))</f>
        <v>0</v>
      </c>
      <c r="CJ115" s="168">
        <f>IF(CdTrp2!J82=1,1,IF(CdTrp2!J82=2,2,IF(CdTrp2!J82=3,2,IF(CdTrp2!J82=4,4,0))))</f>
        <v>0</v>
      </c>
      <c r="CK115" s="168">
        <f>IF(CdTrp2!K82=1,1,IF(CdTrp2!K82=2,2,IF(CdTrp2!K82=3,2,IF(CdTrp2!K82=4,4,0))))</f>
        <v>0</v>
      </c>
      <c r="CL115" s="168">
        <f>IF(CdTrp2!L82=1,1,IF(CdTrp2!L82=2,2,IF(CdTrp2!L82=3,2,IF(CdTrp2!L82=4,4,0))))</f>
        <v>0</v>
      </c>
      <c r="CM115" s="168">
        <f>IF(CdTrp2!M82=1,1,IF(CdTrp2!M82=2,2,IF(CdTrp2!M82=3,2,IF(CdTrp2!M82=4,4,0))))</f>
        <v>0</v>
      </c>
      <c r="CN115" s="168">
        <f>IF(CdTrp2!N82=1,1,IF(CdTrp2!N82=2,2,IF(CdTrp2!N82=3,2,IF(CdTrp2!N82=4,4,0))))</f>
        <v>0</v>
      </c>
      <c r="CO115" s="168">
        <f>IF(CdTrp2!O82=1,1,IF(CdTrp2!O82=2,2,IF(CdTrp2!O82=3,2,IF(CdTrp2!O82=4,4,0))))</f>
        <v>0</v>
      </c>
      <c r="CP115" s="168">
        <f>IF(CdTrp2!P82=1,1,IF(CdTrp2!P82=2,2,IF(CdTrp2!P82=3,2,IF(CdTrp2!P82=4,4,0))))</f>
        <v>0</v>
      </c>
      <c r="CQ115" s="168">
        <f>IF(CdTrp2!Q82=1,1,IF(CdTrp2!Q82=2,2,IF(CdTrp2!Q82=3,2,IF(CdTrp2!Q82=4,4,0))))</f>
        <v>0</v>
      </c>
      <c r="CR115" s="168">
        <f>IF(CdTrp2!R82=1,1,IF(CdTrp2!R82=2,2,IF(CdTrp2!R82=3,2,IF(CdTrp2!R82=4,4,0))))</f>
        <v>0</v>
      </c>
      <c r="CS115" s="168">
        <f>IF(CdTrp2!S82=1,1,IF(CdTrp2!S82=2,2,IF(CdTrp2!S82=3,2,IF(CdTrp2!S82=4,4,0))))</f>
        <v>0</v>
      </c>
      <c r="CT115" s="168">
        <f>IF(CdTrp2!T82=1,1,IF(CdTrp2!T82=2,2,IF(CdTrp2!T82=3,2,IF(CdTrp2!T82=4,4,0))))</f>
        <v>0</v>
      </c>
      <c r="CU115" s="168">
        <f>IF(CdTrp2!U82=1,1,IF(CdTrp2!U82=2,2,IF(CdTrp2!U82=3,2,IF(CdTrp2!U82=4,4,0))))</f>
        <v>0</v>
      </c>
      <c r="CV115" s="168">
        <f>IF(CdTrp2!V82=1,1,IF(CdTrp2!V82=2,2,IF(CdTrp2!V82=3,2,IF(CdTrp2!V82=4,4,0))))</f>
        <v>0</v>
      </c>
      <c r="CW115" s="168">
        <f>IF(CdTrp2!W82=1,1,IF(CdTrp2!W82=2,2,IF(CdTrp2!W82=3,2,IF(CdTrp2!W82=4,4,0))))</f>
        <v>0</v>
      </c>
      <c r="CX115" s="168">
        <f>IF(CdTrp2!X82=1,1,IF(CdTrp2!X82=2,2,IF(CdTrp2!X82=3,2,IF(CdTrp2!X82=4,4,0))))</f>
        <v>0</v>
      </c>
      <c r="CY115" s="168">
        <f>IF(CdTrp2!Y82=1,1,IF(CdTrp2!Y82=2,2,IF(CdTrp2!Y82=3,2,IF(CdTrp2!Y82=4,4,0))))</f>
        <v>0</v>
      </c>
      <c r="DC115" s="182" t="str">
        <f t="shared" si="27"/>
        <v>lot7</v>
      </c>
      <c r="DD115" s="32"/>
      <c r="DE115" s="168">
        <f>IF(CdTrp3!B82=1,1,IF(CdTrp3!B82=2,2,IF(CdTrp3!B82=3,2,IF(CdTrp3!B82=4,4,0))))</f>
        <v>0</v>
      </c>
      <c r="DF115" s="168">
        <f>IF(CdTrp3!C82=1,1,IF(CdTrp3!C82=2,2,IF(CdTrp3!C82=3,2,IF(CdTrp3!C82=4,4,0))))</f>
        <v>0</v>
      </c>
      <c r="DG115" s="168">
        <f>IF(CdTrp3!D82=1,1,IF(CdTrp3!D82=2,2,IF(CdTrp3!D82=3,2,IF(CdTrp3!D82=4,4,0))))</f>
        <v>0</v>
      </c>
      <c r="DH115" s="168">
        <f>IF(CdTrp3!E82=1,1,IF(CdTrp3!E82=2,2,IF(CdTrp3!E82=3,2,IF(CdTrp3!E82=4,4,0))))</f>
        <v>0</v>
      </c>
      <c r="DI115" s="168">
        <f>IF(CdTrp3!F82=1,1,IF(CdTrp3!F82=2,2,IF(CdTrp3!F82=3,2,IF(CdTrp3!F82=4,4,0))))</f>
        <v>0</v>
      </c>
      <c r="DJ115" s="168">
        <f>IF(CdTrp3!G82=1,1,IF(CdTrp3!G82=2,2,IF(CdTrp3!G82=3,2,IF(CdTrp3!G82=4,4,0))))</f>
        <v>0</v>
      </c>
      <c r="DK115" s="168">
        <f>IF(CdTrp3!H82=1,1,IF(CdTrp3!H82=2,2,IF(CdTrp3!H82=3,2,IF(CdTrp3!H82=4,4,0))))</f>
        <v>0</v>
      </c>
      <c r="DL115" s="168">
        <f>IF(CdTrp3!I82=1,1,IF(CdTrp3!I82=2,2,IF(CdTrp3!I82=3,2,IF(CdTrp3!I82=4,4,0))))</f>
        <v>0</v>
      </c>
      <c r="DM115" s="168">
        <f>IF(CdTrp3!J82=1,1,IF(CdTrp3!J82=2,2,IF(CdTrp3!J82=3,2,IF(CdTrp3!J82=4,4,0))))</f>
        <v>0</v>
      </c>
      <c r="DN115" s="168">
        <f>IF(CdTrp3!K82=1,1,IF(CdTrp3!K82=2,2,IF(CdTrp3!K82=3,2,IF(CdTrp3!K82=4,4,0))))</f>
        <v>0</v>
      </c>
      <c r="DO115" s="168">
        <f>IF(CdTrp3!L82=1,1,IF(CdTrp3!L82=2,2,IF(CdTrp3!L82=3,2,IF(CdTrp3!L82=4,4,0))))</f>
        <v>0</v>
      </c>
      <c r="DP115" s="168">
        <f>IF(CdTrp3!M82=1,1,IF(CdTrp3!M82=2,2,IF(CdTrp3!M82=3,2,IF(CdTrp3!M82=4,4,0))))</f>
        <v>0</v>
      </c>
      <c r="DQ115" s="168">
        <f>IF(CdTrp3!N82=1,1,IF(CdTrp3!N82=2,2,IF(CdTrp3!N82=3,2,IF(CdTrp3!N82=4,4,0))))</f>
        <v>0</v>
      </c>
      <c r="DR115" s="168">
        <f>IF(CdTrp3!O82=1,1,IF(CdTrp3!O82=2,2,IF(CdTrp3!O82=3,2,IF(CdTrp3!O82=4,4,0))))</f>
        <v>0</v>
      </c>
      <c r="DS115" s="168">
        <f>IF(CdTrp3!P82=1,1,IF(CdTrp3!P82=2,2,IF(CdTrp3!P82=3,2,IF(CdTrp3!P82=4,4,0))))</f>
        <v>0</v>
      </c>
      <c r="DT115" s="168">
        <f>IF(CdTrp3!Q82=1,1,IF(CdTrp3!Q82=2,2,IF(CdTrp3!Q82=3,2,IF(CdTrp3!Q82=4,4,0))))</f>
        <v>0</v>
      </c>
      <c r="DU115" s="168">
        <f>IF(CdTrp3!R82=1,1,IF(CdTrp3!R82=2,2,IF(CdTrp3!R82=3,2,IF(CdTrp3!R82=4,4,0))))</f>
        <v>0</v>
      </c>
      <c r="DV115" s="168">
        <f>IF(CdTrp3!S82=1,1,IF(CdTrp3!S82=2,2,IF(CdTrp3!S82=3,2,IF(CdTrp3!S82=4,4,0))))</f>
        <v>0</v>
      </c>
      <c r="DW115" s="168">
        <f>IF(CdTrp3!T82=1,1,IF(CdTrp3!T82=2,2,IF(CdTrp3!T82=3,2,IF(CdTrp3!T82=4,4,0))))</f>
        <v>0</v>
      </c>
      <c r="DX115" s="168">
        <f>IF(CdTrp3!U82=1,1,IF(CdTrp3!U82=2,2,IF(CdTrp3!U82=3,2,IF(CdTrp3!U82=4,4,0))))</f>
        <v>0</v>
      </c>
      <c r="DY115" s="168">
        <f>IF(CdTrp3!V82=1,1,IF(CdTrp3!V82=2,2,IF(CdTrp3!V82=3,2,IF(CdTrp3!V82=4,4,0))))</f>
        <v>0</v>
      </c>
      <c r="DZ115" s="168">
        <f>IF(CdTrp3!W82=1,1,IF(CdTrp3!W82=2,2,IF(CdTrp3!W82=3,2,IF(CdTrp3!W82=4,4,0))))</f>
        <v>0</v>
      </c>
      <c r="EA115" s="168">
        <f>IF(CdTrp3!X82=1,1,IF(CdTrp3!X82=2,2,IF(CdTrp3!X82=3,2,IF(CdTrp3!X82=4,4,0))))</f>
        <v>0</v>
      </c>
      <c r="EB115" s="168">
        <f>IF(CdTrp3!Y82=1,1,IF(CdTrp3!Y82=2,2,IF(CdTrp3!Y82=3,2,IF(CdTrp3!Y82=4,4,0))))</f>
        <v>0</v>
      </c>
    </row>
    <row r="116" spans="2:132" x14ac:dyDescent="0.25">
      <c r="B116" s="14" t="s">
        <v>1183</v>
      </c>
      <c r="C116" s="168">
        <f>COUNTIF($H$94:$AE$103,3)/2</f>
        <v>0</v>
      </c>
      <c r="D116" s="168">
        <f t="shared" si="25"/>
        <v>0</v>
      </c>
      <c r="G116" s="30" t="str">
        <f>CdTrp3!A76</f>
        <v>lot1</v>
      </c>
      <c r="H116" s="30">
        <f>CdTrp3!B76</f>
        <v>0</v>
      </c>
      <c r="I116" s="30">
        <f>CdTrp3!C76</f>
        <v>0</v>
      </c>
      <c r="J116" s="30">
        <f>CdTrp3!D76</f>
        <v>0</v>
      </c>
      <c r="K116" s="30">
        <f>CdTrp3!E76</f>
        <v>0</v>
      </c>
      <c r="L116" s="30">
        <f>CdTrp3!F76</f>
        <v>0</v>
      </c>
      <c r="M116" s="30">
        <f>CdTrp3!G76</f>
        <v>0</v>
      </c>
      <c r="N116" s="30">
        <f>CdTrp3!H76</f>
        <v>0</v>
      </c>
      <c r="O116" s="30">
        <f>CdTrp3!I76</f>
        <v>0</v>
      </c>
      <c r="P116" s="30">
        <f>CdTrp3!J76</f>
        <v>0</v>
      </c>
      <c r="Q116" s="30">
        <f>CdTrp3!K76</f>
        <v>0</v>
      </c>
      <c r="R116" s="30">
        <f>CdTrp3!L76</f>
        <v>0</v>
      </c>
      <c r="S116" s="30">
        <f>CdTrp3!M76</f>
        <v>0</v>
      </c>
      <c r="T116" s="30">
        <f>CdTrp3!N76</f>
        <v>0</v>
      </c>
      <c r="U116" s="30">
        <f>CdTrp3!O76</f>
        <v>0</v>
      </c>
      <c r="V116" s="30">
        <f>CdTrp3!P76</f>
        <v>0</v>
      </c>
      <c r="W116" s="30">
        <f>CdTrp3!Q76</f>
        <v>0</v>
      </c>
      <c r="X116" s="30">
        <f>CdTrp3!R76</f>
        <v>0</v>
      </c>
      <c r="Y116" s="30">
        <f>CdTrp3!S76</f>
        <v>0</v>
      </c>
      <c r="Z116" s="30">
        <f>CdTrp3!T76</f>
        <v>0</v>
      </c>
      <c r="AA116" s="30">
        <f>CdTrp3!U76</f>
        <v>0</v>
      </c>
      <c r="AB116" s="30">
        <f>CdTrp3!V76</f>
        <v>0</v>
      </c>
      <c r="AC116" s="30">
        <f>CdTrp3!W76</f>
        <v>0</v>
      </c>
      <c r="AD116" s="30">
        <f>CdTrp3!X76</f>
        <v>0</v>
      </c>
      <c r="AE116" s="30">
        <f>CdTrp3!Y76</f>
        <v>0</v>
      </c>
      <c r="AT116" s="182" t="str">
        <f t="shared" si="28"/>
        <v>lot8</v>
      </c>
      <c r="AU116" s="32"/>
      <c r="AV116" s="168">
        <f>IF(CdTrp1!B83=1,1,IF(CdTrp1!B83=2,2,IF(CdTrp1!B83=3,2,IF(CdTrp1!B83=4,4,0))))</f>
        <v>0</v>
      </c>
      <c r="AW116" s="168">
        <f>IF(CdTrp1!C83=1,1,IF(CdTrp1!C83=2,2,IF(CdTrp1!C83=3,2,IF(CdTrp1!C83=4,4,0))))</f>
        <v>0</v>
      </c>
      <c r="AX116" s="168">
        <f>IF(CdTrp1!D83=1,1,IF(CdTrp1!D83=2,2,IF(CdTrp1!D83=3,2,IF(CdTrp1!D83=4,4,0))))</f>
        <v>0</v>
      </c>
      <c r="AY116" s="168">
        <f>IF(CdTrp1!E83=1,1,IF(CdTrp1!E83=2,2,IF(CdTrp1!E83=3,2,IF(CdTrp1!E83=4,4,0))))</f>
        <v>0</v>
      </c>
      <c r="AZ116" s="168">
        <f>IF(CdTrp1!F83=1,1,IF(CdTrp1!F83=2,2,IF(CdTrp1!F83=3,2,IF(CdTrp1!F83=4,4,0))))</f>
        <v>0</v>
      </c>
      <c r="BA116" s="168">
        <f>IF(CdTrp1!G83=1,1,IF(CdTrp1!G83=2,2,IF(CdTrp1!G83=3,2,IF(CdTrp1!G83=4,4,0))))</f>
        <v>0</v>
      </c>
      <c r="BB116" s="168">
        <f>IF(CdTrp1!H83=1,1,IF(CdTrp1!H83=2,2,IF(CdTrp1!H83=3,2,IF(CdTrp1!H83=4,4,0))))</f>
        <v>0</v>
      </c>
      <c r="BC116" s="168">
        <f>IF(CdTrp1!I83=1,1,IF(CdTrp1!I83=2,2,IF(CdTrp1!I83=3,2,IF(CdTrp1!I83=4,4,0))))</f>
        <v>0</v>
      </c>
      <c r="BD116" s="168">
        <f>IF(CdTrp1!J83=1,1,IF(CdTrp1!J83=2,2,IF(CdTrp1!J83=3,2,IF(CdTrp1!J83=4,4,0))))</f>
        <v>0</v>
      </c>
      <c r="BE116" s="168">
        <f>IF(CdTrp1!K83=1,1,IF(CdTrp1!K83=2,2,IF(CdTrp1!K83=3,2,IF(CdTrp1!K83=4,4,0))))</f>
        <v>0</v>
      </c>
      <c r="BF116" s="168">
        <f>IF(CdTrp1!L83=1,1,IF(CdTrp1!L83=2,2,IF(CdTrp1!L83=3,2,IF(CdTrp1!L83=4,4,0))))</f>
        <v>0</v>
      </c>
      <c r="BG116" s="168">
        <f>IF(CdTrp1!M83=1,1,IF(CdTrp1!M83=2,2,IF(CdTrp1!M83=3,2,IF(CdTrp1!M83=4,4,0))))</f>
        <v>0</v>
      </c>
      <c r="BH116" s="168">
        <f>IF(CdTrp1!N83=1,1,IF(CdTrp1!N83=2,2,IF(CdTrp1!N83=3,2,IF(CdTrp1!N83=4,4,0))))</f>
        <v>0</v>
      </c>
      <c r="BI116" s="168">
        <f>IF(CdTrp1!O83=1,1,IF(CdTrp1!O83=2,2,IF(CdTrp1!O83=3,2,IF(CdTrp1!O83=4,4,0))))</f>
        <v>0</v>
      </c>
      <c r="BJ116" s="168">
        <f>IF(CdTrp1!P83=1,1,IF(CdTrp1!P83=2,2,IF(CdTrp1!P83=3,2,IF(CdTrp1!P83=4,4,0))))</f>
        <v>0</v>
      </c>
      <c r="BK116" s="168">
        <f>IF(CdTrp1!Q83=1,1,IF(CdTrp1!Q83=2,2,IF(CdTrp1!Q83=3,2,IF(CdTrp1!Q83=4,4,0))))</f>
        <v>0</v>
      </c>
      <c r="BL116" s="168">
        <f>IF(CdTrp1!R83=1,1,IF(CdTrp1!R83=2,2,IF(CdTrp1!R83=3,2,IF(CdTrp1!R83=4,4,0))))</f>
        <v>0</v>
      </c>
      <c r="BM116" s="168">
        <f>IF(CdTrp1!S83=1,1,IF(CdTrp1!S83=2,2,IF(CdTrp1!S83=3,2,IF(CdTrp1!S83=4,4,0))))</f>
        <v>0</v>
      </c>
      <c r="BN116" s="168">
        <f>IF(CdTrp1!T83=1,1,IF(CdTrp1!T83=2,2,IF(CdTrp1!T83=3,2,IF(CdTrp1!T83=4,4,0))))</f>
        <v>0</v>
      </c>
      <c r="BO116" s="168">
        <f>IF(CdTrp1!U83=1,1,IF(CdTrp1!U83=2,2,IF(CdTrp1!U83=3,2,IF(CdTrp1!U83=4,4,0))))</f>
        <v>0</v>
      </c>
      <c r="BP116" s="168">
        <f>IF(CdTrp1!V83=1,1,IF(CdTrp1!V83=2,2,IF(CdTrp1!V83=3,2,IF(CdTrp1!V83=4,4,0))))</f>
        <v>0</v>
      </c>
      <c r="BQ116" s="168">
        <f>IF(CdTrp1!W83=1,1,IF(CdTrp1!W83=2,2,IF(CdTrp1!W83=3,2,IF(CdTrp1!W83=4,4,0))))</f>
        <v>0</v>
      </c>
      <c r="BR116" s="168">
        <f>IF(CdTrp1!X83=1,1,IF(CdTrp1!X83=2,2,IF(CdTrp1!X83=3,2,IF(CdTrp1!X83=4,4,0))))</f>
        <v>0</v>
      </c>
      <c r="BS116" s="168">
        <f>IF(CdTrp1!Y83=1,1,IF(CdTrp1!Y83=2,2,IF(CdTrp1!Y83=3,2,IF(CdTrp1!Y83=4,4,0))))</f>
        <v>0</v>
      </c>
      <c r="BZ116" s="182" t="str">
        <f t="shared" si="26"/>
        <v>lot8</v>
      </c>
      <c r="CA116" s="32"/>
      <c r="CB116" s="168">
        <f>IF(CdTrp2!B83=1,1,IF(CdTrp2!B83=2,2,IF(CdTrp2!B83=3,2,IF(CdTrp2!B83=4,4,0))))</f>
        <v>0</v>
      </c>
      <c r="CC116" s="168">
        <f>IF(CdTrp2!C83=1,1,IF(CdTrp2!C83=2,2,IF(CdTrp2!C83=3,2,IF(CdTrp2!C83=4,4,0))))</f>
        <v>0</v>
      </c>
      <c r="CD116" s="168">
        <f>IF(CdTrp2!D83=1,1,IF(CdTrp2!D83=2,2,IF(CdTrp2!D83=3,2,IF(CdTrp2!D83=4,4,0))))</f>
        <v>0</v>
      </c>
      <c r="CE116" s="168">
        <f>IF(CdTrp2!E83=1,1,IF(CdTrp2!E83=2,2,IF(CdTrp2!E83=3,2,IF(CdTrp2!E83=4,4,0))))</f>
        <v>0</v>
      </c>
      <c r="CF116" s="168">
        <f>IF(CdTrp2!F83=1,1,IF(CdTrp2!F83=2,2,IF(CdTrp2!F83=3,2,IF(CdTrp2!F83=4,4,0))))</f>
        <v>0</v>
      </c>
      <c r="CG116" s="168">
        <f>IF(CdTrp2!G83=1,1,IF(CdTrp2!G83=2,2,IF(CdTrp2!G83=3,2,IF(CdTrp2!G83=4,4,0))))</f>
        <v>0</v>
      </c>
      <c r="CH116" s="168">
        <f>IF(CdTrp2!H83=1,1,IF(CdTrp2!H83=2,2,IF(CdTrp2!H83=3,2,IF(CdTrp2!H83=4,4,0))))</f>
        <v>0</v>
      </c>
      <c r="CI116" s="168">
        <f>IF(CdTrp2!I83=1,1,IF(CdTrp2!I83=2,2,IF(CdTrp2!I83=3,2,IF(CdTrp2!I83=4,4,0))))</f>
        <v>0</v>
      </c>
      <c r="CJ116" s="168">
        <f>IF(CdTrp2!J83=1,1,IF(CdTrp2!J83=2,2,IF(CdTrp2!J83=3,2,IF(CdTrp2!J83=4,4,0))))</f>
        <v>0</v>
      </c>
      <c r="CK116" s="168">
        <f>IF(CdTrp2!K83=1,1,IF(CdTrp2!K83=2,2,IF(CdTrp2!K83=3,2,IF(CdTrp2!K83=4,4,0))))</f>
        <v>0</v>
      </c>
      <c r="CL116" s="168">
        <f>IF(CdTrp2!L83=1,1,IF(CdTrp2!L83=2,2,IF(CdTrp2!L83=3,2,IF(CdTrp2!L83=4,4,0))))</f>
        <v>0</v>
      </c>
      <c r="CM116" s="168">
        <f>IF(CdTrp2!M83=1,1,IF(CdTrp2!M83=2,2,IF(CdTrp2!M83=3,2,IF(CdTrp2!M83=4,4,0))))</f>
        <v>0</v>
      </c>
      <c r="CN116" s="168">
        <f>IF(CdTrp2!N83=1,1,IF(CdTrp2!N83=2,2,IF(CdTrp2!N83=3,2,IF(CdTrp2!N83=4,4,0))))</f>
        <v>0</v>
      </c>
      <c r="CO116" s="168">
        <f>IF(CdTrp2!O83=1,1,IF(CdTrp2!O83=2,2,IF(CdTrp2!O83=3,2,IF(CdTrp2!O83=4,4,0))))</f>
        <v>0</v>
      </c>
      <c r="CP116" s="168">
        <f>IF(CdTrp2!P83=1,1,IF(CdTrp2!P83=2,2,IF(CdTrp2!P83=3,2,IF(CdTrp2!P83=4,4,0))))</f>
        <v>0</v>
      </c>
      <c r="CQ116" s="168">
        <f>IF(CdTrp2!Q83=1,1,IF(CdTrp2!Q83=2,2,IF(CdTrp2!Q83=3,2,IF(CdTrp2!Q83=4,4,0))))</f>
        <v>0</v>
      </c>
      <c r="CR116" s="168">
        <f>IF(CdTrp2!R83=1,1,IF(CdTrp2!R83=2,2,IF(CdTrp2!R83=3,2,IF(CdTrp2!R83=4,4,0))))</f>
        <v>0</v>
      </c>
      <c r="CS116" s="168">
        <f>IF(CdTrp2!S83=1,1,IF(CdTrp2!S83=2,2,IF(CdTrp2!S83=3,2,IF(CdTrp2!S83=4,4,0))))</f>
        <v>0</v>
      </c>
      <c r="CT116" s="168">
        <f>IF(CdTrp2!T83=1,1,IF(CdTrp2!T83=2,2,IF(CdTrp2!T83=3,2,IF(CdTrp2!T83=4,4,0))))</f>
        <v>0</v>
      </c>
      <c r="CU116" s="168">
        <f>IF(CdTrp2!U83=1,1,IF(CdTrp2!U83=2,2,IF(CdTrp2!U83=3,2,IF(CdTrp2!U83=4,4,0))))</f>
        <v>0</v>
      </c>
      <c r="CV116" s="168">
        <f>IF(CdTrp2!V83=1,1,IF(CdTrp2!V83=2,2,IF(CdTrp2!V83=3,2,IF(CdTrp2!V83=4,4,0))))</f>
        <v>0</v>
      </c>
      <c r="CW116" s="168">
        <f>IF(CdTrp2!W83=1,1,IF(CdTrp2!W83=2,2,IF(CdTrp2!W83=3,2,IF(CdTrp2!W83=4,4,0))))</f>
        <v>0</v>
      </c>
      <c r="CX116" s="168">
        <f>IF(CdTrp2!X83=1,1,IF(CdTrp2!X83=2,2,IF(CdTrp2!X83=3,2,IF(CdTrp2!X83=4,4,0))))</f>
        <v>0</v>
      </c>
      <c r="CY116" s="168">
        <f>IF(CdTrp2!Y83=1,1,IF(CdTrp2!Y83=2,2,IF(CdTrp2!Y83=3,2,IF(CdTrp2!Y83=4,4,0))))</f>
        <v>0</v>
      </c>
      <c r="DC116" s="182" t="str">
        <f t="shared" si="27"/>
        <v>lot8</v>
      </c>
      <c r="DD116" s="32"/>
      <c r="DE116" s="168">
        <f>IF(CdTrp3!B83=1,1,IF(CdTrp3!B83=2,2,IF(CdTrp3!B83=3,2,IF(CdTrp3!B83=4,4,0))))</f>
        <v>0</v>
      </c>
      <c r="DF116" s="168">
        <f>IF(CdTrp3!C83=1,1,IF(CdTrp3!C83=2,2,IF(CdTrp3!C83=3,2,IF(CdTrp3!C83=4,4,0))))</f>
        <v>0</v>
      </c>
      <c r="DG116" s="168">
        <f>IF(CdTrp3!D83=1,1,IF(CdTrp3!D83=2,2,IF(CdTrp3!D83=3,2,IF(CdTrp3!D83=4,4,0))))</f>
        <v>0</v>
      </c>
      <c r="DH116" s="168">
        <f>IF(CdTrp3!E83=1,1,IF(CdTrp3!E83=2,2,IF(CdTrp3!E83=3,2,IF(CdTrp3!E83=4,4,0))))</f>
        <v>0</v>
      </c>
      <c r="DI116" s="168">
        <f>IF(CdTrp3!F83=1,1,IF(CdTrp3!F83=2,2,IF(CdTrp3!F83=3,2,IF(CdTrp3!F83=4,4,0))))</f>
        <v>0</v>
      </c>
      <c r="DJ116" s="168">
        <f>IF(CdTrp3!G83=1,1,IF(CdTrp3!G83=2,2,IF(CdTrp3!G83=3,2,IF(CdTrp3!G83=4,4,0))))</f>
        <v>0</v>
      </c>
      <c r="DK116" s="168">
        <f>IF(CdTrp3!H83=1,1,IF(CdTrp3!H83=2,2,IF(CdTrp3!H83=3,2,IF(CdTrp3!H83=4,4,0))))</f>
        <v>0</v>
      </c>
      <c r="DL116" s="168">
        <f>IF(CdTrp3!I83=1,1,IF(CdTrp3!I83=2,2,IF(CdTrp3!I83=3,2,IF(CdTrp3!I83=4,4,0))))</f>
        <v>0</v>
      </c>
      <c r="DM116" s="168">
        <f>IF(CdTrp3!J83=1,1,IF(CdTrp3!J83=2,2,IF(CdTrp3!J83=3,2,IF(CdTrp3!J83=4,4,0))))</f>
        <v>0</v>
      </c>
      <c r="DN116" s="168">
        <f>IF(CdTrp3!K83=1,1,IF(CdTrp3!K83=2,2,IF(CdTrp3!K83=3,2,IF(CdTrp3!K83=4,4,0))))</f>
        <v>0</v>
      </c>
      <c r="DO116" s="168">
        <f>IF(CdTrp3!L83=1,1,IF(CdTrp3!L83=2,2,IF(CdTrp3!L83=3,2,IF(CdTrp3!L83=4,4,0))))</f>
        <v>0</v>
      </c>
      <c r="DP116" s="168">
        <f>IF(CdTrp3!M83=1,1,IF(CdTrp3!M83=2,2,IF(CdTrp3!M83=3,2,IF(CdTrp3!M83=4,4,0))))</f>
        <v>0</v>
      </c>
      <c r="DQ116" s="168">
        <f>IF(CdTrp3!N83=1,1,IF(CdTrp3!N83=2,2,IF(CdTrp3!N83=3,2,IF(CdTrp3!N83=4,4,0))))</f>
        <v>0</v>
      </c>
      <c r="DR116" s="168">
        <f>IF(CdTrp3!O83=1,1,IF(CdTrp3!O83=2,2,IF(CdTrp3!O83=3,2,IF(CdTrp3!O83=4,4,0))))</f>
        <v>0</v>
      </c>
      <c r="DS116" s="168">
        <f>IF(CdTrp3!P83=1,1,IF(CdTrp3!P83=2,2,IF(CdTrp3!P83=3,2,IF(CdTrp3!P83=4,4,0))))</f>
        <v>0</v>
      </c>
      <c r="DT116" s="168">
        <f>IF(CdTrp3!Q83=1,1,IF(CdTrp3!Q83=2,2,IF(CdTrp3!Q83=3,2,IF(CdTrp3!Q83=4,4,0))))</f>
        <v>0</v>
      </c>
      <c r="DU116" s="168">
        <f>IF(CdTrp3!R83=1,1,IF(CdTrp3!R83=2,2,IF(CdTrp3!R83=3,2,IF(CdTrp3!R83=4,4,0))))</f>
        <v>0</v>
      </c>
      <c r="DV116" s="168">
        <f>IF(CdTrp3!S83=1,1,IF(CdTrp3!S83=2,2,IF(CdTrp3!S83=3,2,IF(CdTrp3!S83=4,4,0))))</f>
        <v>0</v>
      </c>
      <c r="DW116" s="168">
        <f>IF(CdTrp3!T83=1,1,IF(CdTrp3!T83=2,2,IF(CdTrp3!T83=3,2,IF(CdTrp3!T83=4,4,0))))</f>
        <v>0</v>
      </c>
      <c r="DX116" s="168">
        <f>IF(CdTrp3!U83=1,1,IF(CdTrp3!U83=2,2,IF(CdTrp3!U83=3,2,IF(CdTrp3!U83=4,4,0))))</f>
        <v>0</v>
      </c>
      <c r="DY116" s="168">
        <f>IF(CdTrp3!V83=1,1,IF(CdTrp3!V83=2,2,IF(CdTrp3!V83=3,2,IF(CdTrp3!V83=4,4,0))))</f>
        <v>0</v>
      </c>
      <c r="DZ116" s="168">
        <f>IF(CdTrp3!W83=1,1,IF(CdTrp3!W83=2,2,IF(CdTrp3!W83=3,2,IF(CdTrp3!W83=4,4,0))))</f>
        <v>0</v>
      </c>
      <c r="EA116" s="168">
        <f>IF(CdTrp3!X83=1,1,IF(CdTrp3!X83=2,2,IF(CdTrp3!X83=3,2,IF(CdTrp3!X83=4,4,0))))</f>
        <v>0</v>
      </c>
      <c r="EB116" s="168">
        <f>IF(CdTrp3!Y83=1,1,IF(CdTrp3!Y83=2,2,IF(CdTrp3!Y83=3,2,IF(CdTrp3!Y83=4,4,0))))</f>
        <v>0</v>
      </c>
    </row>
    <row r="117" spans="2:132" x14ac:dyDescent="0.25">
      <c r="B117" s="14" t="s">
        <v>1184</v>
      </c>
      <c r="C117" s="168">
        <f>COUNTIF($H$105:$AE$114,3)/2</f>
        <v>0</v>
      </c>
      <c r="D117" s="168">
        <f t="shared" si="25"/>
        <v>0</v>
      </c>
      <c r="G117" s="251" t="str">
        <f>CdTrp3!A77</f>
        <v>lot2</v>
      </c>
      <c r="H117" s="30">
        <f>CdTrp3!B77</f>
        <v>0</v>
      </c>
      <c r="I117" s="30">
        <f>CdTrp3!C77</f>
        <v>0</v>
      </c>
      <c r="J117" s="30">
        <f>CdTrp3!D77</f>
        <v>0</v>
      </c>
      <c r="K117" s="30">
        <f>CdTrp3!E77</f>
        <v>0</v>
      </c>
      <c r="L117" s="30">
        <f>CdTrp3!F77</f>
        <v>0</v>
      </c>
      <c r="M117" s="30">
        <f>CdTrp3!G77</f>
        <v>0</v>
      </c>
      <c r="N117" s="30">
        <f>CdTrp3!H77</f>
        <v>0</v>
      </c>
      <c r="O117" s="30">
        <f>CdTrp3!I77</f>
        <v>0</v>
      </c>
      <c r="P117" s="30">
        <f>CdTrp3!J77</f>
        <v>0</v>
      </c>
      <c r="Q117" s="30">
        <f>CdTrp3!K77</f>
        <v>0</v>
      </c>
      <c r="R117" s="30">
        <f>CdTrp3!L77</f>
        <v>0</v>
      </c>
      <c r="S117" s="30">
        <f>CdTrp3!M77</f>
        <v>0</v>
      </c>
      <c r="T117" s="30">
        <f>CdTrp3!N77</f>
        <v>0</v>
      </c>
      <c r="U117" s="30">
        <f>CdTrp3!O77</f>
        <v>0</v>
      </c>
      <c r="V117" s="30">
        <f>CdTrp3!P77</f>
        <v>0</v>
      </c>
      <c r="W117" s="30">
        <f>CdTrp3!Q77</f>
        <v>0</v>
      </c>
      <c r="X117" s="30">
        <f>CdTrp3!R77</f>
        <v>0</v>
      </c>
      <c r="Y117" s="30">
        <f>CdTrp3!S77</f>
        <v>0</v>
      </c>
      <c r="Z117" s="30">
        <f>CdTrp3!T77</f>
        <v>0</v>
      </c>
      <c r="AA117" s="30">
        <f>CdTrp3!U77</f>
        <v>0</v>
      </c>
      <c r="AB117" s="30">
        <f>CdTrp3!V77</f>
        <v>0</v>
      </c>
      <c r="AC117" s="30">
        <f>CdTrp3!W77</f>
        <v>0</v>
      </c>
      <c r="AD117" s="30">
        <f>CdTrp3!X77</f>
        <v>0</v>
      </c>
      <c r="AE117" s="30">
        <f>CdTrp3!Y77</f>
        <v>0</v>
      </c>
      <c r="AT117" s="182" t="str">
        <f t="shared" si="28"/>
        <v>lot9</v>
      </c>
      <c r="AU117" s="32"/>
      <c r="AV117" s="168">
        <f>IF(CdTrp1!B84=1,1,IF(CdTrp1!B84=2,2,IF(CdTrp1!B84=3,2,IF(CdTrp1!B84=4,4,0))))</f>
        <v>0</v>
      </c>
      <c r="AW117" s="168">
        <f>IF(CdTrp1!C84=1,1,IF(CdTrp1!C84=2,2,IF(CdTrp1!C84=3,2,IF(CdTrp1!C84=4,4,0))))</f>
        <v>0</v>
      </c>
      <c r="AX117" s="168">
        <f>IF(CdTrp1!D84=1,1,IF(CdTrp1!D84=2,2,IF(CdTrp1!D84=3,2,IF(CdTrp1!D84=4,4,0))))</f>
        <v>0</v>
      </c>
      <c r="AY117" s="168">
        <f>IF(CdTrp1!E84=1,1,IF(CdTrp1!E84=2,2,IF(CdTrp1!E84=3,2,IF(CdTrp1!E84=4,4,0))))</f>
        <v>0</v>
      </c>
      <c r="AZ117" s="168">
        <f>IF(CdTrp1!F84=1,1,IF(CdTrp1!F84=2,2,IF(CdTrp1!F84=3,2,IF(CdTrp1!F84=4,4,0))))</f>
        <v>0</v>
      </c>
      <c r="BA117" s="168">
        <f>IF(CdTrp1!G84=1,1,IF(CdTrp1!G84=2,2,IF(CdTrp1!G84=3,2,IF(CdTrp1!G84=4,4,0))))</f>
        <v>0</v>
      </c>
      <c r="BB117" s="168">
        <f>IF(CdTrp1!H84=1,1,IF(CdTrp1!H84=2,2,IF(CdTrp1!H84=3,2,IF(CdTrp1!H84=4,4,0))))</f>
        <v>0</v>
      </c>
      <c r="BC117" s="168">
        <f>IF(CdTrp1!I84=1,1,IF(CdTrp1!I84=2,2,IF(CdTrp1!I84=3,2,IF(CdTrp1!I84=4,4,0))))</f>
        <v>0</v>
      </c>
      <c r="BD117" s="168">
        <f>IF(CdTrp1!J84=1,1,IF(CdTrp1!J84=2,2,IF(CdTrp1!J84=3,2,IF(CdTrp1!J84=4,4,0))))</f>
        <v>0</v>
      </c>
      <c r="BE117" s="168">
        <f>IF(CdTrp1!K84=1,1,IF(CdTrp1!K84=2,2,IF(CdTrp1!K84=3,2,IF(CdTrp1!K84=4,4,0))))</f>
        <v>0</v>
      </c>
      <c r="BF117" s="168">
        <f>IF(CdTrp1!L84=1,1,IF(CdTrp1!L84=2,2,IF(CdTrp1!L84=3,2,IF(CdTrp1!L84=4,4,0))))</f>
        <v>0</v>
      </c>
      <c r="BG117" s="168">
        <f>IF(CdTrp1!M84=1,1,IF(CdTrp1!M84=2,2,IF(CdTrp1!M84=3,2,IF(CdTrp1!M84=4,4,0))))</f>
        <v>0</v>
      </c>
      <c r="BH117" s="168">
        <f>IF(CdTrp1!N84=1,1,IF(CdTrp1!N84=2,2,IF(CdTrp1!N84=3,2,IF(CdTrp1!N84=4,4,0))))</f>
        <v>0</v>
      </c>
      <c r="BI117" s="168">
        <f>IF(CdTrp1!O84=1,1,IF(CdTrp1!O84=2,2,IF(CdTrp1!O84=3,2,IF(CdTrp1!O84=4,4,0))))</f>
        <v>0</v>
      </c>
      <c r="BJ117" s="168">
        <f>IF(CdTrp1!P84=1,1,IF(CdTrp1!P84=2,2,IF(CdTrp1!P84=3,2,IF(CdTrp1!P84=4,4,0))))</f>
        <v>0</v>
      </c>
      <c r="BK117" s="168">
        <f>IF(CdTrp1!Q84=1,1,IF(CdTrp1!Q84=2,2,IF(CdTrp1!Q84=3,2,IF(CdTrp1!Q84=4,4,0))))</f>
        <v>0</v>
      </c>
      <c r="BL117" s="168">
        <f>IF(CdTrp1!R84=1,1,IF(CdTrp1!R84=2,2,IF(CdTrp1!R84=3,2,IF(CdTrp1!R84=4,4,0))))</f>
        <v>0</v>
      </c>
      <c r="BM117" s="168">
        <f>IF(CdTrp1!S84=1,1,IF(CdTrp1!S84=2,2,IF(CdTrp1!S84=3,2,IF(CdTrp1!S84=4,4,0))))</f>
        <v>0</v>
      </c>
      <c r="BN117" s="168">
        <f>IF(CdTrp1!T84=1,1,IF(CdTrp1!T84=2,2,IF(CdTrp1!T84=3,2,IF(CdTrp1!T84=4,4,0))))</f>
        <v>0</v>
      </c>
      <c r="BO117" s="168">
        <f>IF(CdTrp1!U84=1,1,IF(CdTrp1!U84=2,2,IF(CdTrp1!U84=3,2,IF(CdTrp1!U84=4,4,0))))</f>
        <v>0</v>
      </c>
      <c r="BP117" s="168">
        <f>IF(CdTrp1!V84=1,1,IF(CdTrp1!V84=2,2,IF(CdTrp1!V84=3,2,IF(CdTrp1!V84=4,4,0))))</f>
        <v>0</v>
      </c>
      <c r="BQ117" s="168">
        <f>IF(CdTrp1!W84=1,1,IF(CdTrp1!W84=2,2,IF(CdTrp1!W84=3,2,IF(CdTrp1!W84=4,4,0))))</f>
        <v>0</v>
      </c>
      <c r="BR117" s="168">
        <f>IF(CdTrp1!X84=1,1,IF(CdTrp1!X84=2,2,IF(CdTrp1!X84=3,2,IF(CdTrp1!X84=4,4,0))))</f>
        <v>0</v>
      </c>
      <c r="BS117" s="168">
        <f>IF(CdTrp1!Y84=1,1,IF(CdTrp1!Y84=2,2,IF(CdTrp1!Y84=3,2,IF(CdTrp1!Y84=4,4,0))))</f>
        <v>0</v>
      </c>
      <c r="BZ117" s="182" t="str">
        <f t="shared" ref="BZ117:BZ118" si="29">+BZ84</f>
        <v>lot9</v>
      </c>
      <c r="CA117" s="32"/>
      <c r="CB117" s="168">
        <f>IF(CdTrp2!B84=1,1,IF(CdTrp2!B84=2,2,IF(CdTrp2!B84=3,2,IF(CdTrp2!B84=4,4,0))))</f>
        <v>0</v>
      </c>
      <c r="CC117" s="168">
        <f>IF(CdTrp2!C84=1,1,IF(CdTrp2!C84=2,2,IF(CdTrp2!C84=3,2,IF(CdTrp2!C84=4,4,0))))</f>
        <v>0</v>
      </c>
      <c r="CD117" s="168">
        <f>IF(CdTrp2!D84=1,1,IF(CdTrp2!D84=2,2,IF(CdTrp2!D84=3,2,IF(CdTrp2!D84=4,4,0))))</f>
        <v>0</v>
      </c>
      <c r="CE117" s="168">
        <f>IF(CdTrp2!E84=1,1,IF(CdTrp2!E84=2,2,IF(CdTrp2!E84=3,2,IF(CdTrp2!E84=4,4,0))))</f>
        <v>0</v>
      </c>
      <c r="CF117" s="168">
        <f>IF(CdTrp2!F84=1,1,IF(CdTrp2!F84=2,2,IF(CdTrp2!F84=3,2,IF(CdTrp2!F84=4,4,0))))</f>
        <v>0</v>
      </c>
      <c r="CG117" s="168">
        <f>IF(CdTrp2!G84=1,1,IF(CdTrp2!G84=2,2,IF(CdTrp2!G84=3,2,IF(CdTrp2!G84=4,4,0))))</f>
        <v>0</v>
      </c>
      <c r="CH117" s="168">
        <f>IF(CdTrp2!H84=1,1,IF(CdTrp2!H84=2,2,IF(CdTrp2!H84=3,2,IF(CdTrp2!H84=4,4,0))))</f>
        <v>0</v>
      </c>
      <c r="CI117" s="168">
        <f>IF(CdTrp2!I84=1,1,IF(CdTrp2!I84=2,2,IF(CdTrp2!I84=3,2,IF(CdTrp2!I84=4,4,0))))</f>
        <v>0</v>
      </c>
      <c r="CJ117" s="168">
        <f>IF(CdTrp2!J84=1,1,IF(CdTrp2!J84=2,2,IF(CdTrp2!J84=3,2,IF(CdTrp2!J84=4,4,0))))</f>
        <v>0</v>
      </c>
      <c r="CK117" s="168">
        <f>IF(CdTrp2!K84=1,1,IF(CdTrp2!K84=2,2,IF(CdTrp2!K84=3,2,IF(CdTrp2!K84=4,4,0))))</f>
        <v>0</v>
      </c>
      <c r="CL117" s="168">
        <f>IF(CdTrp2!L84=1,1,IF(CdTrp2!L84=2,2,IF(CdTrp2!L84=3,2,IF(CdTrp2!L84=4,4,0))))</f>
        <v>0</v>
      </c>
      <c r="CM117" s="168">
        <f>IF(CdTrp2!M84=1,1,IF(CdTrp2!M84=2,2,IF(CdTrp2!M84=3,2,IF(CdTrp2!M84=4,4,0))))</f>
        <v>0</v>
      </c>
      <c r="CN117" s="168">
        <f>IF(CdTrp2!N84=1,1,IF(CdTrp2!N84=2,2,IF(CdTrp2!N84=3,2,IF(CdTrp2!N84=4,4,0))))</f>
        <v>0</v>
      </c>
      <c r="CO117" s="168">
        <f>IF(CdTrp2!O84=1,1,IF(CdTrp2!O84=2,2,IF(CdTrp2!O84=3,2,IF(CdTrp2!O84=4,4,0))))</f>
        <v>0</v>
      </c>
      <c r="CP117" s="168">
        <f>IF(CdTrp2!P84=1,1,IF(CdTrp2!P84=2,2,IF(CdTrp2!P84=3,2,IF(CdTrp2!P84=4,4,0))))</f>
        <v>0</v>
      </c>
      <c r="CQ117" s="168">
        <f>IF(CdTrp2!Q84=1,1,IF(CdTrp2!Q84=2,2,IF(CdTrp2!Q84=3,2,IF(CdTrp2!Q84=4,4,0))))</f>
        <v>0</v>
      </c>
      <c r="CR117" s="168">
        <f>IF(CdTrp2!R84=1,1,IF(CdTrp2!R84=2,2,IF(CdTrp2!R84=3,2,IF(CdTrp2!R84=4,4,0))))</f>
        <v>0</v>
      </c>
      <c r="CS117" s="168">
        <f>IF(CdTrp2!S84=1,1,IF(CdTrp2!S84=2,2,IF(CdTrp2!S84=3,2,IF(CdTrp2!S84=4,4,0))))</f>
        <v>0</v>
      </c>
      <c r="CT117" s="168">
        <f>IF(CdTrp2!T84=1,1,IF(CdTrp2!T84=2,2,IF(CdTrp2!T84=3,2,IF(CdTrp2!T84=4,4,0))))</f>
        <v>0</v>
      </c>
      <c r="CU117" s="168">
        <f>IF(CdTrp2!U84=1,1,IF(CdTrp2!U84=2,2,IF(CdTrp2!U84=3,2,IF(CdTrp2!U84=4,4,0))))</f>
        <v>0</v>
      </c>
      <c r="CV117" s="168">
        <f>IF(CdTrp2!V84=1,1,IF(CdTrp2!V84=2,2,IF(CdTrp2!V84=3,2,IF(CdTrp2!V84=4,4,0))))</f>
        <v>0</v>
      </c>
      <c r="CW117" s="168">
        <f>IF(CdTrp2!W84=1,1,IF(CdTrp2!W84=2,2,IF(CdTrp2!W84=3,2,IF(CdTrp2!W84=4,4,0))))</f>
        <v>0</v>
      </c>
      <c r="CX117" s="168">
        <f>IF(CdTrp2!X84=1,1,IF(CdTrp2!X84=2,2,IF(CdTrp2!X84=3,2,IF(CdTrp2!X84=4,4,0))))</f>
        <v>0</v>
      </c>
      <c r="CY117" s="168">
        <f>IF(CdTrp2!Y84=1,1,IF(CdTrp2!Y84=2,2,IF(CdTrp2!Y84=3,2,IF(CdTrp2!Y84=4,4,0))))</f>
        <v>0</v>
      </c>
      <c r="DC117" s="182" t="str">
        <f t="shared" ref="DC117:DC118" si="30">+DC84</f>
        <v>lot9</v>
      </c>
      <c r="DD117" s="32"/>
      <c r="DE117" s="168">
        <f>IF(CdTrp3!B84=1,1,IF(CdTrp3!B84=2,2,IF(CdTrp3!B84=3,2,IF(CdTrp3!B84=4,4,0))))</f>
        <v>0</v>
      </c>
      <c r="DF117" s="168">
        <f>IF(CdTrp3!C84=1,1,IF(CdTrp3!C84=2,2,IF(CdTrp3!C84=3,2,IF(CdTrp3!C84=4,4,0))))</f>
        <v>0</v>
      </c>
      <c r="DG117" s="168">
        <f>IF(CdTrp3!D84=1,1,IF(CdTrp3!D84=2,2,IF(CdTrp3!D84=3,2,IF(CdTrp3!D84=4,4,0))))</f>
        <v>0</v>
      </c>
      <c r="DH117" s="168">
        <f>IF(CdTrp3!E84=1,1,IF(CdTrp3!E84=2,2,IF(CdTrp3!E84=3,2,IF(CdTrp3!E84=4,4,0))))</f>
        <v>0</v>
      </c>
      <c r="DI117" s="168">
        <f>IF(CdTrp3!F84=1,1,IF(CdTrp3!F84=2,2,IF(CdTrp3!F84=3,2,IF(CdTrp3!F84=4,4,0))))</f>
        <v>0</v>
      </c>
      <c r="DJ117" s="168">
        <f>IF(CdTrp3!G84=1,1,IF(CdTrp3!G84=2,2,IF(CdTrp3!G84=3,2,IF(CdTrp3!G84=4,4,0))))</f>
        <v>0</v>
      </c>
      <c r="DK117" s="168">
        <f>IF(CdTrp3!H84=1,1,IF(CdTrp3!H84=2,2,IF(CdTrp3!H84=3,2,IF(CdTrp3!H84=4,4,0))))</f>
        <v>0</v>
      </c>
      <c r="DL117" s="168">
        <f>IF(CdTrp3!I84=1,1,IF(CdTrp3!I84=2,2,IF(CdTrp3!I84=3,2,IF(CdTrp3!I84=4,4,0))))</f>
        <v>0</v>
      </c>
      <c r="DM117" s="168">
        <f>IF(CdTrp3!J84=1,1,IF(CdTrp3!J84=2,2,IF(CdTrp3!J84=3,2,IF(CdTrp3!J84=4,4,0))))</f>
        <v>0</v>
      </c>
      <c r="DN117" s="168">
        <f>IF(CdTrp3!K84=1,1,IF(CdTrp3!K84=2,2,IF(CdTrp3!K84=3,2,IF(CdTrp3!K84=4,4,0))))</f>
        <v>0</v>
      </c>
      <c r="DO117" s="168">
        <f>IF(CdTrp3!L84=1,1,IF(CdTrp3!L84=2,2,IF(CdTrp3!L84=3,2,IF(CdTrp3!L84=4,4,0))))</f>
        <v>0</v>
      </c>
      <c r="DP117" s="168">
        <f>IF(CdTrp3!M84=1,1,IF(CdTrp3!M84=2,2,IF(CdTrp3!M84=3,2,IF(CdTrp3!M84=4,4,0))))</f>
        <v>0</v>
      </c>
      <c r="DQ117" s="168">
        <f>IF(CdTrp3!N84=1,1,IF(CdTrp3!N84=2,2,IF(CdTrp3!N84=3,2,IF(CdTrp3!N84=4,4,0))))</f>
        <v>0</v>
      </c>
      <c r="DR117" s="168">
        <f>IF(CdTrp3!O84=1,1,IF(CdTrp3!O84=2,2,IF(CdTrp3!O84=3,2,IF(CdTrp3!O84=4,4,0))))</f>
        <v>0</v>
      </c>
      <c r="DS117" s="168">
        <f>IF(CdTrp3!P84=1,1,IF(CdTrp3!P84=2,2,IF(CdTrp3!P84=3,2,IF(CdTrp3!P84=4,4,0))))</f>
        <v>0</v>
      </c>
      <c r="DT117" s="168">
        <f>IF(CdTrp3!Q84=1,1,IF(CdTrp3!Q84=2,2,IF(CdTrp3!Q84=3,2,IF(CdTrp3!Q84=4,4,0))))</f>
        <v>0</v>
      </c>
      <c r="DU117" s="168">
        <f>IF(CdTrp3!R84=1,1,IF(CdTrp3!R84=2,2,IF(CdTrp3!R84=3,2,IF(CdTrp3!R84=4,4,0))))</f>
        <v>0</v>
      </c>
      <c r="DV117" s="168">
        <f>IF(CdTrp3!S84=1,1,IF(CdTrp3!S84=2,2,IF(CdTrp3!S84=3,2,IF(CdTrp3!S84=4,4,0))))</f>
        <v>0</v>
      </c>
      <c r="DW117" s="168">
        <f>IF(CdTrp3!T84=1,1,IF(CdTrp3!T84=2,2,IF(CdTrp3!T84=3,2,IF(CdTrp3!T84=4,4,0))))</f>
        <v>0</v>
      </c>
      <c r="DX117" s="168">
        <f>IF(CdTrp3!U84=1,1,IF(CdTrp3!U84=2,2,IF(CdTrp3!U84=3,2,IF(CdTrp3!U84=4,4,0))))</f>
        <v>0</v>
      </c>
      <c r="DY117" s="168">
        <f>IF(CdTrp3!V84=1,1,IF(CdTrp3!V84=2,2,IF(CdTrp3!V84=3,2,IF(CdTrp3!V84=4,4,0))))</f>
        <v>0</v>
      </c>
      <c r="DZ117" s="168">
        <f>IF(CdTrp3!W84=1,1,IF(CdTrp3!W84=2,2,IF(CdTrp3!W84=3,2,IF(CdTrp3!W84=4,4,0))))</f>
        <v>0</v>
      </c>
      <c r="EA117" s="168">
        <f>IF(CdTrp3!X84=1,1,IF(CdTrp3!X84=2,2,IF(CdTrp3!X84=3,2,IF(CdTrp3!X84=4,4,0))))</f>
        <v>0</v>
      </c>
      <c r="EB117" s="168">
        <f>IF(CdTrp3!Y84=1,1,IF(CdTrp3!Y84=2,2,IF(CdTrp3!Y84=3,2,IF(CdTrp3!Y84=4,4,0))))</f>
        <v>0</v>
      </c>
    </row>
    <row r="118" spans="2:132" x14ac:dyDescent="0.25">
      <c r="B118" s="14" t="s">
        <v>1185</v>
      </c>
      <c r="C118" s="168">
        <f>COUNTIF($H$116:$AE$125,3)/2</f>
        <v>0</v>
      </c>
      <c r="D118" s="168">
        <f t="shared" si="25"/>
        <v>0</v>
      </c>
      <c r="G118" s="251" t="str">
        <f>CdTrp3!A78</f>
        <v>lot3</v>
      </c>
      <c r="H118" s="30">
        <f>CdTrp3!B78</f>
        <v>0</v>
      </c>
      <c r="I118" s="30">
        <f>CdTrp3!C78</f>
        <v>0</v>
      </c>
      <c r="J118" s="30">
        <f>CdTrp3!D78</f>
        <v>0</v>
      </c>
      <c r="K118" s="30">
        <f>CdTrp3!E78</f>
        <v>0</v>
      </c>
      <c r="L118" s="30">
        <f>CdTrp3!F78</f>
        <v>0</v>
      </c>
      <c r="M118" s="30">
        <f>CdTrp3!G78</f>
        <v>0</v>
      </c>
      <c r="N118" s="30">
        <f>CdTrp3!H78</f>
        <v>0</v>
      </c>
      <c r="O118" s="30">
        <f>CdTrp3!I78</f>
        <v>0</v>
      </c>
      <c r="P118" s="30">
        <f>CdTrp3!J78</f>
        <v>0</v>
      </c>
      <c r="Q118" s="30">
        <f>CdTrp3!K78</f>
        <v>0</v>
      </c>
      <c r="R118" s="30">
        <f>CdTrp3!L78</f>
        <v>0</v>
      </c>
      <c r="S118" s="30">
        <f>CdTrp3!M78</f>
        <v>0</v>
      </c>
      <c r="T118" s="30">
        <f>CdTrp3!N78</f>
        <v>0</v>
      </c>
      <c r="U118" s="30">
        <f>CdTrp3!O78</f>
        <v>0</v>
      </c>
      <c r="V118" s="30">
        <f>CdTrp3!P78</f>
        <v>0</v>
      </c>
      <c r="W118" s="30">
        <f>CdTrp3!Q78</f>
        <v>0</v>
      </c>
      <c r="X118" s="30">
        <f>CdTrp3!R78</f>
        <v>0</v>
      </c>
      <c r="Y118" s="30">
        <f>CdTrp3!S78</f>
        <v>0</v>
      </c>
      <c r="Z118" s="30">
        <f>CdTrp3!T78</f>
        <v>0</v>
      </c>
      <c r="AA118" s="30">
        <f>CdTrp3!U78</f>
        <v>0</v>
      </c>
      <c r="AB118" s="30">
        <f>CdTrp3!V78</f>
        <v>0</v>
      </c>
      <c r="AC118" s="30">
        <f>CdTrp3!W78</f>
        <v>0</v>
      </c>
      <c r="AD118" s="30">
        <f>CdTrp3!X78</f>
        <v>0</v>
      </c>
      <c r="AE118" s="30">
        <f>CdTrp3!Y78</f>
        <v>0</v>
      </c>
      <c r="AT118" s="182" t="str">
        <f t="shared" si="28"/>
        <v>lot10</v>
      </c>
      <c r="AU118" s="32"/>
      <c r="AV118" s="168">
        <f>IF(CdTrp1!B85=1,1,IF(CdTrp1!B85=2,2,IF(CdTrp1!B85=3,2,IF(CdTrp1!B85=4,4,0))))</f>
        <v>0</v>
      </c>
      <c r="AW118" s="168">
        <f>IF(CdTrp1!C85=1,1,IF(CdTrp1!C85=2,2,IF(CdTrp1!C85=3,2,IF(CdTrp1!C85=4,4,0))))</f>
        <v>0</v>
      </c>
      <c r="AX118" s="168">
        <f>IF(CdTrp1!D85=1,1,IF(CdTrp1!D85=2,2,IF(CdTrp1!D85=3,2,IF(CdTrp1!D85=4,4,0))))</f>
        <v>0</v>
      </c>
      <c r="AY118" s="168">
        <f>IF(CdTrp1!E85=1,1,IF(CdTrp1!E85=2,2,IF(CdTrp1!E85=3,2,IF(CdTrp1!E85=4,4,0))))</f>
        <v>0</v>
      </c>
      <c r="AZ118" s="168">
        <f>IF(CdTrp1!F85=1,1,IF(CdTrp1!F85=2,2,IF(CdTrp1!F85=3,2,IF(CdTrp1!F85=4,4,0))))</f>
        <v>0</v>
      </c>
      <c r="BA118" s="168">
        <f>IF(CdTrp1!G85=1,1,IF(CdTrp1!G85=2,2,IF(CdTrp1!G85=3,2,IF(CdTrp1!G85=4,4,0))))</f>
        <v>0</v>
      </c>
      <c r="BB118" s="168">
        <f>IF(CdTrp1!H85=1,1,IF(CdTrp1!H85=2,2,IF(CdTrp1!H85=3,2,IF(CdTrp1!H85=4,4,0))))</f>
        <v>0</v>
      </c>
      <c r="BC118" s="168">
        <f>IF(CdTrp1!I85=1,1,IF(CdTrp1!I85=2,2,IF(CdTrp1!I85=3,2,IF(CdTrp1!I85=4,4,0))))</f>
        <v>0</v>
      </c>
      <c r="BD118" s="168">
        <f>IF(CdTrp1!J85=1,1,IF(CdTrp1!J85=2,2,IF(CdTrp1!J85=3,2,IF(CdTrp1!J85=4,4,0))))</f>
        <v>0</v>
      </c>
      <c r="BE118" s="168">
        <f>IF(CdTrp1!K85=1,1,IF(CdTrp1!K85=2,2,IF(CdTrp1!K85=3,2,IF(CdTrp1!K85=4,4,0))))</f>
        <v>0</v>
      </c>
      <c r="BF118" s="168">
        <f>IF(CdTrp1!L85=1,1,IF(CdTrp1!L85=2,2,IF(CdTrp1!L85=3,2,IF(CdTrp1!L85=4,4,0))))</f>
        <v>0</v>
      </c>
      <c r="BG118" s="168">
        <f>IF(CdTrp1!M85=1,1,IF(CdTrp1!M85=2,2,IF(CdTrp1!M85=3,2,IF(CdTrp1!M85=4,4,0))))</f>
        <v>0</v>
      </c>
      <c r="BH118" s="168">
        <f>IF(CdTrp1!N85=1,1,IF(CdTrp1!N85=2,2,IF(CdTrp1!N85=3,2,IF(CdTrp1!N85=4,4,0))))</f>
        <v>0</v>
      </c>
      <c r="BI118" s="168">
        <f>IF(CdTrp1!O85=1,1,IF(CdTrp1!O85=2,2,IF(CdTrp1!O85=3,2,IF(CdTrp1!O85=4,4,0))))</f>
        <v>0</v>
      </c>
      <c r="BJ118" s="168">
        <f>IF(CdTrp1!P85=1,1,IF(CdTrp1!P85=2,2,IF(CdTrp1!P85=3,2,IF(CdTrp1!P85=4,4,0))))</f>
        <v>0</v>
      </c>
      <c r="BK118" s="168">
        <f>IF(CdTrp1!Q85=1,1,IF(CdTrp1!Q85=2,2,IF(CdTrp1!Q85=3,2,IF(CdTrp1!Q85=4,4,0))))</f>
        <v>0</v>
      </c>
      <c r="BL118" s="168">
        <f>IF(CdTrp1!R85=1,1,IF(CdTrp1!R85=2,2,IF(CdTrp1!R85=3,2,IF(CdTrp1!R85=4,4,0))))</f>
        <v>0</v>
      </c>
      <c r="BM118" s="168">
        <f>IF(CdTrp1!S85=1,1,IF(CdTrp1!S85=2,2,IF(CdTrp1!S85=3,2,IF(CdTrp1!S85=4,4,0))))</f>
        <v>0</v>
      </c>
      <c r="BN118" s="168">
        <f>IF(CdTrp1!T85=1,1,IF(CdTrp1!T85=2,2,IF(CdTrp1!T85=3,2,IF(CdTrp1!T85=4,4,0))))</f>
        <v>0</v>
      </c>
      <c r="BO118" s="168">
        <f>IF(CdTrp1!U85=1,1,IF(CdTrp1!U85=2,2,IF(CdTrp1!U85=3,2,IF(CdTrp1!U85=4,4,0))))</f>
        <v>0</v>
      </c>
      <c r="BP118" s="168">
        <f>IF(CdTrp1!V85=1,1,IF(CdTrp1!V85=2,2,IF(CdTrp1!V85=3,2,IF(CdTrp1!V85=4,4,0))))</f>
        <v>0</v>
      </c>
      <c r="BQ118" s="168">
        <f>IF(CdTrp1!W85=1,1,IF(CdTrp1!W85=2,2,IF(CdTrp1!W85=3,2,IF(CdTrp1!W85=4,4,0))))</f>
        <v>0</v>
      </c>
      <c r="BR118" s="168">
        <f>IF(CdTrp1!X85=1,1,IF(CdTrp1!X85=2,2,IF(CdTrp1!X85=3,2,IF(CdTrp1!X85=4,4,0))))</f>
        <v>0</v>
      </c>
      <c r="BS118" s="168">
        <f>IF(CdTrp1!Y85=1,1,IF(CdTrp1!Y85=2,2,IF(CdTrp1!Y85=3,2,IF(CdTrp1!Y85=4,4,0))))</f>
        <v>0</v>
      </c>
      <c r="BZ118" s="182" t="str">
        <f t="shared" si="29"/>
        <v>lot10</v>
      </c>
      <c r="CA118" s="32"/>
      <c r="CB118" s="168">
        <f>IF(CdTrp2!B85=1,1,IF(CdTrp2!B85=2,2,IF(CdTrp2!B85=3,2,IF(CdTrp2!B85=4,4,0))))</f>
        <v>0</v>
      </c>
      <c r="CC118" s="168">
        <f>IF(CdTrp2!C85=1,1,IF(CdTrp2!C85=2,2,IF(CdTrp2!C85=3,2,IF(CdTrp2!C85=4,4,0))))</f>
        <v>0</v>
      </c>
      <c r="CD118" s="168">
        <f>IF(CdTrp2!D85=1,1,IF(CdTrp2!D85=2,2,IF(CdTrp2!D85=3,2,IF(CdTrp2!D85=4,4,0))))</f>
        <v>0</v>
      </c>
      <c r="CE118" s="168">
        <f>IF(CdTrp2!E85=1,1,IF(CdTrp2!E85=2,2,IF(CdTrp2!E85=3,2,IF(CdTrp2!E85=4,4,0))))</f>
        <v>0</v>
      </c>
      <c r="CF118" s="168">
        <f>IF(CdTrp2!F85=1,1,IF(CdTrp2!F85=2,2,IF(CdTrp2!F85=3,2,IF(CdTrp2!F85=4,4,0))))</f>
        <v>0</v>
      </c>
      <c r="CG118" s="168">
        <f>IF(CdTrp2!G85=1,1,IF(CdTrp2!G85=2,2,IF(CdTrp2!G85=3,2,IF(CdTrp2!G85=4,4,0))))</f>
        <v>0</v>
      </c>
      <c r="CH118" s="168">
        <f>IF(CdTrp2!H85=1,1,IF(CdTrp2!H85=2,2,IF(CdTrp2!H85=3,2,IF(CdTrp2!H85=4,4,0))))</f>
        <v>0</v>
      </c>
      <c r="CI118" s="168">
        <f>IF(CdTrp2!I85=1,1,IF(CdTrp2!I85=2,2,IF(CdTrp2!I85=3,2,IF(CdTrp2!I85=4,4,0))))</f>
        <v>0</v>
      </c>
      <c r="CJ118" s="168">
        <f>IF(CdTrp2!J85=1,1,IF(CdTrp2!J85=2,2,IF(CdTrp2!J85=3,2,IF(CdTrp2!J85=4,4,0))))</f>
        <v>0</v>
      </c>
      <c r="CK118" s="168">
        <f>IF(CdTrp2!K85=1,1,IF(CdTrp2!K85=2,2,IF(CdTrp2!K85=3,2,IF(CdTrp2!K85=4,4,0))))</f>
        <v>0</v>
      </c>
      <c r="CL118" s="168">
        <f>IF(CdTrp2!L85=1,1,IF(CdTrp2!L85=2,2,IF(CdTrp2!L85=3,2,IF(CdTrp2!L85=4,4,0))))</f>
        <v>0</v>
      </c>
      <c r="CM118" s="168">
        <f>IF(CdTrp2!M85=1,1,IF(CdTrp2!M85=2,2,IF(CdTrp2!M85=3,2,IF(CdTrp2!M85=4,4,0))))</f>
        <v>0</v>
      </c>
      <c r="CN118" s="168">
        <f>IF(CdTrp2!N85=1,1,IF(CdTrp2!N85=2,2,IF(CdTrp2!N85=3,2,IF(CdTrp2!N85=4,4,0))))</f>
        <v>0</v>
      </c>
      <c r="CO118" s="168">
        <f>IF(CdTrp2!O85=1,1,IF(CdTrp2!O85=2,2,IF(CdTrp2!O85=3,2,IF(CdTrp2!O85=4,4,0))))</f>
        <v>0</v>
      </c>
      <c r="CP118" s="168">
        <f>IF(CdTrp2!P85=1,1,IF(CdTrp2!P85=2,2,IF(CdTrp2!P85=3,2,IF(CdTrp2!P85=4,4,0))))</f>
        <v>0</v>
      </c>
      <c r="CQ118" s="168">
        <f>IF(CdTrp2!Q85=1,1,IF(CdTrp2!Q85=2,2,IF(CdTrp2!Q85=3,2,IF(CdTrp2!Q85=4,4,0))))</f>
        <v>0</v>
      </c>
      <c r="CR118" s="168">
        <f>IF(CdTrp2!R85=1,1,IF(CdTrp2!R85=2,2,IF(CdTrp2!R85=3,2,IF(CdTrp2!R85=4,4,0))))</f>
        <v>0</v>
      </c>
      <c r="CS118" s="168">
        <f>IF(CdTrp2!S85=1,1,IF(CdTrp2!S85=2,2,IF(CdTrp2!S85=3,2,IF(CdTrp2!S85=4,4,0))))</f>
        <v>0</v>
      </c>
      <c r="CT118" s="168">
        <f>IF(CdTrp2!T85=1,1,IF(CdTrp2!T85=2,2,IF(CdTrp2!T85=3,2,IF(CdTrp2!T85=4,4,0))))</f>
        <v>0</v>
      </c>
      <c r="CU118" s="168">
        <f>IF(CdTrp2!U85=1,1,IF(CdTrp2!U85=2,2,IF(CdTrp2!U85=3,2,IF(CdTrp2!U85=4,4,0))))</f>
        <v>0</v>
      </c>
      <c r="CV118" s="168">
        <f>IF(CdTrp2!V85=1,1,IF(CdTrp2!V85=2,2,IF(CdTrp2!V85=3,2,IF(CdTrp2!V85=4,4,0))))</f>
        <v>0</v>
      </c>
      <c r="CW118" s="168">
        <f>IF(CdTrp2!W85=1,1,IF(CdTrp2!W85=2,2,IF(CdTrp2!W85=3,2,IF(CdTrp2!W85=4,4,0))))</f>
        <v>0</v>
      </c>
      <c r="CX118" s="168">
        <f>IF(CdTrp2!X85=1,1,IF(CdTrp2!X85=2,2,IF(CdTrp2!X85=3,2,IF(CdTrp2!X85=4,4,0))))</f>
        <v>0</v>
      </c>
      <c r="CY118" s="168">
        <f>IF(CdTrp2!Y85=1,1,IF(CdTrp2!Y85=2,2,IF(CdTrp2!Y85=3,2,IF(CdTrp2!Y85=4,4,0))))</f>
        <v>0</v>
      </c>
      <c r="DC118" s="182" t="str">
        <f t="shared" si="30"/>
        <v>lot10</v>
      </c>
      <c r="DD118" s="32"/>
      <c r="DE118" s="168">
        <f>IF(CdTrp3!B85=1,1,IF(CdTrp3!B85=2,2,IF(CdTrp3!B85=3,2,IF(CdTrp3!B85=4,4,0))))</f>
        <v>0</v>
      </c>
      <c r="DF118" s="168">
        <f>IF(CdTrp3!C85=1,1,IF(CdTrp3!C85=2,2,IF(CdTrp3!C85=3,2,IF(CdTrp3!C85=4,4,0))))</f>
        <v>0</v>
      </c>
      <c r="DG118" s="168">
        <f>IF(CdTrp3!D85=1,1,IF(CdTrp3!D85=2,2,IF(CdTrp3!D85=3,2,IF(CdTrp3!D85=4,4,0))))</f>
        <v>0</v>
      </c>
      <c r="DH118" s="168">
        <f>IF(CdTrp3!E85=1,1,IF(CdTrp3!E85=2,2,IF(CdTrp3!E85=3,2,IF(CdTrp3!E85=4,4,0))))</f>
        <v>0</v>
      </c>
      <c r="DI118" s="168">
        <f>IF(CdTrp3!F85=1,1,IF(CdTrp3!F85=2,2,IF(CdTrp3!F85=3,2,IF(CdTrp3!F85=4,4,0))))</f>
        <v>0</v>
      </c>
      <c r="DJ118" s="168">
        <f>IF(CdTrp3!G85=1,1,IF(CdTrp3!G85=2,2,IF(CdTrp3!G85=3,2,IF(CdTrp3!G85=4,4,0))))</f>
        <v>0</v>
      </c>
      <c r="DK118" s="168">
        <f>IF(CdTrp3!H85=1,1,IF(CdTrp3!H85=2,2,IF(CdTrp3!H85=3,2,IF(CdTrp3!H85=4,4,0))))</f>
        <v>0</v>
      </c>
      <c r="DL118" s="168">
        <f>IF(CdTrp3!I85=1,1,IF(CdTrp3!I85=2,2,IF(CdTrp3!I85=3,2,IF(CdTrp3!I85=4,4,0))))</f>
        <v>0</v>
      </c>
      <c r="DM118" s="168">
        <f>IF(CdTrp3!J85=1,1,IF(CdTrp3!J85=2,2,IF(CdTrp3!J85=3,2,IF(CdTrp3!J85=4,4,0))))</f>
        <v>0</v>
      </c>
      <c r="DN118" s="168">
        <f>IF(CdTrp3!K85=1,1,IF(CdTrp3!K85=2,2,IF(CdTrp3!K85=3,2,IF(CdTrp3!K85=4,4,0))))</f>
        <v>0</v>
      </c>
      <c r="DO118" s="168">
        <f>IF(CdTrp3!L85=1,1,IF(CdTrp3!L85=2,2,IF(CdTrp3!L85=3,2,IF(CdTrp3!L85=4,4,0))))</f>
        <v>0</v>
      </c>
      <c r="DP118" s="168">
        <f>IF(CdTrp3!M85=1,1,IF(CdTrp3!M85=2,2,IF(CdTrp3!M85=3,2,IF(CdTrp3!M85=4,4,0))))</f>
        <v>0</v>
      </c>
      <c r="DQ118" s="168">
        <f>IF(CdTrp3!N85=1,1,IF(CdTrp3!N85=2,2,IF(CdTrp3!N85=3,2,IF(CdTrp3!N85=4,4,0))))</f>
        <v>0</v>
      </c>
      <c r="DR118" s="168">
        <f>IF(CdTrp3!O85=1,1,IF(CdTrp3!O85=2,2,IF(CdTrp3!O85=3,2,IF(CdTrp3!O85=4,4,0))))</f>
        <v>0</v>
      </c>
      <c r="DS118" s="168">
        <f>IF(CdTrp3!P85=1,1,IF(CdTrp3!P85=2,2,IF(CdTrp3!P85=3,2,IF(CdTrp3!P85=4,4,0))))</f>
        <v>0</v>
      </c>
      <c r="DT118" s="168">
        <f>IF(CdTrp3!Q85=1,1,IF(CdTrp3!Q85=2,2,IF(CdTrp3!Q85=3,2,IF(CdTrp3!Q85=4,4,0))))</f>
        <v>0</v>
      </c>
      <c r="DU118" s="168">
        <f>IF(CdTrp3!R85=1,1,IF(CdTrp3!R85=2,2,IF(CdTrp3!R85=3,2,IF(CdTrp3!R85=4,4,0))))</f>
        <v>0</v>
      </c>
      <c r="DV118" s="168">
        <f>IF(CdTrp3!S85=1,1,IF(CdTrp3!S85=2,2,IF(CdTrp3!S85=3,2,IF(CdTrp3!S85=4,4,0))))</f>
        <v>0</v>
      </c>
      <c r="DW118" s="168">
        <f>IF(CdTrp3!T85=1,1,IF(CdTrp3!T85=2,2,IF(CdTrp3!T85=3,2,IF(CdTrp3!T85=4,4,0))))</f>
        <v>0</v>
      </c>
      <c r="DX118" s="168">
        <f>IF(CdTrp3!U85=1,1,IF(CdTrp3!U85=2,2,IF(CdTrp3!U85=3,2,IF(CdTrp3!U85=4,4,0))))</f>
        <v>0</v>
      </c>
      <c r="DY118" s="168">
        <f>IF(CdTrp3!V85=1,1,IF(CdTrp3!V85=2,2,IF(CdTrp3!V85=3,2,IF(CdTrp3!V85=4,4,0))))</f>
        <v>0</v>
      </c>
      <c r="DZ118" s="168">
        <f>IF(CdTrp3!W85=1,1,IF(CdTrp3!W85=2,2,IF(CdTrp3!W85=3,2,IF(CdTrp3!W85=4,4,0))))</f>
        <v>0</v>
      </c>
      <c r="EA118" s="168">
        <f>IF(CdTrp3!X85=1,1,IF(CdTrp3!X85=2,2,IF(CdTrp3!X85=3,2,IF(CdTrp3!X85=4,4,0))))</f>
        <v>0</v>
      </c>
      <c r="EB118" s="168">
        <f>IF(CdTrp3!Y85=1,1,IF(CdTrp3!Y85=2,2,IF(CdTrp3!Y85=3,2,IF(CdTrp3!Y85=4,4,0))))</f>
        <v>0</v>
      </c>
    </row>
    <row r="119" spans="2:132" x14ac:dyDescent="0.25">
      <c r="B119" s="14" t="s">
        <v>1186</v>
      </c>
      <c r="C119" s="168">
        <f>COUNTIF($H$94:$AE$103,4)/2</f>
        <v>0</v>
      </c>
      <c r="D119" s="168">
        <f t="shared" si="25"/>
        <v>0</v>
      </c>
      <c r="G119" s="30" t="str">
        <f>CdTrp3!A79</f>
        <v>lot4</v>
      </c>
      <c r="H119" s="30">
        <f>CdTrp3!B79</f>
        <v>0</v>
      </c>
      <c r="I119" s="30">
        <f>CdTrp3!C79</f>
        <v>0</v>
      </c>
      <c r="J119" s="30">
        <f>CdTrp3!D79</f>
        <v>0</v>
      </c>
      <c r="K119" s="30">
        <f>CdTrp3!E79</f>
        <v>0</v>
      </c>
      <c r="L119" s="30">
        <f>CdTrp3!F79</f>
        <v>0</v>
      </c>
      <c r="M119" s="30">
        <f>CdTrp3!G79</f>
        <v>0</v>
      </c>
      <c r="N119" s="30">
        <f>CdTrp3!H79</f>
        <v>0</v>
      </c>
      <c r="O119" s="30">
        <f>CdTrp3!I79</f>
        <v>0</v>
      </c>
      <c r="P119" s="30">
        <f>CdTrp3!J79</f>
        <v>0</v>
      </c>
      <c r="Q119" s="30">
        <f>CdTrp3!K79</f>
        <v>0</v>
      </c>
      <c r="R119" s="30">
        <f>CdTrp3!L79</f>
        <v>0</v>
      </c>
      <c r="S119" s="30">
        <f>CdTrp3!M79</f>
        <v>0</v>
      </c>
      <c r="T119" s="30">
        <f>CdTrp3!N79</f>
        <v>0</v>
      </c>
      <c r="U119" s="30">
        <f>CdTrp3!O79</f>
        <v>0</v>
      </c>
      <c r="V119" s="30">
        <f>CdTrp3!P79</f>
        <v>0</v>
      </c>
      <c r="W119" s="30">
        <f>CdTrp3!Q79</f>
        <v>0</v>
      </c>
      <c r="X119" s="30">
        <f>CdTrp3!R79</f>
        <v>0</v>
      </c>
      <c r="Y119" s="30">
        <f>CdTrp3!S79</f>
        <v>0</v>
      </c>
      <c r="Z119" s="30">
        <f>CdTrp3!T79</f>
        <v>0</v>
      </c>
      <c r="AA119" s="30">
        <f>CdTrp3!U79</f>
        <v>0</v>
      </c>
      <c r="AB119" s="30">
        <f>CdTrp3!V79</f>
        <v>0</v>
      </c>
      <c r="AC119" s="30">
        <f>CdTrp3!W79</f>
        <v>0</v>
      </c>
      <c r="AD119" s="30">
        <f>CdTrp3!X79</f>
        <v>0</v>
      </c>
      <c r="AE119" s="30">
        <f>CdTrp3!Y79</f>
        <v>0</v>
      </c>
      <c r="AT119" s="40" t="s">
        <v>777</v>
      </c>
      <c r="AU119" s="14"/>
      <c r="AV119" s="268"/>
      <c r="AW119" s="268"/>
      <c r="AX119" s="268"/>
      <c r="AY119" s="268"/>
      <c r="AZ119" s="268"/>
      <c r="BA119" s="268"/>
      <c r="BB119" s="268"/>
      <c r="BC119" s="268"/>
      <c r="BD119" s="268"/>
      <c r="BE119" s="268"/>
      <c r="BF119" s="268"/>
      <c r="BG119" s="268"/>
      <c r="BH119" s="268"/>
      <c r="BI119" s="268"/>
      <c r="BJ119" s="268"/>
      <c r="BK119" s="268"/>
      <c r="BL119" s="268"/>
      <c r="BM119" s="268"/>
      <c r="BN119" s="268"/>
      <c r="BO119" s="268"/>
      <c r="BP119" s="268"/>
      <c r="BQ119" s="268"/>
      <c r="BR119" s="268"/>
      <c r="BS119" s="268"/>
      <c r="BZ119" s="40" t="s">
        <v>777</v>
      </c>
      <c r="CA119" s="14"/>
      <c r="CB119" s="268"/>
      <c r="CC119" s="268"/>
      <c r="CD119" s="268"/>
      <c r="CE119" s="268"/>
      <c r="CF119" s="268"/>
      <c r="CG119" s="268"/>
      <c r="CH119" s="268"/>
      <c r="CI119" s="268"/>
      <c r="CJ119" s="268"/>
      <c r="CK119" s="268"/>
      <c r="CL119" s="268"/>
      <c r="CM119" s="268"/>
      <c r="CN119" s="268"/>
      <c r="CO119" s="268"/>
      <c r="CP119" s="268"/>
      <c r="CQ119" s="268"/>
      <c r="CR119" s="268"/>
      <c r="CS119" s="268"/>
      <c r="CT119" s="268"/>
      <c r="CU119" s="268"/>
      <c r="CV119" s="268"/>
      <c r="CW119" s="268"/>
      <c r="CX119" s="268"/>
      <c r="CY119" s="268"/>
      <c r="DC119" s="40" t="s">
        <v>777</v>
      </c>
      <c r="DD119" s="14"/>
      <c r="DE119" s="268"/>
      <c r="DF119" s="268"/>
      <c r="DG119" s="268"/>
      <c r="DH119" s="268"/>
      <c r="DI119" s="268"/>
      <c r="DJ119" s="268"/>
      <c r="DK119" s="268"/>
      <c r="DL119" s="268"/>
      <c r="DM119" s="268"/>
      <c r="DN119" s="268"/>
      <c r="DO119" s="268"/>
      <c r="DP119" s="268"/>
      <c r="DQ119" s="268"/>
      <c r="DR119" s="268"/>
      <c r="DS119" s="268"/>
      <c r="DT119" s="268"/>
      <c r="DU119" s="268"/>
      <c r="DV119" s="268"/>
      <c r="DW119" s="268"/>
      <c r="DX119" s="268"/>
      <c r="DY119" s="268"/>
      <c r="DZ119" s="268"/>
      <c r="EA119" s="268"/>
      <c r="EB119" s="268"/>
    </row>
    <row r="120" spans="2:132" x14ac:dyDescent="0.25">
      <c r="B120" s="14" t="s">
        <v>1187</v>
      </c>
      <c r="C120" s="168">
        <f>COUNTIF($H$105:$AE$114,4)/2</f>
        <v>0</v>
      </c>
      <c r="D120" s="168">
        <f t="shared" si="25"/>
        <v>0</v>
      </c>
      <c r="G120" s="251" t="str">
        <f>CdTrp3!A80</f>
        <v>lot5</v>
      </c>
      <c r="H120" s="30">
        <f>CdTrp3!B80</f>
        <v>0</v>
      </c>
      <c r="I120" s="30">
        <f>CdTrp3!C80</f>
        <v>0</v>
      </c>
      <c r="J120" s="30">
        <f>CdTrp3!D80</f>
        <v>0</v>
      </c>
      <c r="K120" s="30">
        <f>CdTrp3!E80</f>
        <v>0</v>
      </c>
      <c r="L120" s="30">
        <f>CdTrp3!F80</f>
        <v>0</v>
      </c>
      <c r="M120" s="30">
        <f>CdTrp3!G80</f>
        <v>0</v>
      </c>
      <c r="N120" s="30">
        <f>CdTrp3!H80</f>
        <v>0</v>
      </c>
      <c r="O120" s="30">
        <f>CdTrp3!I80</f>
        <v>0</v>
      </c>
      <c r="P120" s="30">
        <f>CdTrp3!J80</f>
        <v>0</v>
      </c>
      <c r="Q120" s="30">
        <f>CdTrp3!K80</f>
        <v>0</v>
      </c>
      <c r="R120" s="30">
        <f>CdTrp3!L80</f>
        <v>0</v>
      </c>
      <c r="S120" s="30">
        <f>CdTrp3!M80</f>
        <v>0</v>
      </c>
      <c r="T120" s="30">
        <f>CdTrp3!N80</f>
        <v>0</v>
      </c>
      <c r="U120" s="30">
        <f>CdTrp3!O80</f>
        <v>0</v>
      </c>
      <c r="V120" s="30">
        <f>CdTrp3!P80</f>
        <v>0</v>
      </c>
      <c r="W120" s="30">
        <f>CdTrp3!Q80</f>
        <v>0</v>
      </c>
      <c r="X120" s="30">
        <f>CdTrp3!R80</f>
        <v>0</v>
      </c>
      <c r="Y120" s="30">
        <f>CdTrp3!S80</f>
        <v>0</v>
      </c>
      <c r="Z120" s="30">
        <f>CdTrp3!T80</f>
        <v>0</v>
      </c>
      <c r="AA120" s="30">
        <f>CdTrp3!U80</f>
        <v>0</v>
      </c>
      <c r="AB120" s="30">
        <f>CdTrp3!V80</f>
        <v>0</v>
      </c>
      <c r="AC120" s="30">
        <f>CdTrp3!W80</f>
        <v>0</v>
      </c>
      <c r="AD120" s="30">
        <f>CdTrp3!X80</f>
        <v>0</v>
      </c>
      <c r="AE120" s="30">
        <f>CdTrp3!Y80</f>
        <v>0</v>
      </c>
      <c r="AT120" s="14" t="s">
        <v>779</v>
      </c>
      <c r="AU120" s="30">
        <f>VALUE(CONCATENATE(Scénario!K8,Travail!AU2))</f>
        <v>12</v>
      </c>
      <c r="AV120" s="268"/>
      <c r="AW120" s="268"/>
      <c r="AX120" s="268"/>
      <c r="AY120" s="268"/>
      <c r="AZ120" s="268"/>
      <c r="BA120" s="268"/>
      <c r="BB120" s="268"/>
      <c r="BC120" s="268"/>
      <c r="BD120" s="268"/>
      <c r="BE120" s="268"/>
      <c r="BF120" s="268"/>
      <c r="BG120" s="268"/>
      <c r="BH120" s="268"/>
      <c r="BI120" s="268"/>
      <c r="BJ120" s="268"/>
      <c r="BK120" s="268"/>
      <c r="BL120" s="268"/>
      <c r="BM120" s="268"/>
      <c r="BN120" s="268"/>
      <c r="BO120" s="268"/>
      <c r="BP120" s="268"/>
      <c r="BQ120" s="268"/>
      <c r="BR120" s="268"/>
      <c r="BS120" s="268"/>
      <c r="BZ120" s="14" t="s">
        <v>779</v>
      </c>
      <c r="CA120" s="30">
        <f>VALUE(CONCATENATE(Scénario!K8,Travail!CA2))</f>
        <v>10</v>
      </c>
      <c r="CB120" s="268"/>
      <c r="CC120" s="268"/>
      <c r="CD120" s="268"/>
      <c r="CE120" s="268"/>
      <c r="CF120" s="268"/>
      <c r="CG120" s="268"/>
      <c r="CH120" s="268"/>
      <c r="CI120" s="268"/>
      <c r="CJ120" s="268"/>
      <c r="CK120" s="268"/>
      <c r="CL120" s="268"/>
      <c r="CM120" s="268"/>
      <c r="CN120" s="268"/>
      <c r="CO120" s="268"/>
      <c r="CP120" s="268"/>
      <c r="CQ120" s="268"/>
      <c r="CR120" s="268"/>
      <c r="CS120" s="268"/>
      <c r="CT120" s="268"/>
      <c r="CU120" s="268"/>
      <c r="CV120" s="268"/>
      <c r="CW120" s="268"/>
      <c r="CX120" s="268"/>
      <c r="CY120" s="268"/>
      <c r="DC120" s="14" t="s">
        <v>779</v>
      </c>
      <c r="DD120" s="30">
        <f>VALUE(CONCATENATE(Scénario!K8,Travail!DD2))</f>
        <v>10</v>
      </c>
      <c r="DE120" s="268"/>
      <c r="DF120" s="268"/>
      <c r="DG120" s="268"/>
      <c r="DH120" s="268"/>
      <c r="DI120" s="268"/>
      <c r="DJ120" s="268"/>
      <c r="DK120" s="268"/>
      <c r="DL120" s="268"/>
      <c r="DM120" s="268"/>
      <c r="DN120" s="268"/>
      <c r="DO120" s="268"/>
      <c r="DP120" s="268"/>
      <c r="DQ120" s="268"/>
      <c r="DR120" s="268"/>
      <c r="DS120" s="268"/>
      <c r="DT120" s="268"/>
      <c r="DU120" s="268"/>
      <c r="DV120" s="268"/>
      <c r="DW120" s="268"/>
      <c r="DX120" s="268"/>
      <c r="DY120" s="268"/>
      <c r="DZ120" s="268"/>
      <c r="EA120" s="268"/>
      <c r="EB120" s="268"/>
    </row>
    <row r="121" spans="2:132" x14ac:dyDescent="0.25">
      <c r="B121" s="14" t="s">
        <v>1188</v>
      </c>
      <c r="C121" s="168">
        <f>COUNTIF($H$116:$AE$125,4)/2</f>
        <v>0</v>
      </c>
      <c r="D121" s="168">
        <f t="shared" si="25"/>
        <v>0</v>
      </c>
      <c r="G121" s="30" t="str">
        <f>CdTrp3!A81</f>
        <v>lot6</v>
      </c>
      <c r="H121" s="30">
        <f>CdTrp3!B81</f>
        <v>0</v>
      </c>
      <c r="I121" s="30">
        <f>CdTrp3!C81</f>
        <v>0</v>
      </c>
      <c r="J121" s="30">
        <f>CdTrp3!D81</f>
        <v>0</v>
      </c>
      <c r="K121" s="30">
        <f>CdTrp3!E81</f>
        <v>0</v>
      </c>
      <c r="L121" s="30">
        <f>CdTrp3!F81</f>
        <v>0</v>
      </c>
      <c r="M121" s="30">
        <f>CdTrp3!G81</f>
        <v>0</v>
      </c>
      <c r="N121" s="30">
        <f>CdTrp3!H81</f>
        <v>0</v>
      </c>
      <c r="O121" s="30">
        <f>CdTrp3!I81</f>
        <v>0</v>
      </c>
      <c r="P121" s="30">
        <f>CdTrp3!J81</f>
        <v>0</v>
      </c>
      <c r="Q121" s="30">
        <f>CdTrp3!K81</f>
        <v>0</v>
      </c>
      <c r="R121" s="30">
        <f>CdTrp3!L81</f>
        <v>0</v>
      </c>
      <c r="S121" s="30">
        <f>CdTrp3!M81</f>
        <v>0</v>
      </c>
      <c r="T121" s="30">
        <f>CdTrp3!N81</f>
        <v>0</v>
      </c>
      <c r="U121" s="30">
        <f>CdTrp3!O81</f>
        <v>0</v>
      </c>
      <c r="V121" s="30">
        <f>CdTrp3!P81</f>
        <v>0</v>
      </c>
      <c r="W121" s="30">
        <f>CdTrp3!Q81</f>
        <v>0</v>
      </c>
      <c r="X121" s="30">
        <f>CdTrp3!R81</f>
        <v>0</v>
      </c>
      <c r="Y121" s="30">
        <f>CdTrp3!S81</f>
        <v>0</v>
      </c>
      <c r="Z121" s="30">
        <f>CdTrp3!T81</f>
        <v>0</v>
      </c>
      <c r="AA121" s="30">
        <f>CdTrp3!U81</f>
        <v>0</v>
      </c>
      <c r="AB121" s="30">
        <f>CdTrp3!V81</f>
        <v>0</v>
      </c>
      <c r="AC121" s="30">
        <f>CdTrp3!W81</f>
        <v>0</v>
      </c>
      <c r="AD121" s="30">
        <f>CdTrp3!X81</f>
        <v>0</v>
      </c>
      <c r="AE121" s="30">
        <f>CdTrp3!Y81</f>
        <v>0</v>
      </c>
      <c r="AT121" s="182" t="str">
        <f>+AT109</f>
        <v xml:space="preserve">Vaches </v>
      </c>
      <c r="AV121" s="168">
        <f>IF(AV75=0,0,IF(AV98=3,0,VALUE(CONCATENATE(Travail!AV26,Travail!AV37,Travail!AV48))))</f>
        <v>0</v>
      </c>
      <c r="AW121" s="168">
        <f>IF(AW75=0,0,IF(AW98=3,0,VALUE(CONCATENATE(Travail!AW26,Travail!AW37,Travail!AW48))))</f>
        <v>0</v>
      </c>
      <c r="AX121" s="168">
        <f>IF(AX75=0,0,IF(AX98=3,0,VALUE(CONCATENATE(Travail!AX26,Travail!AX37,Travail!AX48))))</f>
        <v>0</v>
      </c>
      <c r="AY121" s="168">
        <f>IF(AY75=0,0,IF(AY98=3,0,VALUE(CONCATENATE(Travail!AY26,Travail!AY37,Travail!AY48))))</f>
        <v>0</v>
      </c>
      <c r="AZ121" s="168">
        <f>IF(AZ75=0,0,IF(AZ98=3,0,VALUE(CONCATENATE(Travail!AZ26,Travail!AZ37,Travail!AZ48))))</f>
        <v>211</v>
      </c>
      <c r="BA121" s="168">
        <f>IF(BA75=0,0,IF(BA98=3,0,VALUE(CONCATENATE(Travail!BA26,Travail!BA37,Travail!BA48))))</f>
        <v>211</v>
      </c>
      <c r="BB121" s="168">
        <f>IF(BB75=0,0,IF(BB98=3,0,VALUE(CONCATENATE(Travail!BB26,Travail!BB37,Travail!BB48))))</f>
        <v>211</v>
      </c>
      <c r="BC121" s="168">
        <f>IF(BC75=0,0,IF(BC98=3,0,VALUE(CONCATENATE(Travail!BC26,Travail!BC37,Travail!BC48))))</f>
        <v>211</v>
      </c>
      <c r="BD121" s="168">
        <f>IF(BD75=0,0,IF(BD98=3,0,VALUE(CONCATENATE(Travail!BD26,Travail!BD37,Travail!BD48))))</f>
        <v>211</v>
      </c>
      <c r="BE121" s="168">
        <f>IF(BE75=0,0,IF(BE98=3,0,VALUE(CONCATENATE(Travail!BE26,Travail!BE37,Travail!BE48))))</f>
        <v>211</v>
      </c>
      <c r="BF121" s="168">
        <f>IF(BF75=0,0,IF(BF98=3,0,VALUE(CONCATENATE(Travail!BF26,Travail!BF37,Travail!BF48))))</f>
        <v>211</v>
      </c>
      <c r="BG121" s="168">
        <f>IF(BG75=0,0,IF(BG98=3,0,VALUE(CONCATENATE(Travail!BG26,Travail!BG37,Travail!BG48))))</f>
        <v>211</v>
      </c>
      <c r="BH121" s="168">
        <f>IF(BH75=0,0,IF(BH98=3,0,VALUE(CONCATENATE(Travail!BH26,Travail!BH37,Travail!BH48))))</f>
        <v>211</v>
      </c>
      <c r="BI121" s="168">
        <f>IF(BI75=0,0,IF(BI98=3,0,VALUE(CONCATENATE(Travail!BI26,Travail!BI37,Travail!BI48))))</f>
        <v>211</v>
      </c>
      <c r="BJ121" s="168">
        <f>IF(BJ75=0,0,IF(BJ98=3,0,VALUE(CONCATENATE(Travail!BJ26,Travail!BJ37,Travail!BJ48))))</f>
        <v>211</v>
      </c>
      <c r="BK121" s="168">
        <f>IF(BK75=0,0,IF(BK98=3,0,VALUE(CONCATENATE(Travail!BK26,Travail!BK37,Travail!BK48))))</f>
        <v>211</v>
      </c>
      <c r="BL121" s="168">
        <f>IF(BL75=0,0,IF(BL98=3,0,VALUE(CONCATENATE(Travail!BL26,Travail!BL37,Travail!BL48))))</f>
        <v>211</v>
      </c>
      <c r="BM121" s="168">
        <f>IF(BM75=0,0,IF(BM98=3,0,VALUE(CONCATENATE(Travail!BM26,Travail!BM37,Travail!BM48))))</f>
        <v>211</v>
      </c>
      <c r="BN121" s="168">
        <f>IF(BN75=0,0,IF(BN98=3,0,VALUE(CONCATENATE(Travail!BN26,Travail!BN37,Travail!BN48))))</f>
        <v>211</v>
      </c>
      <c r="BO121" s="168">
        <f>IF(BO75=0,0,IF(BO98=3,0,VALUE(CONCATENATE(Travail!BO26,Travail!BO37,Travail!BO48))))</f>
        <v>211</v>
      </c>
      <c r="BP121" s="168">
        <f>IF(BP75=0,0,IF(BP98=3,0,VALUE(CONCATENATE(Travail!BP26,Travail!BP37,Travail!BP48))))</f>
        <v>0</v>
      </c>
      <c r="BQ121" s="168">
        <f>IF(BQ75=0,0,IF(BQ98=3,0,VALUE(CONCATENATE(Travail!BQ26,Travail!BQ37,Travail!BQ48))))</f>
        <v>0</v>
      </c>
      <c r="BR121" s="168">
        <f>IF(BR75=0,0,IF(BR98=3,0,VALUE(CONCATENATE(Travail!BR26,Travail!BR37,Travail!BR48))))</f>
        <v>0</v>
      </c>
      <c r="BS121" s="168">
        <f>IF(BS75=0,0,IF(BS98=3,0,VALUE(CONCATENATE(Travail!BS26,Travail!BS37,Travail!BS48))))</f>
        <v>0</v>
      </c>
      <c r="BU121">
        <v>1</v>
      </c>
      <c r="BV121" t="s">
        <v>781</v>
      </c>
      <c r="BZ121" s="182" t="str">
        <f t="shared" ref="BZ121:BZ130" si="31">BZ64</f>
        <v>lot1</v>
      </c>
      <c r="CB121" s="168">
        <f>IF(CB75=0,0,VALUE(CONCATENATE(Travail!CB26,Travail!CB37,Travail!CB48)))</f>
        <v>0</v>
      </c>
      <c r="CC121" s="168">
        <f>IF(CC75=0,0,VALUE(CONCATENATE(Travail!CC26,Travail!CC37,Travail!CC48)))</f>
        <v>0</v>
      </c>
      <c r="CD121" s="168">
        <f>IF(CD75=0,0,VALUE(CONCATENATE(Travail!CD26,Travail!CD37,Travail!CD48)))</f>
        <v>0</v>
      </c>
      <c r="CE121" s="168">
        <f>IF(CE75=0,0,VALUE(CONCATENATE(Travail!CE26,Travail!CE37,Travail!CE48)))</f>
        <v>0</v>
      </c>
      <c r="CF121" s="168">
        <f>IF(CF75=0,0,VALUE(CONCATENATE(Travail!CF26,Travail!CF37,Travail!CF48)))</f>
        <v>0</v>
      </c>
      <c r="CG121" s="168">
        <f>IF(CG75=0,0,VALUE(CONCATENATE(Travail!CG26,Travail!CG37,Travail!CG48)))</f>
        <v>0</v>
      </c>
      <c r="CH121" s="168">
        <f>IF(CH75=0,0,VALUE(CONCATENATE(Travail!CH26,Travail!CH37,Travail!CH48)))</f>
        <v>0</v>
      </c>
      <c r="CI121" s="168">
        <f>IF(CI75=0,0,VALUE(CONCATENATE(Travail!CI26,Travail!CI37,Travail!CI48)))</f>
        <v>0</v>
      </c>
      <c r="CJ121" s="168">
        <f>IF(CJ75=0,0,VALUE(CONCATENATE(Travail!CJ26,Travail!CJ37,Travail!CJ48)))</f>
        <v>0</v>
      </c>
      <c r="CK121" s="168">
        <f>IF(CK75=0,0,VALUE(CONCATENATE(Travail!CK26,Travail!CK37,Travail!CK48)))</f>
        <v>0</v>
      </c>
      <c r="CL121" s="168">
        <f>IF(CL75=0,0,VALUE(CONCATENATE(Travail!CL26,Travail!CL37,Travail!CL48)))</f>
        <v>0</v>
      </c>
      <c r="CM121" s="168">
        <f>IF(CM75=0,0,VALUE(CONCATENATE(Travail!CM26,Travail!CM37,Travail!CM48)))</f>
        <v>0</v>
      </c>
      <c r="CN121" s="168">
        <f>IF(CN75=0,0,VALUE(CONCATENATE(Travail!CN26,Travail!CN37,Travail!CN48)))</f>
        <v>0</v>
      </c>
      <c r="CO121" s="168">
        <f>IF(CO75=0,0,VALUE(CONCATENATE(Travail!CO26,Travail!CO37,Travail!CO48)))</f>
        <v>0</v>
      </c>
      <c r="CP121" s="168">
        <f>IF(CP75=0,0,VALUE(CONCATENATE(Travail!CP26,Travail!CP37,Travail!CP48)))</f>
        <v>0</v>
      </c>
      <c r="CQ121" s="168">
        <f>IF(CQ75=0,0,VALUE(CONCATENATE(Travail!CQ26,Travail!CQ37,Travail!CQ48)))</f>
        <v>0</v>
      </c>
      <c r="CR121" s="168">
        <f>IF(CR75=0,0,VALUE(CONCATENATE(Travail!CR26,Travail!CR37,Travail!CR48)))</f>
        <v>0</v>
      </c>
      <c r="CS121" s="168">
        <f>IF(CS75=0,0,VALUE(CONCATENATE(Travail!CS26,Travail!CS37,Travail!CS48)))</f>
        <v>0</v>
      </c>
      <c r="CT121" s="168">
        <f>IF(CT75=0,0,VALUE(CONCATENATE(Travail!CT26,Travail!CT37,Travail!CT48)))</f>
        <v>0</v>
      </c>
      <c r="CU121" s="168">
        <f>IF(CU75=0,0,VALUE(CONCATENATE(Travail!CU26,Travail!CU37,Travail!CU48)))</f>
        <v>0</v>
      </c>
      <c r="CV121" s="168">
        <f>IF(CV75=0,0,VALUE(CONCATENATE(Travail!CV26,Travail!CV37,Travail!CV48)))</f>
        <v>0</v>
      </c>
      <c r="CW121" s="168">
        <f>IF(CW75=0,0,VALUE(CONCATENATE(Travail!CW26,Travail!CW37,Travail!CW48)))</f>
        <v>0</v>
      </c>
      <c r="CX121" s="168">
        <f>IF(CX75=0,0,VALUE(CONCATENATE(Travail!CX26,Travail!CX37,Travail!CX48)))</f>
        <v>0</v>
      </c>
      <c r="CY121" s="168">
        <f>IF(CY75=0,0,VALUE(CONCATENATE(Travail!CY26,Travail!CY37,Travail!CY48)))</f>
        <v>0</v>
      </c>
      <c r="DC121" s="182" t="str">
        <f t="shared" ref="DC121:DC130" si="32">DC64</f>
        <v>lot1</v>
      </c>
      <c r="DE121" s="168">
        <f>IF(DE75=0,0,VALUE(CONCATENATE(Travail!DE26,Travail!DE37,Travail!DE48)))</f>
        <v>0</v>
      </c>
      <c r="DF121" s="168">
        <f>IF(DF75=0,0,VALUE(CONCATENATE(Travail!DF26,Travail!DF37,Travail!DF48)))</f>
        <v>0</v>
      </c>
      <c r="DG121" s="168">
        <f>IF(DG75=0,0,VALUE(CONCATENATE(Travail!DG26,Travail!DG37,Travail!DG48)))</f>
        <v>0</v>
      </c>
      <c r="DH121" s="168">
        <f>IF(DH75=0,0,VALUE(CONCATENATE(Travail!DH26,Travail!DH37,Travail!DH48)))</f>
        <v>0</v>
      </c>
      <c r="DI121" s="168">
        <f>IF(DI75=0,0,VALUE(CONCATENATE(Travail!DI26,Travail!DI37,Travail!DI48)))</f>
        <v>0</v>
      </c>
      <c r="DJ121" s="168">
        <f>IF(DJ75=0,0,VALUE(CONCATENATE(Travail!DJ26,Travail!DJ37,Travail!DJ48)))</f>
        <v>0</v>
      </c>
      <c r="DK121" s="168">
        <f>IF(DK75=0,0,VALUE(CONCATENATE(Travail!DK26,Travail!DK37,Travail!DK48)))</f>
        <v>0</v>
      </c>
      <c r="DL121" s="168">
        <f>IF(DL75=0,0,VALUE(CONCATENATE(Travail!DL26,Travail!DL37,Travail!DL48)))</f>
        <v>0</v>
      </c>
      <c r="DM121" s="168">
        <f>IF(DM75=0,0,VALUE(CONCATENATE(Travail!DM26,Travail!DM37,Travail!DM48)))</f>
        <v>0</v>
      </c>
      <c r="DN121" s="168">
        <f>IF(DN75=0,0,VALUE(CONCATENATE(Travail!DN26,Travail!DN37,Travail!DN48)))</f>
        <v>0</v>
      </c>
      <c r="DO121" s="168">
        <f>IF(DO75=0,0,VALUE(CONCATENATE(Travail!DO26,Travail!DO37,Travail!DO48)))</f>
        <v>0</v>
      </c>
      <c r="DP121" s="168">
        <f>IF(DP75=0,0,VALUE(CONCATENATE(Travail!DP26,Travail!DP37,Travail!DP48)))</f>
        <v>0</v>
      </c>
      <c r="DQ121" s="168">
        <f>IF(DQ75=0,0,VALUE(CONCATENATE(Travail!DQ26,Travail!DQ37,Travail!DQ48)))</f>
        <v>0</v>
      </c>
      <c r="DR121" s="168">
        <f>IF(DR75=0,0,VALUE(CONCATENATE(Travail!DR26,Travail!DR37,Travail!DR48)))</f>
        <v>0</v>
      </c>
      <c r="DS121" s="168">
        <f>IF(DS75=0,0,VALUE(CONCATENATE(Travail!DS26,Travail!DS37,Travail!DS48)))</f>
        <v>0</v>
      </c>
      <c r="DT121" s="168">
        <f>IF(DT75=0,0,VALUE(CONCATENATE(Travail!DT26,Travail!DT37,Travail!DT48)))</f>
        <v>0</v>
      </c>
      <c r="DU121" s="168">
        <f>IF(DU75=0,0,VALUE(CONCATENATE(Travail!DU26,Travail!DU37,Travail!DU48)))</f>
        <v>0</v>
      </c>
      <c r="DV121" s="168">
        <f>IF(DV75=0,0,VALUE(CONCATENATE(Travail!DV26,Travail!DV37,Travail!DV48)))</f>
        <v>0</v>
      </c>
      <c r="DW121" s="168">
        <f>IF(DW75=0,0,VALUE(CONCATENATE(Travail!DW26,Travail!DW37,Travail!DW48)))</f>
        <v>0</v>
      </c>
      <c r="DX121" s="168">
        <f>IF(DX75=0,0,VALUE(CONCATENATE(Travail!DX26,Travail!DX37,Travail!DX48)))</f>
        <v>0</v>
      </c>
      <c r="DY121" s="168">
        <f>IF(DY75=0,0,VALUE(CONCATENATE(Travail!DY26,Travail!DY37,Travail!DY48)))</f>
        <v>0</v>
      </c>
      <c r="DZ121" s="168">
        <f>IF(DZ75=0,0,VALUE(CONCATENATE(Travail!DZ26,Travail!DZ37,Travail!DZ48)))</f>
        <v>0</v>
      </c>
      <c r="EA121" s="168">
        <f>IF(EA75=0,0,VALUE(CONCATENATE(Travail!EA26,Travail!EA37,Travail!EA48)))</f>
        <v>0</v>
      </c>
      <c r="EB121" s="168">
        <f>IF(EB75=0,0,VALUE(CONCATENATE(Travail!EB26,Travail!EB37,Travail!EB48)))</f>
        <v>0</v>
      </c>
    </row>
    <row r="122" spans="2:132" x14ac:dyDescent="0.25">
      <c r="B122" s="14" t="s">
        <v>1189</v>
      </c>
      <c r="C122" s="168">
        <f>COUNTIF($H$94:$AE$103,5)/2</f>
        <v>0</v>
      </c>
      <c r="D122" s="168">
        <f t="shared" si="25"/>
        <v>0</v>
      </c>
      <c r="G122" s="251" t="str">
        <f>CdTrp3!A82</f>
        <v>lot7</v>
      </c>
      <c r="H122" s="30">
        <f>CdTrp3!B82</f>
        <v>0</v>
      </c>
      <c r="I122" s="30">
        <f>CdTrp3!C82</f>
        <v>0</v>
      </c>
      <c r="J122" s="30">
        <f>CdTrp3!D82</f>
        <v>0</v>
      </c>
      <c r="K122" s="30">
        <f>CdTrp3!E82</f>
        <v>0</v>
      </c>
      <c r="L122" s="30">
        <f>CdTrp3!F82</f>
        <v>0</v>
      </c>
      <c r="M122" s="30">
        <f>CdTrp3!G82</f>
        <v>0</v>
      </c>
      <c r="N122" s="30">
        <f>CdTrp3!H82</f>
        <v>0</v>
      </c>
      <c r="O122" s="30">
        <f>CdTrp3!I82</f>
        <v>0</v>
      </c>
      <c r="P122" s="30">
        <f>CdTrp3!J82</f>
        <v>0</v>
      </c>
      <c r="Q122" s="30">
        <f>CdTrp3!K82</f>
        <v>0</v>
      </c>
      <c r="R122" s="30">
        <f>CdTrp3!L82</f>
        <v>0</v>
      </c>
      <c r="S122" s="30">
        <f>CdTrp3!M82</f>
        <v>0</v>
      </c>
      <c r="T122" s="30">
        <f>CdTrp3!N82</f>
        <v>0</v>
      </c>
      <c r="U122" s="30">
        <f>CdTrp3!O82</f>
        <v>0</v>
      </c>
      <c r="V122" s="30">
        <f>CdTrp3!P82</f>
        <v>0</v>
      </c>
      <c r="W122" s="30">
        <f>CdTrp3!Q82</f>
        <v>0</v>
      </c>
      <c r="X122" s="30">
        <f>CdTrp3!R82</f>
        <v>0</v>
      </c>
      <c r="Y122" s="30">
        <f>CdTrp3!S82</f>
        <v>0</v>
      </c>
      <c r="Z122" s="30">
        <f>CdTrp3!T82</f>
        <v>0</v>
      </c>
      <c r="AA122" s="30">
        <f>CdTrp3!U82</f>
        <v>0</v>
      </c>
      <c r="AB122" s="30">
        <f>CdTrp3!V82</f>
        <v>0</v>
      </c>
      <c r="AC122" s="30">
        <f>CdTrp3!W82</f>
        <v>0</v>
      </c>
      <c r="AD122" s="30">
        <f>CdTrp3!X82</f>
        <v>0</v>
      </c>
      <c r="AE122" s="30">
        <f>CdTrp3!Y82</f>
        <v>0</v>
      </c>
      <c r="AT122" s="182" t="str">
        <f>+AT110</f>
        <v>Génisses 24 mois</v>
      </c>
      <c r="AV122" s="168">
        <f>IF(AV76=0,0,IF(AV99=3,0,VALUE(CONCATENATE(Travail!AV27,Travail!AV38,Travail!AV49))))</f>
        <v>0</v>
      </c>
      <c r="AW122" s="168">
        <f>IF(AW76=0,0,IF(AW99=3,0,VALUE(CONCATENATE(Travail!AW27,Travail!AW38,Travail!AW49))))</f>
        <v>0</v>
      </c>
      <c r="AX122" s="168">
        <f>IF(AX76=0,0,IF(AX99=3,0,VALUE(CONCATENATE(Travail!AX27,Travail!AX38,Travail!AX49))))</f>
        <v>0</v>
      </c>
      <c r="AY122" s="168">
        <f>IF(AY76=0,0,IF(AY99=3,0,VALUE(CONCATENATE(Travail!AY27,Travail!AY38,Travail!AY49))))</f>
        <v>0</v>
      </c>
      <c r="AZ122" s="168">
        <f>IF(AZ76=0,0,IF(AZ99=3,0,VALUE(CONCATENATE(Travail!AZ27,Travail!AZ38,Travail!AZ49))))</f>
        <v>121</v>
      </c>
      <c r="BA122" s="168">
        <f>IF(BA76=0,0,IF(BA99=3,0,VALUE(CONCATENATE(Travail!BA27,Travail!BA38,Travail!BA49))))</f>
        <v>121</v>
      </c>
      <c r="BB122" s="168">
        <f>IF(BB76=0,0,IF(BB99=3,0,VALUE(CONCATENATE(Travail!BB27,Travail!BB38,Travail!BB49))))</f>
        <v>111</v>
      </c>
      <c r="BC122" s="168">
        <f>IF(BC76=0,0,IF(BC99=3,0,VALUE(CONCATENATE(Travail!BC27,Travail!BC38,Travail!BC49))))</f>
        <v>111</v>
      </c>
      <c r="BD122" s="168">
        <f>IF(BD76=0,0,IF(BD99=3,0,VALUE(CONCATENATE(Travail!BD27,Travail!BD38,Travail!BD49))))</f>
        <v>111</v>
      </c>
      <c r="BE122" s="168">
        <f>IF(BE76=0,0,IF(BE99=3,0,VALUE(CONCATENATE(Travail!BE27,Travail!BE38,Travail!BE49))))</f>
        <v>111</v>
      </c>
      <c r="BF122" s="168">
        <f>IF(BF76=0,0,IF(BF99=3,0,VALUE(CONCATENATE(Travail!BF27,Travail!BF38,Travail!BF49))))</f>
        <v>111</v>
      </c>
      <c r="BG122" s="168">
        <f>IF(BG76=0,0,IF(BG99=3,0,VALUE(CONCATENATE(Travail!BG27,Travail!BG38,Travail!BG49))))</f>
        <v>111</v>
      </c>
      <c r="BH122" s="168">
        <f>IF(BH76=0,0,IF(BH99=3,0,VALUE(CONCATENATE(Travail!BH27,Travail!BH38,Travail!BH49))))</f>
        <v>111</v>
      </c>
      <c r="BI122" s="168">
        <f>IF(BI76=0,0,IF(BI99=3,0,VALUE(CONCATENATE(Travail!BI27,Travail!BI38,Travail!BI49))))</f>
        <v>111</v>
      </c>
      <c r="BJ122" s="168">
        <f>IF(BJ76=0,0,IF(BJ99=3,0,VALUE(CONCATENATE(Travail!BJ27,Travail!BJ38,Travail!BJ49))))</f>
        <v>111</v>
      </c>
      <c r="BK122" s="168">
        <f>IF(BK76=0,0,IF(BK99=3,0,VALUE(CONCATENATE(Travail!BK27,Travail!BK38,Travail!BK49))))</f>
        <v>111</v>
      </c>
      <c r="BL122" s="168">
        <f>IF(BL76=0,0,IF(BL99=3,0,VALUE(CONCATENATE(Travail!BL27,Travail!BL38,Travail!BL49))))</f>
        <v>111</v>
      </c>
      <c r="BM122" s="168">
        <f>IF(BM76=0,0,IF(BM99=3,0,VALUE(CONCATENATE(Travail!BM27,Travail!BM38,Travail!BM49))))</f>
        <v>111</v>
      </c>
      <c r="BN122" s="168">
        <f>IF(BN76=0,0,IF(BN99=3,0,VALUE(CONCATENATE(Travail!BN27,Travail!BN38,Travail!BN49))))</f>
        <v>111</v>
      </c>
      <c r="BO122" s="168">
        <f>IF(BO76=0,0,IF(BO99=3,0,VALUE(CONCATENATE(Travail!BO27,Travail!BO38,Travail!BO49))))</f>
        <v>111</v>
      </c>
      <c r="BP122" s="168">
        <f>IF(BP76=0,0,IF(BP99=3,0,VALUE(CONCATENATE(Travail!BP27,Travail!BP38,Travail!BP49))))</f>
        <v>121</v>
      </c>
      <c r="BQ122" s="168">
        <f>IF(BQ76=0,0,IF(BQ99=3,0,VALUE(CONCATENATE(Travail!BQ27,Travail!BQ38,Travail!BQ49))))</f>
        <v>0</v>
      </c>
      <c r="BR122" s="168">
        <f>IF(BR76=0,0,IF(BR99=3,0,VALUE(CONCATENATE(Travail!BR27,Travail!BR38,Travail!BR49))))</f>
        <v>0</v>
      </c>
      <c r="BS122" s="168">
        <f>IF(BS76=0,0,IF(BS99=3,0,VALUE(CONCATENATE(Travail!BS27,Travail!BS38,Travail!BS49))))</f>
        <v>0</v>
      </c>
      <c r="BZ122" s="182" t="str">
        <f t="shared" si="31"/>
        <v>lot2</v>
      </c>
      <c r="CB122" s="168">
        <f>IF(CB76=0,0,VALUE(CONCATENATE(Travail!CB27,Travail!CB38,Travail!CB49)))</f>
        <v>0</v>
      </c>
      <c r="CC122" s="168">
        <f>IF(CC76=0,0,VALUE(CONCATENATE(Travail!CC27,Travail!CC38,Travail!CC49)))</f>
        <v>0</v>
      </c>
      <c r="CD122" s="168">
        <f>IF(CD76=0,0,VALUE(CONCATENATE(Travail!CD27,Travail!CD38,Travail!CD49)))</f>
        <v>0</v>
      </c>
      <c r="CE122" s="168">
        <f>IF(CE76=0,0,VALUE(CONCATENATE(Travail!CE27,Travail!CE38,Travail!CE49)))</f>
        <v>0</v>
      </c>
      <c r="CF122" s="168">
        <f>IF(CF76=0,0,VALUE(CONCATENATE(Travail!CF27,Travail!CF38,Travail!CF49)))</f>
        <v>0</v>
      </c>
      <c r="CG122" s="168">
        <f>IF(CG76=0,0,VALUE(CONCATENATE(Travail!CG27,Travail!CG38,Travail!CG49)))</f>
        <v>0</v>
      </c>
      <c r="CH122" s="168">
        <f>IF(CH76=0,0,VALUE(CONCATENATE(Travail!CH27,Travail!CH38,Travail!CH49)))</f>
        <v>0</v>
      </c>
      <c r="CI122" s="168">
        <f>IF(CI76=0,0,VALUE(CONCATENATE(Travail!CI27,Travail!CI38,Travail!CI49)))</f>
        <v>0</v>
      </c>
      <c r="CJ122" s="168">
        <f>IF(CJ76=0,0,VALUE(CONCATENATE(Travail!CJ27,Travail!CJ38,Travail!CJ49)))</f>
        <v>0</v>
      </c>
      <c r="CK122" s="168">
        <f>IF(CK76=0,0,VALUE(CONCATENATE(Travail!CK27,Travail!CK38,Travail!CK49)))</f>
        <v>0</v>
      </c>
      <c r="CL122" s="168">
        <f>IF(CL76=0,0,VALUE(CONCATENATE(Travail!CL27,Travail!CL38,Travail!CL49)))</f>
        <v>0</v>
      </c>
      <c r="CM122" s="168">
        <f>IF(CM76=0,0,VALUE(CONCATENATE(Travail!CM27,Travail!CM38,Travail!CM49)))</f>
        <v>0</v>
      </c>
      <c r="CN122" s="168">
        <f>IF(CN76=0,0,VALUE(CONCATENATE(Travail!CN27,Travail!CN38,Travail!CN49)))</f>
        <v>0</v>
      </c>
      <c r="CO122" s="168">
        <f>IF(CO76=0,0,VALUE(CONCATENATE(Travail!CO27,Travail!CO38,Travail!CO49)))</f>
        <v>0</v>
      </c>
      <c r="CP122" s="168">
        <f>IF(CP76=0,0,VALUE(CONCATENATE(Travail!CP27,Travail!CP38,Travail!CP49)))</f>
        <v>0</v>
      </c>
      <c r="CQ122" s="168">
        <f>IF(CQ76=0,0,VALUE(CONCATENATE(Travail!CQ27,Travail!CQ38,Travail!CQ49)))</f>
        <v>0</v>
      </c>
      <c r="CR122" s="168">
        <f>IF(CR76=0,0,VALUE(CONCATENATE(Travail!CR27,Travail!CR38,Travail!CR49)))</f>
        <v>0</v>
      </c>
      <c r="CS122" s="168">
        <f>IF(CS76=0,0,VALUE(CONCATENATE(Travail!CS27,Travail!CS38,Travail!CS49)))</f>
        <v>0</v>
      </c>
      <c r="CT122" s="168">
        <f>IF(CT76=0,0,VALUE(CONCATENATE(Travail!CT27,Travail!CT38,Travail!CT49)))</f>
        <v>0</v>
      </c>
      <c r="CU122" s="168">
        <f>IF(CU76=0,0,VALUE(CONCATENATE(Travail!CU27,Travail!CU38,Travail!CU49)))</f>
        <v>0</v>
      </c>
      <c r="CV122" s="168">
        <f>IF(CV76=0,0,VALUE(CONCATENATE(Travail!CV27,Travail!CV38,Travail!CV49)))</f>
        <v>0</v>
      </c>
      <c r="CW122" s="168">
        <f>IF(CW76=0,0,VALUE(CONCATENATE(Travail!CW27,Travail!CW38,Travail!CW49)))</f>
        <v>0</v>
      </c>
      <c r="CX122" s="168">
        <f>IF(CX76=0,0,VALUE(CONCATENATE(Travail!CX27,Travail!CX38,Travail!CX49)))</f>
        <v>0</v>
      </c>
      <c r="CY122" s="168">
        <f>IF(CY76=0,0,VALUE(CONCATENATE(Travail!CY27,Travail!CY38,Travail!CY49)))</f>
        <v>0</v>
      </c>
      <c r="DC122" s="182" t="str">
        <f t="shared" si="32"/>
        <v>lot2</v>
      </c>
      <c r="DE122" s="168">
        <f>IF(DE76=0,0,VALUE(CONCATENATE(Travail!DE27,Travail!DE38,Travail!DE49)))</f>
        <v>0</v>
      </c>
      <c r="DF122" s="168">
        <f>IF(DF76=0,0,VALUE(CONCATENATE(Travail!DF27,Travail!DF38,Travail!DF49)))</f>
        <v>0</v>
      </c>
      <c r="DG122" s="168">
        <f>IF(DG76=0,0,VALUE(CONCATENATE(Travail!DG27,Travail!DG38,Travail!DG49)))</f>
        <v>0</v>
      </c>
      <c r="DH122" s="168">
        <f>IF(DH76=0,0,VALUE(CONCATENATE(Travail!DH27,Travail!DH38,Travail!DH49)))</f>
        <v>0</v>
      </c>
      <c r="DI122" s="168">
        <f>IF(DI76=0,0,VALUE(CONCATENATE(Travail!DI27,Travail!DI38,Travail!DI49)))</f>
        <v>0</v>
      </c>
      <c r="DJ122" s="168">
        <f>IF(DJ76=0,0,VALUE(CONCATENATE(Travail!DJ27,Travail!DJ38,Travail!DJ49)))</f>
        <v>0</v>
      </c>
      <c r="DK122" s="168">
        <f>IF(DK76=0,0,VALUE(CONCATENATE(Travail!DK27,Travail!DK38,Travail!DK49)))</f>
        <v>0</v>
      </c>
      <c r="DL122" s="168">
        <f>IF(DL76=0,0,VALUE(CONCATENATE(Travail!DL27,Travail!DL38,Travail!DL49)))</f>
        <v>0</v>
      </c>
      <c r="DM122" s="168">
        <f>IF(DM76=0,0,VALUE(CONCATENATE(Travail!DM27,Travail!DM38,Travail!DM49)))</f>
        <v>0</v>
      </c>
      <c r="DN122" s="168">
        <f>IF(DN76=0,0,VALUE(CONCATENATE(Travail!DN27,Travail!DN38,Travail!DN49)))</f>
        <v>0</v>
      </c>
      <c r="DO122" s="168">
        <f>IF(DO76=0,0,VALUE(CONCATENATE(Travail!DO27,Travail!DO38,Travail!DO49)))</f>
        <v>0</v>
      </c>
      <c r="DP122" s="168">
        <f>IF(DP76=0,0,VALUE(CONCATENATE(Travail!DP27,Travail!DP38,Travail!DP49)))</f>
        <v>0</v>
      </c>
      <c r="DQ122" s="168">
        <f>IF(DQ76=0,0,VALUE(CONCATENATE(Travail!DQ27,Travail!DQ38,Travail!DQ49)))</f>
        <v>0</v>
      </c>
      <c r="DR122" s="168">
        <f>IF(DR76=0,0,VALUE(CONCATENATE(Travail!DR27,Travail!DR38,Travail!DR49)))</f>
        <v>0</v>
      </c>
      <c r="DS122" s="168">
        <f>IF(DS76=0,0,VALUE(CONCATENATE(Travail!DS27,Travail!DS38,Travail!DS49)))</f>
        <v>0</v>
      </c>
      <c r="DT122" s="168">
        <f>IF(DT76=0,0,VALUE(CONCATENATE(Travail!DT27,Travail!DT38,Travail!DT49)))</f>
        <v>0</v>
      </c>
      <c r="DU122" s="168">
        <f>IF(DU76=0,0,VALUE(CONCATENATE(Travail!DU27,Travail!DU38,Travail!DU49)))</f>
        <v>0</v>
      </c>
      <c r="DV122" s="168">
        <f>IF(DV76=0,0,VALUE(CONCATENATE(Travail!DV27,Travail!DV38,Travail!DV49)))</f>
        <v>0</v>
      </c>
      <c r="DW122" s="168">
        <f>IF(DW76=0,0,VALUE(CONCATENATE(Travail!DW27,Travail!DW38,Travail!DW49)))</f>
        <v>0</v>
      </c>
      <c r="DX122" s="168">
        <f>IF(DX76=0,0,VALUE(CONCATENATE(Travail!DX27,Travail!DX38,Travail!DX49)))</f>
        <v>0</v>
      </c>
      <c r="DY122" s="168">
        <f>IF(DY76=0,0,VALUE(CONCATENATE(Travail!DY27,Travail!DY38,Travail!DY49)))</f>
        <v>0</v>
      </c>
      <c r="DZ122" s="168">
        <f>IF(DZ76=0,0,VALUE(CONCATENATE(Travail!DZ27,Travail!DZ38,Travail!DZ49)))</f>
        <v>0</v>
      </c>
      <c r="EA122" s="168">
        <f>IF(EA76=0,0,VALUE(CONCATENATE(Travail!EA27,Travail!EA38,Travail!EA49)))</f>
        <v>0</v>
      </c>
      <c r="EB122" s="168">
        <f>IF(EB76=0,0,VALUE(CONCATENATE(Travail!EB27,Travail!EB38,Travail!EB49)))</f>
        <v>0</v>
      </c>
    </row>
    <row r="123" spans="2:132" x14ac:dyDescent="0.25">
      <c r="B123" s="14" t="s">
        <v>1190</v>
      </c>
      <c r="C123" s="168">
        <f>COUNTIF($H$105:$AE$114,5)/2</f>
        <v>0</v>
      </c>
      <c r="D123" s="168">
        <f t="shared" si="25"/>
        <v>0</v>
      </c>
      <c r="G123" s="251" t="str">
        <f>CdTrp3!A83</f>
        <v>lot8</v>
      </c>
      <c r="H123" s="30">
        <f>CdTrp3!B83</f>
        <v>0</v>
      </c>
      <c r="I123" s="30">
        <f>CdTrp3!C83</f>
        <v>0</v>
      </c>
      <c r="J123" s="30">
        <f>CdTrp3!D83</f>
        <v>0</v>
      </c>
      <c r="K123" s="30">
        <f>CdTrp3!E83</f>
        <v>0</v>
      </c>
      <c r="L123" s="30">
        <f>CdTrp3!F83</f>
        <v>0</v>
      </c>
      <c r="M123" s="30">
        <f>CdTrp3!G83</f>
        <v>0</v>
      </c>
      <c r="N123" s="30">
        <f>CdTrp3!H83</f>
        <v>0</v>
      </c>
      <c r="O123" s="30">
        <f>CdTrp3!I83</f>
        <v>0</v>
      </c>
      <c r="P123" s="30">
        <f>CdTrp3!J83</f>
        <v>0</v>
      </c>
      <c r="Q123" s="30">
        <f>CdTrp3!K83</f>
        <v>0</v>
      </c>
      <c r="R123" s="30">
        <f>CdTrp3!L83</f>
        <v>0</v>
      </c>
      <c r="S123" s="30">
        <f>CdTrp3!M83</f>
        <v>0</v>
      </c>
      <c r="T123" s="30">
        <f>CdTrp3!N83</f>
        <v>0</v>
      </c>
      <c r="U123" s="30">
        <f>CdTrp3!O83</f>
        <v>0</v>
      </c>
      <c r="V123" s="30">
        <f>CdTrp3!P83</f>
        <v>0</v>
      </c>
      <c r="W123" s="30">
        <f>CdTrp3!Q83</f>
        <v>0</v>
      </c>
      <c r="X123" s="30">
        <f>CdTrp3!R83</f>
        <v>0</v>
      </c>
      <c r="Y123" s="30">
        <f>CdTrp3!S83</f>
        <v>0</v>
      </c>
      <c r="Z123" s="30">
        <f>CdTrp3!T83</f>
        <v>0</v>
      </c>
      <c r="AA123" s="30">
        <f>CdTrp3!U83</f>
        <v>0</v>
      </c>
      <c r="AB123" s="30">
        <f>CdTrp3!V83</f>
        <v>0</v>
      </c>
      <c r="AC123" s="30">
        <f>CdTrp3!W83</f>
        <v>0</v>
      </c>
      <c r="AD123" s="30">
        <f>CdTrp3!X83</f>
        <v>0</v>
      </c>
      <c r="AE123" s="30">
        <f>CdTrp3!Y83</f>
        <v>0</v>
      </c>
      <c r="AS123" s="17"/>
      <c r="AT123" s="182" t="str">
        <f>+AT111</f>
        <v>Génisses jeunes</v>
      </c>
      <c r="AV123" s="168">
        <f>IF(AV77=0,0,IF(AV100=3,0,VALUE(CONCATENATE(Travail!AV28,Travail!AV39,Travail!AV50))))</f>
        <v>0</v>
      </c>
      <c r="AW123" s="168">
        <f>IF(AW77=0,0,IF(AW100=3,0,VALUE(CONCATENATE(Travail!AW28,Travail!AW39,Travail!AW50))))</f>
        <v>0</v>
      </c>
      <c r="AX123" s="168">
        <f>IF(AX77=0,0,IF(AX100=3,0,VALUE(CONCATENATE(Travail!AX28,Travail!AX39,Travail!AX50))))</f>
        <v>0</v>
      </c>
      <c r="AY123" s="168">
        <f>IF(AY77=0,0,IF(AY100=3,0,VALUE(CONCATENATE(Travail!AY28,Travail!AY39,Travail!AY50))))</f>
        <v>0</v>
      </c>
      <c r="AZ123" s="168">
        <f>IF(AZ77=0,0,IF(AZ100=3,0,VALUE(CONCATENATE(Travail!AZ28,Travail!AZ39,Travail!AZ50))))</f>
        <v>0</v>
      </c>
      <c r="BA123" s="168">
        <f>IF(BA77=0,0,IF(BA100=3,0,VALUE(CONCATENATE(Travail!BA28,Travail!BA39,Travail!BA50))))</f>
        <v>0</v>
      </c>
      <c r="BB123" s="168">
        <f>IF(BB77=0,0,IF(BB100=3,0,VALUE(CONCATENATE(Travail!BB28,Travail!BB39,Travail!BB50))))</f>
        <v>0</v>
      </c>
      <c r="BC123" s="168">
        <f>IF(BC77=0,0,IF(BC100=3,0,VALUE(CONCATENATE(Travail!BC28,Travail!BC39,Travail!BC50))))</f>
        <v>0</v>
      </c>
      <c r="BD123" s="168">
        <f>IF(BD77=0,0,IF(BD100=3,0,VALUE(CONCATENATE(Travail!BD28,Travail!BD39,Travail!BD50))))</f>
        <v>0</v>
      </c>
      <c r="BE123" s="168">
        <f>IF(BE77=0,0,IF(BE100=3,0,VALUE(CONCATENATE(Travail!BE28,Travail!BE39,Travail!BE50))))</f>
        <v>121</v>
      </c>
      <c r="BF123" s="168">
        <f>IF(BF77=0,0,IF(BF100=3,0,VALUE(CONCATENATE(Travail!BF28,Travail!BF39,Travail!BF50))))</f>
        <v>121</v>
      </c>
      <c r="BG123" s="168">
        <f>IF(BG77=0,0,IF(BG100=3,0,VALUE(CONCATENATE(Travail!BG28,Travail!BG39,Travail!BG50))))</f>
        <v>121</v>
      </c>
      <c r="BH123" s="168">
        <f>IF(BH77=0,0,IF(BH100=3,0,VALUE(CONCATENATE(Travail!BH28,Travail!BH39,Travail!BH50))))</f>
        <v>121</v>
      </c>
      <c r="BI123" s="168">
        <f>IF(BI77=0,0,IF(BI100=3,0,VALUE(CONCATENATE(Travail!BI28,Travail!BI39,Travail!BI50))))</f>
        <v>121</v>
      </c>
      <c r="BJ123" s="168">
        <f>IF(BJ77=0,0,IF(BJ100=3,0,VALUE(CONCATENATE(Travail!BJ28,Travail!BJ39,Travail!BJ50))))</f>
        <v>121</v>
      </c>
      <c r="BK123" s="168">
        <f>IF(BK77=0,0,IF(BK100=3,0,VALUE(CONCATENATE(Travail!BK28,Travail!BK39,Travail!BK50))))</f>
        <v>121</v>
      </c>
      <c r="BL123" s="168">
        <f>IF(BL77=0,0,IF(BL100=3,0,VALUE(CONCATENATE(Travail!BL28,Travail!BL39,Travail!BL50))))</f>
        <v>121</v>
      </c>
      <c r="BM123" s="168">
        <f>IF(BM77=0,0,IF(BM100=3,0,VALUE(CONCATENATE(Travail!BM28,Travail!BM39,Travail!BM50))))</f>
        <v>121</v>
      </c>
      <c r="BN123" s="168">
        <f>IF(BN77=0,0,IF(BN100=3,0,VALUE(CONCATENATE(Travail!BN28,Travail!BN39,Travail!BN50))))</f>
        <v>121</v>
      </c>
      <c r="BO123" s="168">
        <f>IF(BO77=0,0,IF(BO100=3,0,VALUE(CONCATENATE(Travail!BO28,Travail!BO39,Travail!BO50))))</f>
        <v>121</v>
      </c>
      <c r="BP123" s="168">
        <f>IF(BP77=0,0,IF(BP100=3,0,VALUE(CONCATENATE(Travail!BP28,Travail!BP39,Travail!BP50))))</f>
        <v>121</v>
      </c>
      <c r="BQ123" s="168">
        <f>IF(BQ77=0,0,IF(BQ100=3,0,VALUE(CONCATENATE(Travail!BQ28,Travail!BQ39,Travail!BQ50))))</f>
        <v>0</v>
      </c>
      <c r="BR123" s="168">
        <f>IF(BR77=0,0,IF(BR100=3,0,VALUE(CONCATENATE(Travail!BR28,Travail!BR39,Travail!BR50))))</f>
        <v>0</v>
      </c>
      <c r="BS123" s="168">
        <f>IF(BS77=0,0,IF(BS100=3,0,VALUE(CONCATENATE(Travail!BS28,Travail!BS39,Travail!BS50))))</f>
        <v>0</v>
      </c>
      <c r="BZ123" s="182" t="str">
        <f t="shared" si="31"/>
        <v>lot3</v>
      </c>
      <c r="CB123" s="168">
        <f>IF(CB77=0,0,VALUE(CONCATENATE(Travail!CB28,Travail!CB39,Travail!CB50)))</f>
        <v>0</v>
      </c>
      <c r="CC123" s="168">
        <f>IF(CC77=0,0,VALUE(CONCATENATE(Travail!CC28,Travail!CC39,Travail!CC50)))</f>
        <v>0</v>
      </c>
      <c r="CD123" s="168">
        <f>IF(CD77=0,0,VALUE(CONCATENATE(Travail!CD28,Travail!CD39,Travail!CD50)))</f>
        <v>0</v>
      </c>
      <c r="CE123" s="168">
        <f>IF(CE77=0,0,VALUE(CONCATENATE(Travail!CE28,Travail!CE39,Travail!CE50)))</f>
        <v>0</v>
      </c>
      <c r="CF123" s="168">
        <f>IF(CF77=0,0,VALUE(CONCATENATE(Travail!CF28,Travail!CF39,Travail!CF50)))</f>
        <v>0</v>
      </c>
      <c r="CG123" s="168">
        <f>IF(CG77=0,0,VALUE(CONCATENATE(Travail!CG28,Travail!CG39,Travail!CG50)))</f>
        <v>0</v>
      </c>
      <c r="CH123" s="168">
        <f>IF(CH77=0,0,VALUE(CONCATENATE(Travail!CH28,Travail!CH39,Travail!CH50)))</f>
        <v>0</v>
      </c>
      <c r="CI123" s="168">
        <f>IF(CI77=0,0,VALUE(CONCATENATE(Travail!CI28,Travail!CI39,Travail!CI50)))</f>
        <v>0</v>
      </c>
      <c r="CJ123" s="168">
        <f>IF(CJ77=0,0,VALUE(CONCATENATE(Travail!CJ28,Travail!CJ39,Travail!CJ50)))</f>
        <v>0</v>
      </c>
      <c r="CK123" s="168">
        <f>IF(CK77=0,0,VALUE(CONCATENATE(Travail!CK28,Travail!CK39,Travail!CK50)))</f>
        <v>0</v>
      </c>
      <c r="CL123" s="168">
        <f>IF(CL77=0,0,VALUE(CONCATENATE(Travail!CL28,Travail!CL39,Travail!CL50)))</f>
        <v>0</v>
      </c>
      <c r="CM123" s="168">
        <f>IF(CM77=0,0,VALUE(CONCATENATE(Travail!CM28,Travail!CM39,Travail!CM50)))</f>
        <v>0</v>
      </c>
      <c r="CN123" s="168">
        <f>IF(CN77=0,0,VALUE(CONCATENATE(Travail!CN28,Travail!CN39,Travail!CN50)))</f>
        <v>0</v>
      </c>
      <c r="CO123" s="168">
        <f>IF(CO77=0,0,VALUE(CONCATENATE(Travail!CO28,Travail!CO39,Travail!CO50)))</f>
        <v>0</v>
      </c>
      <c r="CP123" s="168">
        <f>IF(CP77=0,0,VALUE(CONCATENATE(Travail!CP28,Travail!CP39,Travail!CP50)))</f>
        <v>0</v>
      </c>
      <c r="CQ123" s="168">
        <f>IF(CQ77=0,0,VALUE(CONCATENATE(Travail!CQ28,Travail!CQ39,Travail!CQ50)))</f>
        <v>0</v>
      </c>
      <c r="CR123" s="168">
        <f>IF(CR77=0,0,VALUE(CONCATENATE(Travail!CR28,Travail!CR39,Travail!CR50)))</f>
        <v>0</v>
      </c>
      <c r="CS123" s="168">
        <f>IF(CS77=0,0,VALUE(CONCATENATE(Travail!CS28,Travail!CS39,Travail!CS50)))</f>
        <v>0</v>
      </c>
      <c r="CT123" s="168">
        <f>IF(CT77=0,0,VALUE(CONCATENATE(Travail!CT28,Travail!CT39,Travail!CT50)))</f>
        <v>0</v>
      </c>
      <c r="CU123" s="168">
        <f>IF(CU77=0,0,VALUE(CONCATENATE(Travail!CU28,Travail!CU39,Travail!CU50)))</f>
        <v>0</v>
      </c>
      <c r="CV123" s="168">
        <f>IF(CV77=0,0,VALUE(CONCATENATE(Travail!CV28,Travail!CV39,Travail!CV50)))</f>
        <v>0</v>
      </c>
      <c r="CW123" s="168">
        <f>IF(CW77=0,0,VALUE(CONCATENATE(Travail!CW28,Travail!CW39,Travail!CW50)))</f>
        <v>0</v>
      </c>
      <c r="CX123" s="168">
        <f>IF(CX77=0,0,VALUE(CONCATENATE(Travail!CX28,Travail!CX39,Travail!CX50)))</f>
        <v>0</v>
      </c>
      <c r="CY123" s="168">
        <f>IF(CY77=0,0,VALUE(CONCATENATE(Travail!CY28,Travail!CY39,Travail!CY50)))</f>
        <v>0</v>
      </c>
      <c r="DC123" s="182" t="str">
        <f t="shared" si="32"/>
        <v>lot3</v>
      </c>
      <c r="DE123" s="168">
        <f>IF(DE77=0,0,VALUE(CONCATENATE(Travail!DE28,Travail!DE39,Travail!DE50)))</f>
        <v>0</v>
      </c>
      <c r="DF123" s="168">
        <f>IF(DF77=0,0,VALUE(CONCATENATE(Travail!DF28,Travail!DF39,Travail!DF50)))</f>
        <v>0</v>
      </c>
      <c r="DG123" s="168">
        <f>IF(DG77=0,0,VALUE(CONCATENATE(Travail!DG28,Travail!DG39,Travail!DG50)))</f>
        <v>0</v>
      </c>
      <c r="DH123" s="168">
        <f>IF(DH77=0,0,VALUE(CONCATENATE(Travail!DH28,Travail!DH39,Travail!DH50)))</f>
        <v>0</v>
      </c>
      <c r="DI123" s="168">
        <f>IF(DI77=0,0,VALUE(CONCATENATE(Travail!DI28,Travail!DI39,Travail!DI50)))</f>
        <v>0</v>
      </c>
      <c r="DJ123" s="168">
        <f>IF(DJ77=0,0,VALUE(CONCATENATE(Travail!DJ28,Travail!DJ39,Travail!DJ50)))</f>
        <v>0</v>
      </c>
      <c r="DK123" s="168">
        <f>IF(DK77=0,0,VALUE(CONCATENATE(Travail!DK28,Travail!DK39,Travail!DK50)))</f>
        <v>0</v>
      </c>
      <c r="DL123" s="168">
        <f>IF(DL77=0,0,VALUE(CONCATENATE(Travail!DL28,Travail!DL39,Travail!DL50)))</f>
        <v>0</v>
      </c>
      <c r="DM123" s="168">
        <f>IF(DM77=0,0,VALUE(CONCATENATE(Travail!DM28,Travail!DM39,Travail!DM50)))</f>
        <v>0</v>
      </c>
      <c r="DN123" s="168">
        <f>IF(DN77=0,0,VALUE(CONCATENATE(Travail!DN28,Travail!DN39,Travail!DN50)))</f>
        <v>0</v>
      </c>
      <c r="DO123" s="168">
        <f>IF(DO77=0,0,VALUE(CONCATENATE(Travail!DO28,Travail!DO39,Travail!DO50)))</f>
        <v>0</v>
      </c>
      <c r="DP123" s="168">
        <f>IF(DP77=0,0,VALUE(CONCATENATE(Travail!DP28,Travail!DP39,Travail!DP50)))</f>
        <v>0</v>
      </c>
      <c r="DQ123" s="168">
        <f>IF(DQ77=0,0,VALUE(CONCATENATE(Travail!DQ28,Travail!DQ39,Travail!DQ50)))</f>
        <v>0</v>
      </c>
      <c r="DR123" s="168">
        <f>IF(DR77=0,0,VALUE(CONCATENATE(Travail!DR28,Travail!DR39,Travail!DR50)))</f>
        <v>0</v>
      </c>
      <c r="DS123" s="168">
        <f>IF(DS77=0,0,VALUE(CONCATENATE(Travail!DS28,Travail!DS39,Travail!DS50)))</f>
        <v>0</v>
      </c>
      <c r="DT123" s="168">
        <f>IF(DT77=0,0,VALUE(CONCATENATE(Travail!DT28,Travail!DT39,Travail!DT50)))</f>
        <v>0</v>
      </c>
      <c r="DU123" s="168">
        <f>IF(DU77=0,0,VALUE(CONCATENATE(Travail!DU28,Travail!DU39,Travail!DU50)))</f>
        <v>0</v>
      </c>
      <c r="DV123" s="168">
        <f>IF(DV77=0,0,VALUE(CONCATENATE(Travail!DV28,Travail!DV39,Travail!DV50)))</f>
        <v>0</v>
      </c>
      <c r="DW123" s="168">
        <f>IF(DW77=0,0,VALUE(CONCATENATE(Travail!DW28,Travail!DW39,Travail!DW50)))</f>
        <v>0</v>
      </c>
      <c r="DX123" s="168">
        <f>IF(DX77=0,0,VALUE(CONCATENATE(Travail!DX28,Travail!DX39,Travail!DX50)))</f>
        <v>0</v>
      </c>
      <c r="DY123" s="168">
        <f>IF(DY77=0,0,VALUE(CONCATENATE(Travail!DY28,Travail!DY39,Travail!DY50)))</f>
        <v>0</v>
      </c>
      <c r="DZ123" s="168">
        <f>IF(DZ77=0,0,VALUE(CONCATENATE(Travail!DZ28,Travail!DZ39,Travail!DZ50)))</f>
        <v>0</v>
      </c>
      <c r="EA123" s="168">
        <f>IF(EA77=0,0,VALUE(CONCATENATE(Travail!EA28,Travail!EA39,Travail!EA50)))</f>
        <v>0</v>
      </c>
      <c r="EB123" s="168">
        <f>IF(EB77=0,0,VALUE(CONCATENATE(Travail!EB28,Travail!EB39,Travail!EB50)))</f>
        <v>0</v>
      </c>
    </row>
    <row r="124" spans="2:132" x14ac:dyDescent="0.25">
      <c r="B124" s="14" t="s">
        <v>1191</v>
      </c>
      <c r="C124" s="168">
        <f>COUNTIF($H$116:$AE$125,5)/2</f>
        <v>0</v>
      </c>
      <c r="D124" s="168">
        <f t="shared" si="25"/>
        <v>0</v>
      </c>
      <c r="G124" s="30" t="str">
        <f>CdTrp3!A84</f>
        <v>lot9</v>
      </c>
      <c r="H124" s="30">
        <f>CdTrp3!B84</f>
        <v>0</v>
      </c>
      <c r="I124" s="30">
        <f>CdTrp3!C84</f>
        <v>0</v>
      </c>
      <c r="J124" s="30">
        <f>CdTrp3!D84</f>
        <v>0</v>
      </c>
      <c r="K124" s="30">
        <f>CdTrp3!E84</f>
        <v>0</v>
      </c>
      <c r="L124" s="30">
        <f>CdTrp3!F84</f>
        <v>0</v>
      </c>
      <c r="M124" s="30">
        <f>CdTrp3!G84</f>
        <v>0</v>
      </c>
      <c r="N124" s="30">
        <f>CdTrp3!H84</f>
        <v>0</v>
      </c>
      <c r="O124" s="30">
        <f>CdTrp3!I84</f>
        <v>0</v>
      </c>
      <c r="P124" s="30">
        <f>CdTrp3!J84</f>
        <v>0</v>
      </c>
      <c r="Q124" s="30">
        <f>CdTrp3!K84</f>
        <v>0</v>
      </c>
      <c r="R124" s="30">
        <f>CdTrp3!L84</f>
        <v>0</v>
      </c>
      <c r="S124" s="30">
        <f>CdTrp3!M84</f>
        <v>0</v>
      </c>
      <c r="T124" s="30">
        <f>CdTrp3!N84</f>
        <v>0</v>
      </c>
      <c r="U124" s="30">
        <f>CdTrp3!O84</f>
        <v>0</v>
      </c>
      <c r="V124" s="30">
        <f>CdTrp3!P84</f>
        <v>0</v>
      </c>
      <c r="W124" s="30">
        <f>CdTrp3!Q84</f>
        <v>0</v>
      </c>
      <c r="X124" s="30">
        <f>CdTrp3!R84</f>
        <v>0</v>
      </c>
      <c r="Y124" s="30">
        <f>CdTrp3!S84</f>
        <v>0</v>
      </c>
      <c r="Z124" s="30">
        <f>CdTrp3!T84</f>
        <v>0</v>
      </c>
      <c r="AA124" s="30">
        <f>CdTrp3!U84</f>
        <v>0</v>
      </c>
      <c r="AB124" s="30">
        <f>CdTrp3!V84</f>
        <v>0</v>
      </c>
      <c r="AC124" s="30">
        <f>CdTrp3!W84</f>
        <v>0</v>
      </c>
      <c r="AD124" s="30">
        <f>CdTrp3!X84</f>
        <v>0</v>
      </c>
      <c r="AE124" s="30">
        <f>CdTrp3!Y84</f>
        <v>0</v>
      </c>
      <c r="AT124" s="182" t="str">
        <f t="shared" ref="AT124:AT130" si="33">+AT112</f>
        <v>broutards</v>
      </c>
      <c r="AV124" s="168">
        <f>IF(AV78=0,0,IF(AV101=3,0,VALUE(CONCATENATE(Travail!AV29,Travail!AV40,Travail!AV51))))</f>
        <v>0</v>
      </c>
      <c r="AW124" s="168">
        <f>IF(AW78=0,0,IF(AW101=3,0,VALUE(CONCATENATE(Travail!AW29,Travail!AW40,Travail!AW51))))</f>
        <v>0</v>
      </c>
      <c r="AX124" s="168">
        <f>IF(AX78=0,0,IF(AX101=3,0,VALUE(CONCATENATE(Travail!AX29,Travail!AX40,Travail!AX51))))</f>
        <v>0</v>
      </c>
      <c r="AY124" s="168">
        <f>IF(AY78=0,0,IF(AY101=3,0,VALUE(CONCATENATE(Travail!AY29,Travail!AY40,Travail!AY51))))</f>
        <v>0</v>
      </c>
      <c r="AZ124" s="168">
        <f>IF(AZ78=0,0,IF(AZ101=3,0,VALUE(CONCATENATE(Travail!AZ29,Travail!AZ40,Travail!AZ51))))</f>
        <v>0</v>
      </c>
      <c r="BA124" s="168">
        <f>IF(BA78=0,0,IF(BA101=3,0,VALUE(CONCATENATE(Travail!BA29,Travail!BA40,Travail!BA51))))</f>
        <v>0</v>
      </c>
      <c r="BB124" s="168">
        <f>IF(BB78=0,0,IF(BB101=3,0,VALUE(CONCATENATE(Travail!BB29,Travail!BB40,Travail!BB51))))</f>
        <v>0</v>
      </c>
      <c r="BC124" s="168">
        <f>IF(BC78=0,0,IF(BC101=3,0,VALUE(CONCATENATE(Travail!BC29,Travail!BC40,Travail!BC51))))</f>
        <v>0</v>
      </c>
      <c r="BD124" s="168">
        <f>IF(BD78=0,0,IF(BD101=3,0,VALUE(CONCATENATE(Travail!BD29,Travail!BD40,Travail!BD51))))</f>
        <v>0</v>
      </c>
      <c r="BE124" s="168">
        <f>IF(BE78=0,0,IF(BE101=3,0,VALUE(CONCATENATE(Travail!BE29,Travail!BE40,Travail!BE51))))</f>
        <v>0</v>
      </c>
      <c r="BF124" s="168">
        <f>IF(BF78=0,0,IF(BF101=3,0,VALUE(CONCATENATE(Travail!BF29,Travail!BF40,Travail!BF51))))</f>
        <v>0</v>
      </c>
      <c r="BG124" s="168">
        <f>IF(BG78=0,0,IF(BG101=3,0,VALUE(CONCATENATE(Travail!BG29,Travail!BG40,Travail!BG51))))</f>
        <v>0</v>
      </c>
      <c r="BH124" s="168">
        <f>IF(BH78=0,0,IF(BH101=3,0,VALUE(CONCATENATE(Travail!BH29,Travail!BH40,Travail!BH51))))</f>
        <v>0</v>
      </c>
      <c r="BI124" s="168">
        <f>IF(BI78=0,0,IF(BI101=3,0,VALUE(CONCATENATE(Travail!BI29,Travail!BI40,Travail!BI51))))</f>
        <v>0</v>
      </c>
      <c r="BJ124" s="168">
        <f>IF(BJ78=0,0,IF(BJ101=3,0,VALUE(CONCATENATE(Travail!BJ29,Travail!BJ40,Travail!BJ51))))</f>
        <v>0</v>
      </c>
      <c r="BK124" s="168">
        <f>IF(BK78=0,0,IF(BK101=3,0,VALUE(CONCATENATE(Travail!BK29,Travail!BK40,Travail!BK51))))</f>
        <v>0</v>
      </c>
      <c r="BL124" s="168">
        <f>IF(BL78=0,0,IF(BL101=3,0,VALUE(CONCATENATE(Travail!BL29,Travail!BL40,Travail!BL51))))</f>
        <v>0</v>
      </c>
      <c r="BM124" s="168">
        <f>IF(BM78=0,0,IF(BM101=3,0,VALUE(CONCATENATE(Travail!BM29,Travail!BM40,Travail!BM51))))</f>
        <v>0</v>
      </c>
      <c r="BN124" s="168">
        <f>IF(BN78=0,0,IF(BN101=3,0,VALUE(CONCATENATE(Travail!BN29,Travail!BN40,Travail!BN51))))</f>
        <v>0</v>
      </c>
      <c r="BO124" s="168">
        <f>IF(BO78=0,0,IF(BO101=3,0,VALUE(CONCATENATE(Travail!BO29,Travail!BO40,Travail!BO51))))</f>
        <v>0</v>
      </c>
      <c r="BP124" s="168">
        <f>IF(BP78=0,0,IF(BP101=3,0,VALUE(CONCATENATE(Travail!BP29,Travail!BP40,Travail!BP51))))</f>
        <v>0</v>
      </c>
      <c r="BQ124" s="168">
        <f>IF(BQ78=0,0,IF(BQ101=3,0,VALUE(CONCATENATE(Travail!BQ29,Travail!BQ40,Travail!BQ51))))</f>
        <v>0</v>
      </c>
      <c r="BR124" s="168">
        <f>IF(BR78=0,0,IF(BR101=3,0,VALUE(CONCATENATE(Travail!BR29,Travail!BR40,Travail!BR51))))</f>
        <v>0</v>
      </c>
      <c r="BS124" s="168">
        <f>IF(BS78=0,0,IF(BS101=3,0,VALUE(CONCATENATE(Travail!BS29,Travail!BS40,Travail!BS51))))</f>
        <v>0</v>
      </c>
      <c r="BZ124" s="182" t="str">
        <f t="shared" si="31"/>
        <v>lot4</v>
      </c>
      <c r="CB124" s="168">
        <f>IF(CB78=0,0,VALUE(CONCATENATE(Travail!CB29,Travail!CB40,Travail!CB51)))</f>
        <v>0</v>
      </c>
      <c r="CC124" s="168">
        <f>IF(CC78=0,0,VALUE(CONCATENATE(Travail!CC29,Travail!CC40,Travail!CC51)))</f>
        <v>0</v>
      </c>
      <c r="CD124" s="168">
        <f>IF(CD78=0,0,VALUE(CONCATENATE(Travail!CD29,Travail!CD40,Travail!CD51)))</f>
        <v>0</v>
      </c>
      <c r="CE124" s="168">
        <f>IF(CE78=0,0,VALUE(CONCATENATE(Travail!CE29,Travail!CE40,Travail!CE51)))</f>
        <v>0</v>
      </c>
      <c r="CF124" s="168">
        <f>IF(CF78=0,0,VALUE(CONCATENATE(Travail!CF29,Travail!CF40,Travail!CF51)))</f>
        <v>0</v>
      </c>
      <c r="CG124" s="168">
        <f>IF(CG78=0,0,VALUE(CONCATENATE(Travail!CG29,Travail!CG40,Travail!CG51)))</f>
        <v>0</v>
      </c>
      <c r="CH124" s="168">
        <f>IF(CH78=0,0,VALUE(CONCATENATE(Travail!CH29,Travail!CH40,Travail!CH51)))</f>
        <v>0</v>
      </c>
      <c r="CI124" s="168">
        <f>IF(CI78=0,0,VALUE(CONCATENATE(Travail!CI29,Travail!CI40,Travail!CI51)))</f>
        <v>0</v>
      </c>
      <c r="CJ124" s="168">
        <f>IF(CJ78=0,0,VALUE(CONCATENATE(Travail!CJ29,Travail!CJ40,Travail!CJ51)))</f>
        <v>0</v>
      </c>
      <c r="CK124" s="168">
        <f>IF(CK78=0,0,VALUE(CONCATENATE(Travail!CK29,Travail!CK40,Travail!CK51)))</f>
        <v>0</v>
      </c>
      <c r="CL124" s="168">
        <f>IF(CL78=0,0,VALUE(CONCATENATE(Travail!CL29,Travail!CL40,Travail!CL51)))</f>
        <v>0</v>
      </c>
      <c r="CM124" s="168">
        <f>IF(CM78=0,0,VALUE(CONCATENATE(Travail!CM29,Travail!CM40,Travail!CM51)))</f>
        <v>0</v>
      </c>
      <c r="CN124" s="168">
        <f>IF(CN78=0,0,VALUE(CONCATENATE(Travail!CN29,Travail!CN40,Travail!CN51)))</f>
        <v>0</v>
      </c>
      <c r="CO124" s="168">
        <f>IF(CO78=0,0,VALUE(CONCATENATE(Travail!CO29,Travail!CO40,Travail!CO51)))</f>
        <v>0</v>
      </c>
      <c r="CP124" s="168">
        <f>IF(CP78=0,0,VALUE(CONCATENATE(Travail!CP29,Travail!CP40,Travail!CP51)))</f>
        <v>0</v>
      </c>
      <c r="CQ124" s="168">
        <f>IF(CQ78=0,0,VALUE(CONCATENATE(Travail!CQ29,Travail!CQ40,Travail!CQ51)))</f>
        <v>0</v>
      </c>
      <c r="CR124" s="168">
        <f>IF(CR78=0,0,VALUE(CONCATENATE(Travail!CR29,Travail!CR40,Travail!CR51)))</f>
        <v>0</v>
      </c>
      <c r="CS124" s="168">
        <f>IF(CS78=0,0,VALUE(CONCATENATE(Travail!CS29,Travail!CS40,Travail!CS51)))</f>
        <v>0</v>
      </c>
      <c r="CT124" s="168">
        <f>IF(CT78=0,0,VALUE(CONCATENATE(Travail!CT29,Travail!CT40,Travail!CT51)))</f>
        <v>0</v>
      </c>
      <c r="CU124" s="168">
        <f>IF(CU78=0,0,VALUE(CONCATENATE(Travail!CU29,Travail!CU40,Travail!CU51)))</f>
        <v>0</v>
      </c>
      <c r="CV124" s="168">
        <f>IF(CV78=0,0,VALUE(CONCATENATE(Travail!CV29,Travail!CV40,Travail!CV51)))</f>
        <v>0</v>
      </c>
      <c r="CW124" s="168">
        <f>IF(CW78=0,0,VALUE(CONCATENATE(Travail!CW29,Travail!CW40,Travail!CW51)))</f>
        <v>0</v>
      </c>
      <c r="CX124" s="168">
        <f>IF(CX78=0,0,VALUE(CONCATENATE(Travail!CX29,Travail!CX40,Travail!CX51)))</f>
        <v>0</v>
      </c>
      <c r="CY124" s="168">
        <f>IF(CY78=0,0,VALUE(CONCATENATE(Travail!CY29,Travail!CY40,Travail!CY51)))</f>
        <v>0</v>
      </c>
      <c r="DC124" s="182" t="str">
        <f t="shared" si="32"/>
        <v>lot4</v>
      </c>
      <c r="DE124" s="168">
        <f>IF(DE78=0,0,VALUE(CONCATENATE(Travail!DE29,Travail!DE40,Travail!DE51)))</f>
        <v>0</v>
      </c>
      <c r="DF124" s="168">
        <f>IF(DF78=0,0,VALUE(CONCATENATE(Travail!DF29,Travail!DF40,Travail!DF51)))</f>
        <v>0</v>
      </c>
      <c r="DG124" s="168">
        <f>IF(DG78=0,0,VALUE(CONCATENATE(Travail!DG29,Travail!DG40,Travail!DG51)))</f>
        <v>0</v>
      </c>
      <c r="DH124" s="168">
        <f>IF(DH78=0,0,VALUE(CONCATENATE(Travail!DH29,Travail!DH40,Travail!DH51)))</f>
        <v>0</v>
      </c>
      <c r="DI124" s="168">
        <f>IF(DI78=0,0,VALUE(CONCATENATE(Travail!DI29,Travail!DI40,Travail!DI51)))</f>
        <v>0</v>
      </c>
      <c r="DJ124" s="168">
        <f>IF(DJ78=0,0,VALUE(CONCATENATE(Travail!DJ29,Travail!DJ40,Travail!DJ51)))</f>
        <v>0</v>
      </c>
      <c r="DK124" s="168">
        <f>IF(DK78=0,0,VALUE(CONCATENATE(Travail!DK29,Travail!DK40,Travail!DK51)))</f>
        <v>0</v>
      </c>
      <c r="DL124" s="168">
        <f>IF(DL78=0,0,VALUE(CONCATENATE(Travail!DL29,Travail!DL40,Travail!DL51)))</f>
        <v>0</v>
      </c>
      <c r="DM124" s="168">
        <f>IF(DM78=0,0,VALUE(CONCATENATE(Travail!DM29,Travail!DM40,Travail!DM51)))</f>
        <v>0</v>
      </c>
      <c r="DN124" s="168">
        <f>IF(DN78=0,0,VALUE(CONCATENATE(Travail!DN29,Travail!DN40,Travail!DN51)))</f>
        <v>0</v>
      </c>
      <c r="DO124" s="168">
        <f>IF(DO78=0,0,VALUE(CONCATENATE(Travail!DO29,Travail!DO40,Travail!DO51)))</f>
        <v>0</v>
      </c>
      <c r="DP124" s="168">
        <f>IF(DP78=0,0,VALUE(CONCATENATE(Travail!DP29,Travail!DP40,Travail!DP51)))</f>
        <v>0</v>
      </c>
      <c r="DQ124" s="168">
        <f>IF(DQ78=0,0,VALUE(CONCATENATE(Travail!DQ29,Travail!DQ40,Travail!DQ51)))</f>
        <v>0</v>
      </c>
      <c r="DR124" s="168">
        <f>IF(DR78=0,0,VALUE(CONCATENATE(Travail!DR29,Travail!DR40,Travail!DR51)))</f>
        <v>0</v>
      </c>
      <c r="DS124" s="168">
        <f>IF(DS78=0,0,VALUE(CONCATENATE(Travail!DS29,Travail!DS40,Travail!DS51)))</f>
        <v>0</v>
      </c>
      <c r="DT124" s="168">
        <f>IF(DT78=0,0,VALUE(CONCATENATE(Travail!DT29,Travail!DT40,Travail!DT51)))</f>
        <v>0</v>
      </c>
      <c r="DU124" s="168">
        <f>IF(DU78=0,0,VALUE(CONCATENATE(Travail!DU29,Travail!DU40,Travail!DU51)))</f>
        <v>0</v>
      </c>
      <c r="DV124" s="168">
        <f>IF(DV78=0,0,VALUE(CONCATENATE(Travail!DV29,Travail!DV40,Travail!DV51)))</f>
        <v>0</v>
      </c>
      <c r="DW124" s="168">
        <f>IF(DW78=0,0,VALUE(CONCATENATE(Travail!DW29,Travail!DW40,Travail!DW51)))</f>
        <v>0</v>
      </c>
      <c r="DX124" s="168">
        <f>IF(DX78=0,0,VALUE(CONCATENATE(Travail!DX29,Travail!DX40,Travail!DX51)))</f>
        <v>0</v>
      </c>
      <c r="DY124" s="168">
        <f>IF(DY78=0,0,VALUE(CONCATENATE(Travail!DY29,Travail!DY40,Travail!DY51)))</f>
        <v>0</v>
      </c>
      <c r="DZ124" s="168">
        <f>IF(DZ78=0,0,VALUE(CONCATENATE(Travail!DZ29,Travail!DZ40,Travail!DZ51)))</f>
        <v>0</v>
      </c>
      <c r="EA124" s="168">
        <f>IF(EA78=0,0,VALUE(CONCATENATE(Travail!EA29,Travail!EA40,Travail!EA51)))</f>
        <v>0</v>
      </c>
      <c r="EB124" s="168">
        <f>IF(EB78=0,0,VALUE(CONCATENATE(Travail!EB29,Travail!EB40,Travail!EB51)))</f>
        <v>0</v>
      </c>
    </row>
    <row r="125" spans="2:132" x14ac:dyDescent="0.25">
      <c r="B125" s="14" t="s">
        <v>1192</v>
      </c>
      <c r="C125" s="168">
        <f t="shared" ref="C125:C132" si="34">SUM(H134:AE134)/2</f>
        <v>0</v>
      </c>
      <c r="D125" s="168">
        <f t="shared" si="25"/>
        <v>0</v>
      </c>
      <c r="G125" s="251" t="str">
        <f>CdTrp3!A85</f>
        <v>lot10</v>
      </c>
      <c r="H125" s="30">
        <f>CdTrp3!B85</f>
        <v>0</v>
      </c>
      <c r="I125" s="30">
        <f>CdTrp3!C85</f>
        <v>0</v>
      </c>
      <c r="J125" s="30">
        <f>CdTrp3!D85</f>
        <v>0</v>
      </c>
      <c r="K125" s="30">
        <f>CdTrp3!E85</f>
        <v>0</v>
      </c>
      <c r="L125" s="30">
        <f>CdTrp3!F85</f>
        <v>0</v>
      </c>
      <c r="M125" s="30">
        <f>CdTrp3!G85</f>
        <v>0</v>
      </c>
      <c r="N125" s="30">
        <f>CdTrp3!H85</f>
        <v>0</v>
      </c>
      <c r="O125" s="30">
        <f>CdTrp3!I85</f>
        <v>0</v>
      </c>
      <c r="P125" s="30">
        <f>CdTrp3!J85</f>
        <v>0</v>
      </c>
      <c r="Q125" s="30">
        <f>CdTrp3!K85</f>
        <v>0</v>
      </c>
      <c r="R125" s="30">
        <f>CdTrp3!L85</f>
        <v>0</v>
      </c>
      <c r="S125" s="30">
        <f>CdTrp3!M85</f>
        <v>0</v>
      </c>
      <c r="T125" s="30">
        <f>CdTrp3!N85</f>
        <v>0</v>
      </c>
      <c r="U125" s="30">
        <f>CdTrp3!O85</f>
        <v>0</v>
      </c>
      <c r="V125" s="30">
        <f>CdTrp3!P85</f>
        <v>0</v>
      </c>
      <c r="W125" s="30">
        <f>CdTrp3!Q85</f>
        <v>0</v>
      </c>
      <c r="X125" s="30">
        <f>CdTrp3!R85</f>
        <v>0</v>
      </c>
      <c r="Y125" s="30">
        <f>CdTrp3!S85</f>
        <v>0</v>
      </c>
      <c r="Z125" s="30">
        <f>CdTrp3!T85</f>
        <v>0</v>
      </c>
      <c r="AA125" s="30">
        <f>CdTrp3!U85</f>
        <v>0</v>
      </c>
      <c r="AB125" s="30">
        <f>CdTrp3!V85</f>
        <v>0</v>
      </c>
      <c r="AC125" s="30">
        <f>CdTrp3!W85</f>
        <v>0</v>
      </c>
      <c r="AD125" s="30">
        <f>CdTrp3!X85</f>
        <v>0</v>
      </c>
      <c r="AE125" s="30">
        <f>CdTrp3!Y85</f>
        <v>0</v>
      </c>
      <c r="AT125" s="182" t="str">
        <f t="shared" si="33"/>
        <v>génisses &lt; 1 an</v>
      </c>
      <c r="AV125" s="168">
        <f>IF(AV79=0,0,IF(AV102=3,0,VALUE(CONCATENATE(Travail!AV30,Travail!AV41,Travail!AV52))))</f>
        <v>0</v>
      </c>
      <c r="AW125" s="168">
        <f>IF(AW79=0,0,IF(AW102=3,0,VALUE(CONCATENATE(Travail!AW30,Travail!AW41,Travail!AW52))))</f>
        <v>0</v>
      </c>
      <c r="AX125" s="168">
        <f>IF(AX79=0,0,IF(AX102=3,0,VALUE(CONCATENATE(Travail!AX30,Travail!AX41,Travail!AX52))))</f>
        <v>0</v>
      </c>
      <c r="AY125" s="168">
        <f>IF(AY79=0,0,IF(AY102=3,0,VALUE(CONCATENATE(Travail!AY30,Travail!AY41,Travail!AY52))))</f>
        <v>0</v>
      </c>
      <c r="AZ125" s="168">
        <f>IF(AZ79=0,0,IF(AZ102=3,0,VALUE(CONCATENATE(Travail!AZ30,Travail!AZ41,Travail!AZ52))))</f>
        <v>0</v>
      </c>
      <c r="BA125" s="168">
        <f>IF(BA79=0,0,IF(BA102=3,0,VALUE(CONCATENATE(Travail!BA30,Travail!BA41,Travail!BA52))))</f>
        <v>0</v>
      </c>
      <c r="BB125" s="168">
        <f>IF(BB79=0,0,IF(BB102=3,0,VALUE(CONCATENATE(Travail!BB30,Travail!BB41,Travail!BB52))))</f>
        <v>0</v>
      </c>
      <c r="BC125" s="168">
        <f>IF(BC79=0,0,IF(BC102=3,0,VALUE(CONCATENATE(Travail!BC30,Travail!BC41,Travail!BC52))))</f>
        <v>0</v>
      </c>
      <c r="BD125" s="168">
        <f>IF(BD79=0,0,IF(BD102=3,0,VALUE(CONCATENATE(Travail!BD30,Travail!BD41,Travail!BD52))))</f>
        <v>0</v>
      </c>
      <c r="BE125" s="168">
        <f>IF(BE79=0,0,IF(BE102=3,0,VALUE(CONCATENATE(Travail!BE30,Travail!BE41,Travail!BE52))))</f>
        <v>0</v>
      </c>
      <c r="BF125" s="168">
        <f>IF(BF79=0,0,IF(BF102=3,0,VALUE(CONCATENATE(Travail!BF30,Travail!BF41,Travail!BF52))))</f>
        <v>0</v>
      </c>
      <c r="BG125" s="168">
        <f>IF(BG79=0,0,IF(BG102=3,0,VALUE(CONCATENATE(Travail!BG30,Travail!BG41,Travail!BG52))))</f>
        <v>0</v>
      </c>
      <c r="BH125" s="168">
        <f>IF(BH79=0,0,IF(BH102=3,0,VALUE(CONCATENATE(Travail!BH30,Travail!BH41,Travail!BH52))))</f>
        <v>0</v>
      </c>
      <c r="BI125" s="168">
        <f>IF(BI79=0,0,IF(BI102=3,0,VALUE(CONCATENATE(Travail!BI30,Travail!BI41,Travail!BI52))))</f>
        <v>0</v>
      </c>
      <c r="BJ125" s="168">
        <f>IF(BJ79=0,0,IF(BJ102=3,0,VALUE(CONCATENATE(Travail!BJ30,Travail!BJ41,Travail!BJ52))))</f>
        <v>0</v>
      </c>
      <c r="BK125" s="168">
        <f>IF(BK79=0,0,IF(BK102=3,0,VALUE(CONCATENATE(Travail!BK30,Travail!BK41,Travail!BK52))))</f>
        <v>0</v>
      </c>
      <c r="BL125" s="168">
        <f>IF(BL79=0,0,IF(BL102=3,0,VALUE(CONCATENATE(Travail!BL30,Travail!BL41,Travail!BL52))))</f>
        <v>0</v>
      </c>
      <c r="BM125" s="168">
        <f>IF(BM79=0,0,IF(BM102=3,0,VALUE(CONCATENATE(Travail!BM30,Travail!BM41,Travail!BM52))))</f>
        <v>0</v>
      </c>
      <c r="BN125" s="168">
        <f>IF(BN79=0,0,IF(BN102=3,0,VALUE(CONCATENATE(Travail!BN30,Travail!BN41,Travail!BN52))))</f>
        <v>0</v>
      </c>
      <c r="BO125" s="168">
        <f>IF(BO79=0,0,IF(BO102=3,0,VALUE(CONCATENATE(Travail!BO30,Travail!BO41,Travail!BO52))))</f>
        <v>0</v>
      </c>
      <c r="BP125" s="168">
        <f>IF(BP79=0,0,IF(BP102=3,0,VALUE(CONCATENATE(Travail!BP30,Travail!BP41,Travail!BP52))))</f>
        <v>0</v>
      </c>
      <c r="BQ125" s="168">
        <f>IF(BQ79=0,0,IF(BQ102=3,0,VALUE(CONCATENATE(Travail!BQ30,Travail!BQ41,Travail!BQ52))))</f>
        <v>0</v>
      </c>
      <c r="BR125" s="168">
        <f>IF(BR79=0,0,IF(BR102=3,0,VALUE(CONCATENATE(Travail!BR30,Travail!BR41,Travail!BR52))))</f>
        <v>0</v>
      </c>
      <c r="BS125" s="168">
        <f>IF(BS79=0,0,IF(BS102=3,0,VALUE(CONCATENATE(Travail!BS30,Travail!BS41,Travail!BS52))))</f>
        <v>0</v>
      </c>
      <c r="BZ125" s="182" t="str">
        <f t="shared" si="31"/>
        <v>lot5</v>
      </c>
      <c r="CB125" s="168">
        <f>IF(CB79=0,0,VALUE(CONCATENATE(Travail!CB30,Travail!CB41,Travail!CB52)))</f>
        <v>0</v>
      </c>
      <c r="CC125" s="168">
        <f>IF(CC79=0,0,VALUE(CONCATENATE(Travail!CC30,Travail!CC41,Travail!CC52)))</f>
        <v>0</v>
      </c>
      <c r="CD125" s="168">
        <f>IF(CD79=0,0,VALUE(CONCATENATE(Travail!CD30,Travail!CD41,Travail!CD52)))</f>
        <v>0</v>
      </c>
      <c r="CE125" s="168">
        <f>IF(CE79=0,0,VALUE(CONCATENATE(Travail!CE30,Travail!CE41,Travail!CE52)))</f>
        <v>0</v>
      </c>
      <c r="CF125" s="168">
        <f>IF(CF79=0,0,VALUE(CONCATENATE(Travail!CF30,Travail!CF41,Travail!CF52)))</f>
        <v>0</v>
      </c>
      <c r="CG125" s="168">
        <f>IF(CG79=0,0,VALUE(CONCATENATE(Travail!CG30,Travail!CG41,Travail!CG52)))</f>
        <v>0</v>
      </c>
      <c r="CH125" s="168">
        <f>IF(CH79=0,0,VALUE(CONCATENATE(Travail!CH30,Travail!CH41,Travail!CH52)))</f>
        <v>0</v>
      </c>
      <c r="CI125" s="168">
        <f>IF(CI79=0,0,VALUE(CONCATENATE(Travail!CI30,Travail!CI41,Travail!CI52)))</f>
        <v>0</v>
      </c>
      <c r="CJ125" s="168">
        <f>IF(CJ79=0,0,VALUE(CONCATENATE(Travail!CJ30,Travail!CJ41,Travail!CJ52)))</f>
        <v>0</v>
      </c>
      <c r="CK125" s="168">
        <f>IF(CK79=0,0,VALUE(CONCATENATE(Travail!CK30,Travail!CK41,Travail!CK52)))</f>
        <v>0</v>
      </c>
      <c r="CL125" s="168">
        <f>IF(CL79=0,0,VALUE(CONCATENATE(Travail!CL30,Travail!CL41,Travail!CL52)))</f>
        <v>0</v>
      </c>
      <c r="CM125" s="168">
        <f>IF(CM79=0,0,VALUE(CONCATENATE(Travail!CM30,Travail!CM41,Travail!CM52)))</f>
        <v>0</v>
      </c>
      <c r="CN125" s="168">
        <f>IF(CN79=0,0,VALUE(CONCATENATE(Travail!CN30,Travail!CN41,Travail!CN52)))</f>
        <v>0</v>
      </c>
      <c r="CO125" s="168">
        <f>IF(CO79=0,0,VALUE(CONCATENATE(Travail!CO30,Travail!CO41,Travail!CO52)))</f>
        <v>0</v>
      </c>
      <c r="CP125" s="168">
        <f>IF(CP79=0,0,VALUE(CONCATENATE(Travail!CP30,Travail!CP41,Travail!CP52)))</f>
        <v>0</v>
      </c>
      <c r="CQ125" s="168">
        <f>IF(CQ79=0,0,VALUE(CONCATENATE(Travail!CQ30,Travail!CQ41,Travail!CQ52)))</f>
        <v>0</v>
      </c>
      <c r="CR125" s="168">
        <f>IF(CR79=0,0,VALUE(CONCATENATE(Travail!CR30,Travail!CR41,Travail!CR52)))</f>
        <v>0</v>
      </c>
      <c r="CS125" s="168">
        <f>IF(CS79=0,0,VALUE(CONCATENATE(Travail!CS30,Travail!CS41,Travail!CS52)))</f>
        <v>0</v>
      </c>
      <c r="CT125" s="168">
        <f>IF(CT79=0,0,VALUE(CONCATENATE(Travail!CT30,Travail!CT41,Travail!CT52)))</f>
        <v>0</v>
      </c>
      <c r="CU125" s="168">
        <f>IF(CU79=0,0,VALUE(CONCATENATE(Travail!CU30,Travail!CU41,Travail!CU52)))</f>
        <v>0</v>
      </c>
      <c r="CV125" s="168">
        <f>IF(CV79=0,0,VALUE(CONCATENATE(Travail!CV30,Travail!CV41,Travail!CV52)))</f>
        <v>0</v>
      </c>
      <c r="CW125" s="168">
        <f>IF(CW79=0,0,VALUE(CONCATENATE(Travail!CW30,Travail!CW41,Travail!CW52)))</f>
        <v>0</v>
      </c>
      <c r="CX125" s="168">
        <f>IF(CX79=0,0,VALUE(CONCATENATE(Travail!CX30,Travail!CX41,Travail!CX52)))</f>
        <v>0</v>
      </c>
      <c r="CY125" s="168">
        <f>IF(CY79=0,0,VALUE(CONCATENATE(Travail!CY30,Travail!CY41,Travail!CY52)))</f>
        <v>0</v>
      </c>
      <c r="DC125" s="182" t="str">
        <f t="shared" si="32"/>
        <v>lot5</v>
      </c>
      <c r="DE125" s="168">
        <f>IF(DE79=0,0,VALUE(CONCATENATE(Travail!DE30,Travail!DE41,Travail!DE52)))</f>
        <v>0</v>
      </c>
      <c r="DF125" s="168">
        <f>IF(DF79=0,0,VALUE(CONCATENATE(Travail!DF30,Travail!DF41,Travail!DF52)))</f>
        <v>0</v>
      </c>
      <c r="DG125" s="168">
        <f>IF(DG79=0,0,VALUE(CONCATENATE(Travail!DG30,Travail!DG41,Travail!DG52)))</f>
        <v>0</v>
      </c>
      <c r="DH125" s="168">
        <f>IF(DH79=0,0,VALUE(CONCATENATE(Travail!DH30,Travail!DH41,Travail!DH52)))</f>
        <v>0</v>
      </c>
      <c r="DI125" s="168">
        <f>IF(DI79=0,0,VALUE(CONCATENATE(Travail!DI30,Travail!DI41,Travail!DI52)))</f>
        <v>0</v>
      </c>
      <c r="DJ125" s="168">
        <f>IF(DJ79=0,0,VALUE(CONCATENATE(Travail!DJ30,Travail!DJ41,Travail!DJ52)))</f>
        <v>0</v>
      </c>
      <c r="DK125" s="168">
        <f>IF(DK79=0,0,VALUE(CONCATENATE(Travail!DK30,Travail!DK41,Travail!DK52)))</f>
        <v>0</v>
      </c>
      <c r="DL125" s="168">
        <f>IF(DL79=0,0,VALUE(CONCATENATE(Travail!DL30,Travail!DL41,Travail!DL52)))</f>
        <v>0</v>
      </c>
      <c r="DM125" s="168">
        <f>IF(DM79=0,0,VALUE(CONCATENATE(Travail!DM30,Travail!DM41,Travail!DM52)))</f>
        <v>0</v>
      </c>
      <c r="DN125" s="168">
        <f>IF(DN79=0,0,VALUE(CONCATENATE(Travail!DN30,Travail!DN41,Travail!DN52)))</f>
        <v>0</v>
      </c>
      <c r="DO125" s="168">
        <f>IF(DO79=0,0,VALUE(CONCATENATE(Travail!DO30,Travail!DO41,Travail!DO52)))</f>
        <v>0</v>
      </c>
      <c r="DP125" s="168">
        <f>IF(DP79=0,0,VALUE(CONCATENATE(Travail!DP30,Travail!DP41,Travail!DP52)))</f>
        <v>0</v>
      </c>
      <c r="DQ125" s="168">
        <f>IF(DQ79=0,0,VALUE(CONCATENATE(Travail!DQ30,Travail!DQ41,Travail!DQ52)))</f>
        <v>0</v>
      </c>
      <c r="DR125" s="168">
        <f>IF(DR79=0,0,VALUE(CONCATENATE(Travail!DR30,Travail!DR41,Travail!DR52)))</f>
        <v>0</v>
      </c>
      <c r="DS125" s="168">
        <f>IF(DS79=0,0,VALUE(CONCATENATE(Travail!DS30,Travail!DS41,Travail!DS52)))</f>
        <v>0</v>
      </c>
      <c r="DT125" s="168">
        <f>IF(DT79=0,0,VALUE(CONCATENATE(Travail!DT30,Travail!DT41,Travail!DT52)))</f>
        <v>0</v>
      </c>
      <c r="DU125" s="168">
        <f>IF(DU79=0,0,VALUE(CONCATENATE(Travail!DU30,Travail!DU41,Travail!DU52)))</f>
        <v>0</v>
      </c>
      <c r="DV125" s="168">
        <f>IF(DV79=0,0,VALUE(CONCATENATE(Travail!DV30,Travail!DV41,Travail!DV52)))</f>
        <v>0</v>
      </c>
      <c r="DW125" s="168">
        <f>IF(DW79=0,0,VALUE(CONCATENATE(Travail!DW30,Travail!DW41,Travail!DW52)))</f>
        <v>0</v>
      </c>
      <c r="DX125" s="168">
        <f>IF(DX79=0,0,VALUE(CONCATENATE(Travail!DX30,Travail!DX41,Travail!DX52)))</f>
        <v>0</v>
      </c>
      <c r="DY125" s="168">
        <f>IF(DY79=0,0,VALUE(CONCATENATE(Travail!DY30,Travail!DY41,Travail!DY52)))</f>
        <v>0</v>
      </c>
      <c r="DZ125" s="168">
        <f>IF(DZ79=0,0,VALUE(CONCATENATE(Travail!DZ30,Travail!DZ41,Travail!DZ52)))</f>
        <v>0</v>
      </c>
      <c r="EA125" s="168">
        <f>IF(EA79=0,0,VALUE(CONCATENATE(Travail!EA30,Travail!EA41,Travail!EA52)))</f>
        <v>0</v>
      </c>
      <c r="EB125" s="168">
        <f>IF(EB79=0,0,VALUE(CONCATENATE(Travail!EB30,Travail!EB41,Travail!EB52)))</f>
        <v>0</v>
      </c>
    </row>
    <row r="126" spans="2:132" x14ac:dyDescent="0.25">
      <c r="B126" s="14" t="s">
        <v>1193</v>
      </c>
      <c r="C126" s="168">
        <f t="shared" si="34"/>
        <v>0</v>
      </c>
      <c r="D126" s="168">
        <f t="shared" si="25"/>
        <v>0</v>
      </c>
      <c r="AT126" s="182" t="str">
        <f t="shared" si="33"/>
        <v>lot6</v>
      </c>
      <c r="AV126" s="168">
        <f>IF(AV80=0,0,IF(AV103=3,0,VALUE(CONCATENATE(Travail!AV31,Travail!AV42,Travail!AV53))))</f>
        <v>0</v>
      </c>
      <c r="AW126" s="168">
        <f>IF(AW80=0,0,IF(AW103=3,0,VALUE(CONCATENATE(Travail!AW31,Travail!AW42,Travail!AW53))))</f>
        <v>0</v>
      </c>
      <c r="AX126" s="168">
        <f>IF(AX80=0,0,IF(AX103=3,0,VALUE(CONCATENATE(Travail!AX31,Travail!AX42,Travail!AX53))))</f>
        <v>0</v>
      </c>
      <c r="AY126" s="168">
        <f>IF(AY80=0,0,IF(AY103=3,0,VALUE(CONCATENATE(Travail!AY31,Travail!AY42,Travail!AY53))))</f>
        <v>0</v>
      </c>
      <c r="AZ126" s="168">
        <f>IF(AZ80=0,0,IF(AZ103=3,0,VALUE(CONCATENATE(Travail!AZ31,Travail!AZ42,Travail!AZ53))))</f>
        <v>0</v>
      </c>
      <c r="BA126" s="168">
        <f>IF(BA80=0,0,IF(BA103=3,0,VALUE(CONCATENATE(Travail!BA31,Travail!BA42,Travail!BA53))))</f>
        <v>0</v>
      </c>
      <c r="BB126" s="168">
        <f>IF(BB80=0,0,IF(BB103=3,0,VALUE(CONCATENATE(Travail!BB31,Travail!BB42,Travail!BB53))))</f>
        <v>0</v>
      </c>
      <c r="BC126" s="168">
        <f>IF(BC80=0,0,IF(BC103=3,0,VALUE(CONCATENATE(Travail!BC31,Travail!BC42,Travail!BC53))))</f>
        <v>0</v>
      </c>
      <c r="BD126" s="168">
        <f>IF(BD80=0,0,IF(BD103=3,0,VALUE(CONCATENATE(Travail!BD31,Travail!BD42,Travail!BD53))))</f>
        <v>0</v>
      </c>
      <c r="BE126" s="168">
        <f>IF(BE80=0,0,IF(BE103=3,0,VALUE(CONCATENATE(Travail!BE31,Travail!BE42,Travail!BE53))))</f>
        <v>0</v>
      </c>
      <c r="BF126" s="168">
        <f>IF(BF80=0,0,IF(BF103=3,0,VALUE(CONCATENATE(Travail!BF31,Travail!BF42,Travail!BF53))))</f>
        <v>0</v>
      </c>
      <c r="BG126" s="168">
        <f>IF(BG80=0,0,IF(BG103=3,0,VALUE(CONCATENATE(Travail!BG31,Travail!BG42,Travail!BG53))))</f>
        <v>0</v>
      </c>
      <c r="BH126" s="168">
        <f>IF(BH80=0,0,IF(BH103=3,0,VALUE(CONCATENATE(Travail!BH31,Travail!BH42,Travail!BH53))))</f>
        <v>0</v>
      </c>
      <c r="BI126" s="168">
        <f>IF(BI80=0,0,IF(BI103=3,0,VALUE(CONCATENATE(Travail!BI31,Travail!BI42,Travail!BI53))))</f>
        <v>0</v>
      </c>
      <c r="BJ126" s="168">
        <f>IF(BJ80=0,0,IF(BJ103=3,0,VALUE(CONCATENATE(Travail!BJ31,Travail!BJ42,Travail!BJ53))))</f>
        <v>0</v>
      </c>
      <c r="BK126" s="168">
        <f>IF(BK80=0,0,IF(BK103=3,0,VALUE(CONCATENATE(Travail!BK31,Travail!BK42,Travail!BK53))))</f>
        <v>0</v>
      </c>
      <c r="BL126" s="168">
        <f>IF(BL80=0,0,IF(BL103=3,0,VALUE(CONCATENATE(Travail!BL31,Travail!BL42,Travail!BL53))))</f>
        <v>0</v>
      </c>
      <c r="BM126" s="168">
        <f>IF(BM80=0,0,IF(BM103=3,0,VALUE(CONCATENATE(Travail!BM31,Travail!BM42,Travail!BM53))))</f>
        <v>0</v>
      </c>
      <c r="BN126" s="168">
        <f>IF(BN80=0,0,IF(BN103=3,0,VALUE(CONCATENATE(Travail!BN31,Travail!BN42,Travail!BN53))))</f>
        <v>0</v>
      </c>
      <c r="BO126" s="168">
        <f>IF(BO80=0,0,IF(BO103=3,0,VALUE(CONCATENATE(Travail!BO31,Travail!BO42,Travail!BO53))))</f>
        <v>0</v>
      </c>
      <c r="BP126" s="168">
        <f>IF(BP80=0,0,IF(BP103=3,0,VALUE(CONCATENATE(Travail!BP31,Travail!BP42,Travail!BP53))))</f>
        <v>0</v>
      </c>
      <c r="BQ126" s="168">
        <f>IF(BQ80=0,0,IF(BQ103=3,0,VALUE(CONCATENATE(Travail!BQ31,Travail!BQ42,Travail!BQ53))))</f>
        <v>0</v>
      </c>
      <c r="BR126" s="168">
        <f>IF(BR80=0,0,IF(BR103=3,0,VALUE(CONCATENATE(Travail!BR31,Travail!BR42,Travail!BR53))))</f>
        <v>0</v>
      </c>
      <c r="BS126" s="168">
        <f>IF(BS80=0,0,IF(BS103=3,0,VALUE(CONCATENATE(Travail!BS31,Travail!BS42,Travail!BS53))))</f>
        <v>0</v>
      </c>
      <c r="BZ126" s="182" t="str">
        <f t="shared" si="31"/>
        <v>lot6</v>
      </c>
      <c r="CB126" s="168">
        <f>IF(CB80=0,0,VALUE(CONCATENATE(Travail!CB31,Travail!CB42,Travail!CB53)))</f>
        <v>0</v>
      </c>
      <c r="CC126" s="168">
        <f>IF(CC80=0,0,VALUE(CONCATENATE(Travail!CC31,Travail!CC42,Travail!CC53)))</f>
        <v>0</v>
      </c>
      <c r="CD126" s="168">
        <f>IF(CD80=0,0,VALUE(CONCATENATE(Travail!CD31,Travail!CD42,Travail!CD53)))</f>
        <v>0</v>
      </c>
      <c r="CE126" s="168">
        <f>IF(CE80=0,0,VALUE(CONCATENATE(Travail!CE31,Travail!CE42,Travail!CE53)))</f>
        <v>0</v>
      </c>
      <c r="CF126" s="168">
        <f>IF(CF80=0,0,VALUE(CONCATENATE(Travail!CF31,Travail!CF42,Travail!CF53)))</f>
        <v>0</v>
      </c>
      <c r="CG126" s="168">
        <f>IF(CG80=0,0,VALUE(CONCATENATE(Travail!CG31,Travail!CG42,Travail!CG53)))</f>
        <v>0</v>
      </c>
      <c r="CH126" s="168">
        <f>IF(CH80=0,0,VALUE(CONCATENATE(Travail!CH31,Travail!CH42,Travail!CH53)))</f>
        <v>0</v>
      </c>
      <c r="CI126" s="168">
        <f>IF(CI80=0,0,VALUE(CONCATENATE(Travail!CI31,Travail!CI42,Travail!CI53)))</f>
        <v>0</v>
      </c>
      <c r="CJ126" s="168">
        <f>IF(CJ80=0,0,VALUE(CONCATENATE(Travail!CJ31,Travail!CJ42,Travail!CJ53)))</f>
        <v>0</v>
      </c>
      <c r="CK126" s="168">
        <f>IF(CK80=0,0,VALUE(CONCATENATE(Travail!CK31,Travail!CK42,Travail!CK53)))</f>
        <v>0</v>
      </c>
      <c r="CL126" s="168">
        <f>IF(CL80=0,0,VALUE(CONCATENATE(Travail!CL31,Travail!CL42,Travail!CL53)))</f>
        <v>0</v>
      </c>
      <c r="CM126" s="168">
        <f>IF(CM80=0,0,VALUE(CONCATENATE(Travail!CM31,Travail!CM42,Travail!CM53)))</f>
        <v>0</v>
      </c>
      <c r="CN126" s="168">
        <f>IF(CN80=0,0,VALUE(CONCATENATE(Travail!CN31,Travail!CN42,Travail!CN53)))</f>
        <v>0</v>
      </c>
      <c r="CO126" s="168">
        <f>IF(CO80=0,0,VALUE(CONCATENATE(Travail!CO31,Travail!CO42,Travail!CO53)))</f>
        <v>0</v>
      </c>
      <c r="CP126" s="168">
        <f>IF(CP80=0,0,VALUE(CONCATENATE(Travail!CP31,Travail!CP42,Travail!CP53)))</f>
        <v>0</v>
      </c>
      <c r="CQ126" s="168">
        <f>IF(CQ80=0,0,VALUE(CONCATENATE(Travail!CQ31,Travail!CQ42,Travail!CQ53)))</f>
        <v>0</v>
      </c>
      <c r="CR126" s="168">
        <f>IF(CR80=0,0,VALUE(CONCATENATE(Travail!CR31,Travail!CR42,Travail!CR53)))</f>
        <v>0</v>
      </c>
      <c r="CS126" s="168">
        <f>IF(CS80=0,0,VALUE(CONCATENATE(Travail!CS31,Travail!CS42,Travail!CS53)))</f>
        <v>0</v>
      </c>
      <c r="CT126" s="168">
        <f>IF(CT80=0,0,VALUE(CONCATENATE(Travail!CT31,Travail!CT42,Travail!CT53)))</f>
        <v>0</v>
      </c>
      <c r="CU126" s="168">
        <f>IF(CU80=0,0,VALUE(CONCATENATE(Travail!CU31,Travail!CU42,Travail!CU53)))</f>
        <v>0</v>
      </c>
      <c r="CV126" s="168">
        <f>IF(CV80=0,0,VALUE(CONCATENATE(Travail!CV31,Travail!CV42,Travail!CV53)))</f>
        <v>0</v>
      </c>
      <c r="CW126" s="168">
        <f>IF(CW80=0,0,VALUE(CONCATENATE(Travail!CW31,Travail!CW42,Travail!CW53)))</f>
        <v>0</v>
      </c>
      <c r="CX126" s="168">
        <f>IF(CX80=0,0,VALUE(CONCATENATE(Travail!CX31,Travail!CX42,Travail!CX53)))</f>
        <v>0</v>
      </c>
      <c r="CY126" s="168">
        <f>IF(CY80=0,0,VALUE(CONCATENATE(Travail!CY31,Travail!CY42,Travail!CY53)))</f>
        <v>0</v>
      </c>
      <c r="DC126" s="182" t="str">
        <f t="shared" si="32"/>
        <v>lot6</v>
      </c>
      <c r="DE126" s="168">
        <f>IF(DE80=0,0,VALUE(CONCATENATE(Travail!DE31,Travail!DE42,Travail!DE53)))</f>
        <v>0</v>
      </c>
      <c r="DF126" s="168">
        <f>IF(DF80=0,0,VALUE(CONCATENATE(Travail!DF31,Travail!DF42,Travail!DF53)))</f>
        <v>0</v>
      </c>
      <c r="DG126" s="168">
        <f>IF(DG80=0,0,VALUE(CONCATENATE(Travail!DG31,Travail!DG42,Travail!DG53)))</f>
        <v>0</v>
      </c>
      <c r="DH126" s="168">
        <f>IF(DH80=0,0,VALUE(CONCATENATE(Travail!DH31,Travail!DH42,Travail!DH53)))</f>
        <v>0</v>
      </c>
      <c r="DI126" s="168">
        <f>IF(DI80=0,0,VALUE(CONCATENATE(Travail!DI31,Travail!DI42,Travail!DI53)))</f>
        <v>0</v>
      </c>
      <c r="DJ126" s="168">
        <f>IF(DJ80=0,0,VALUE(CONCATENATE(Travail!DJ31,Travail!DJ42,Travail!DJ53)))</f>
        <v>0</v>
      </c>
      <c r="DK126" s="168">
        <f>IF(DK80=0,0,VALUE(CONCATENATE(Travail!DK31,Travail!DK42,Travail!DK53)))</f>
        <v>0</v>
      </c>
      <c r="DL126" s="168">
        <f>IF(DL80=0,0,VALUE(CONCATENATE(Travail!DL31,Travail!DL42,Travail!DL53)))</f>
        <v>0</v>
      </c>
      <c r="DM126" s="168">
        <f>IF(DM80=0,0,VALUE(CONCATENATE(Travail!DM31,Travail!DM42,Travail!DM53)))</f>
        <v>0</v>
      </c>
      <c r="DN126" s="168">
        <f>IF(DN80=0,0,VALUE(CONCATENATE(Travail!DN31,Travail!DN42,Travail!DN53)))</f>
        <v>0</v>
      </c>
      <c r="DO126" s="168">
        <f>IF(DO80=0,0,VALUE(CONCATENATE(Travail!DO31,Travail!DO42,Travail!DO53)))</f>
        <v>0</v>
      </c>
      <c r="DP126" s="168">
        <f>IF(DP80=0,0,VALUE(CONCATENATE(Travail!DP31,Travail!DP42,Travail!DP53)))</f>
        <v>0</v>
      </c>
      <c r="DQ126" s="168">
        <f>IF(DQ80=0,0,VALUE(CONCATENATE(Travail!DQ31,Travail!DQ42,Travail!DQ53)))</f>
        <v>0</v>
      </c>
      <c r="DR126" s="168">
        <f>IF(DR80=0,0,VALUE(CONCATENATE(Travail!DR31,Travail!DR42,Travail!DR53)))</f>
        <v>0</v>
      </c>
      <c r="DS126" s="168">
        <f>IF(DS80=0,0,VALUE(CONCATENATE(Travail!DS31,Travail!DS42,Travail!DS53)))</f>
        <v>0</v>
      </c>
      <c r="DT126" s="168">
        <f>IF(DT80=0,0,VALUE(CONCATENATE(Travail!DT31,Travail!DT42,Travail!DT53)))</f>
        <v>0</v>
      </c>
      <c r="DU126" s="168">
        <f>IF(DU80=0,0,VALUE(CONCATENATE(Travail!DU31,Travail!DU42,Travail!DU53)))</f>
        <v>0</v>
      </c>
      <c r="DV126" s="168">
        <f>IF(DV80=0,0,VALUE(CONCATENATE(Travail!DV31,Travail!DV42,Travail!DV53)))</f>
        <v>0</v>
      </c>
      <c r="DW126" s="168">
        <f>IF(DW80=0,0,VALUE(CONCATENATE(Travail!DW31,Travail!DW42,Travail!DW53)))</f>
        <v>0</v>
      </c>
      <c r="DX126" s="168">
        <f>IF(DX80=0,0,VALUE(CONCATENATE(Travail!DX31,Travail!DX42,Travail!DX53)))</f>
        <v>0</v>
      </c>
      <c r="DY126" s="168">
        <f>IF(DY80=0,0,VALUE(CONCATENATE(Travail!DY31,Travail!DY42,Travail!DY53)))</f>
        <v>0</v>
      </c>
      <c r="DZ126" s="168">
        <f>IF(DZ80=0,0,VALUE(CONCATENATE(Travail!DZ31,Travail!DZ42,Travail!DZ53)))</f>
        <v>0</v>
      </c>
      <c r="EA126" s="168">
        <f>IF(EA80=0,0,VALUE(CONCATENATE(Travail!EA31,Travail!EA42,Travail!EA53)))</f>
        <v>0</v>
      </c>
      <c r="EB126" s="168">
        <f>IF(EB80=0,0,VALUE(CONCATENATE(Travail!EB31,Travail!EB42,Travail!EB53)))</f>
        <v>0</v>
      </c>
    </row>
    <row r="127" spans="2:132" x14ac:dyDescent="0.25">
      <c r="B127" s="14" t="s">
        <v>1194</v>
      </c>
      <c r="C127" s="168">
        <f t="shared" si="34"/>
        <v>0</v>
      </c>
      <c r="D127" s="168">
        <f t="shared" si="25"/>
        <v>0</v>
      </c>
      <c r="AT127" s="182" t="str">
        <f t="shared" si="33"/>
        <v>lot7</v>
      </c>
      <c r="AV127" s="168">
        <f>IF(AV81=0,0,IF(AV104=3,0,VALUE(CONCATENATE(Travail!AV32,Travail!AV43,Travail!AV54))))</f>
        <v>0</v>
      </c>
      <c r="AW127" s="168">
        <f>IF(AW81=0,0,IF(AW104=3,0,VALUE(CONCATENATE(Travail!AW32,Travail!AW43,Travail!AW54))))</f>
        <v>0</v>
      </c>
      <c r="AX127" s="168">
        <f>IF(AX81=0,0,IF(AX104=3,0,VALUE(CONCATENATE(Travail!AX32,Travail!AX43,Travail!AX54))))</f>
        <v>0</v>
      </c>
      <c r="AY127" s="168">
        <f>IF(AY81=0,0,IF(AY104=3,0,VALUE(CONCATENATE(Travail!AY32,Travail!AY43,Travail!AY54))))</f>
        <v>0</v>
      </c>
      <c r="AZ127" s="168">
        <f>IF(AZ81=0,0,IF(AZ104=3,0,VALUE(CONCATENATE(Travail!AZ32,Travail!AZ43,Travail!AZ54))))</f>
        <v>0</v>
      </c>
      <c r="BA127" s="168">
        <f>IF(BA81=0,0,IF(BA104=3,0,VALUE(CONCATENATE(Travail!BA32,Travail!BA43,Travail!BA54))))</f>
        <v>0</v>
      </c>
      <c r="BB127" s="168">
        <f>IF(BB81=0,0,IF(BB104=3,0,VALUE(CONCATENATE(Travail!BB32,Travail!BB43,Travail!BB54))))</f>
        <v>0</v>
      </c>
      <c r="BC127" s="168">
        <f>IF(BC81=0,0,IF(BC104=3,0,VALUE(CONCATENATE(Travail!BC32,Travail!BC43,Travail!BC54))))</f>
        <v>0</v>
      </c>
      <c r="BD127" s="168">
        <f>IF(BD81=0,0,IF(BD104=3,0,VALUE(CONCATENATE(Travail!BD32,Travail!BD43,Travail!BD54))))</f>
        <v>0</v>
      </c>
      <c r="BE127" s="168">
        <f>IF(BE81=0,0,IF(BE104=3,0,VALUE(CONCATENATE(Travail!BE32,Travail!BE43,Travail!BE54))))</f>
        <v>0</v>
      </c>
      <c r="BF127" s="168">
        <f>IF(BF81=0,0,IF(BF104=3,0,VALUE(CONCATENATE(Travail!BF32,Travail!BF43,Travail!BF54))))</f>
        <v>0</v>
      </c>
      <c r="BG127" s="168">
        <f>IF(BG81=0,0,IF(BG104=3,0,VALUE(CONCATENATE(Travail!BG32,Travail!BG43,Travail!BG54))))</f>
        <v>0</v>
      </c>
      <c r="BH127" s="168">
        <f>IF(BH81=0,0,IF(BH104=3,0,VALUE(CONCATENATE(Travail!BH32,Travail!BH43,Travail!BH54))))</f>
        <v>0</v>
      </c>
      <c r="BI127" s="168">
        <f>IF(BI81=0,0,IF(BI104=3,0,VALUE(CONCATENATE(Travail!BI32,Travail!BI43,Travail!BI54))))</f>
        <v>0</v>
      </c>
      <c r="BJ127" s="168">
        <f>IF(BJ81=0,0,IF(BJ104=3,0,VALUE(CONCATENATE(Travail!BJ32,Travail!BJ43,Travail!BJ54))))</f>
        <v>0</v>
      </c>
      <c r="BK127" s="168">
        <f>IF(BK81=0,0,IF(BK104=3,0,VALUE(CONCATENATE(Travail!BK32,Travail!BK43,Travail!BK54))))</f>
        <v>0</v>
      </c>
      <c r="BL127" s="168">
        <f>IF(BL81=0,0,IF(BL104=3,0,VALUE(CONCATENATE(Travail!BL32,Travail!BL43,Travail!BL54))))</f>
        <v>0</v>
      </c>
      <c r="BM127" s="168">
        <f>IF(BM81=0,0,IF(BM104=3,0,VALUE(CONCATENATE(Travail!BM32,Travail!BM43,Travail!BM54))))</f>
        <v>0</v>
      </c>
      <c r="BN127" s="168">
        <f>IF(BN81=0,0,IF(BN104=3,0,VALUE(CONCATENATE(Travail!BN32,Travail!BN43,Travail!BN54))))</f>
        <v>0</v>
      </c>
      <c r="BO127" s="168">
        <f>IF(BO81=0,0,IF(BO104=3,0,VALUE(CONCATENATE(Travail!BO32,Travail!BO43,Travail!BO54))))</f>
        <v>0</v>
      </c>
      <c r="BP127" s="168">
        <f>IF(BP81=0,0,IF(BP104=3,0,VALUE(CONCATENATE(Travail!BP32,Travail!BP43,Travail!BP54))))</f>
        <v>0</v>
      </c>
      <c r="BQ127" s="168">
        <f>IF(BQ81=0,0,IF(BQ104=3,0,VALUE(CONCATENATE(Travail!BQ32,Travail!BQ43,Travail!BQ54))))</f>
        <v>0</v>
      </c>
      <c r="BR127" s="168">
        <f>IF(BR81=0,0,IF(BR104=3,0,VALUE(CONCATENATE(Travail!BR32,Travail!BR43,Travail!BR54))))</f>
        <v>0</v>
      </c>
      <c r="BS127" s="168">
        <f>IF(BS81=0,0,IF(BS104=3,0,VALUE(CONCATENATE(Travail!BS32,Travail!BS43,Travail!BS54))))</f>
        <v>0</v>
      </c>
      <c r="BZ127" s="182" t="str">
        <f t="shared" si="31"/>
        <v>lot7</v>
      </c>
      <c r="CB127" s="168">
        <f>IF(CB81=0,0,VALUE(CONCATENATE(Travail!CB32,Travail!CB43,Travail!CB54)))</f>
        <v>0</v>
      </c>
      <c r="CC127" s="168">
        <f>IF(CC81=0,0,VALUE(CONCATENATE(Travail!CC32,Travail!CC43,Travail!CC54)))</f>
        <v>0</v>
      </c>
      <c r="CD127" s="168">
        <f>IF(CD81=0,0,VALUE(CONCATENATE(Travail!CD32,Travail!CD43,Travail!CD54)))</f>
        <v>0</v>
      </c>
      <c r="CE127" s="168">
        <f>IF(CE81=0,0,VALUE(CONCATENATE(Travail!CE32,Travail!CE43,Travail!CE54)))</f>
        <v>0</v>
      </c>
      <c r="CF127" s="168">
        <f>IF(CF81=0,0,VALUE(CONCATENATE(Travail!CF32,Travail!CF43,Travail!CF54)))</f>
        <v>0</v>
      </c>
      <c r="CG127" s="168">
        <f>IF(CG81=0,0,VALUE(CONCATENATE(Travail!CG32,Travail!CG43,Travail!CG54)))</f>
        <v>0</v>
      </c>
      <c r="CH127" s="168">
        <f>IF(CH81=0,0,VALUE(CONCATENATE(Travail!CH32,Travail!CH43,Travail!CH54)))</f>
        <v>0</v>
      </c>
      <c r="CI127" s="168">
        <f>IF(CI81=0,0,VALUE(CONCATENATE(Travail!CI32,Travail!CI43,Travail!CI54)))</f>
        <v>0</v>
      </c>
      <c r="CJ127" s="168">
        <f>IF(CJ81=0,0,VALUE(CONCATENATE(Travail!CJ32,Travail!CJ43,Travail!CJ54)))</f>
        <v>0</v>
      </c>
      <c r="CK127" s="168">
        <f>IF(CK81=0,0,VALUE(CONCATENATE(Travail!CK32,Travail!CK43,Travail!CK54)))</f>
        <v>0</v>
      </c>
      <c r="CL127" s="168">
        <f>IF(CL81=0,0,VALUE(CONCATENATE(Travail!CL32,Travail!CL43,Travail!CL54)))</f>
        <v>0</v>
      </c>
      <c r="CM127" s="168">
        <f>IF(CM81=0,0,VALUE(CONCATENATE(Travail!CM32,Travail!CM43,Travail!CM54)))</f>
        <v>0</v>
      </c>
      <c r="CN127" s="168">
        <f>IF(CN81=0,0,VALUE(CONCATENATE(Travail!CN32,Travail!CN43,Travail!CN54)))</f>
        <v>0</v>
      </c>
      <c r="CO127" s="168">
        <f>IF(CO81=0,0,VALUE(CONCATENATE(Travail!CO32,Travail!CO43,Travail!CO54)))</f>
        <v>0</v>
      </c>
      <c r="CP127" s="168">
        <f>IF(CP81=0,0,VALUE(CONCATENATE(Travail!CP32,Travail!CP43,Travail!CP54)))</f>
        <v>0</v>
      </c>
      <c r="CQ127" s="168">
        <f>IF(CQ81=0,0,VALUE(CONCATENATE(Travail!CQ32,Travail!CQ43,Travail!CQ54)))</f>
        <v>0</v>
      </c>
      <c r="CR127" s="168">
        <f>IF(CR81=0,0,VALUE(CONCATENATE(Travail!CR32,Travail!CR43,Travail!CR54)))</f>
        <v>0</v>
      </c>
      <c r="CS127" s="168">
        <f>IF(CS81=0,0,VALUE(CONCATENATE(Travail!CS32,Travail!CS43,Travail!CS54)))</f>
        <v>0</v>
      </c>
      <c r="CT127" s="168">
        <f>IF(CT81=0,0,VALUE(CONCATENATE(Travail!CT32,Travail!CT43,Travail!CT54)))</f>
        <v>0</v>
      </c>
      <c r="CU127" s="168">
        <f>IF(CU81=0,0,VALUE(CONCATENATE(Travail!CU32,Travail!CU43,Travail!CU54)))</f>
        <v>0</v>
      </c>
      <c r="CV127" s="168">
        <f>IF(CV81=0,0,VALUE(CONCATENATE(Travail!CV32,Travail!CV43,Travail!CV54)))</f>
        <v>0</v>
      </c>
      <c r="CW127" s="168">
        <f>IF(CW81=0,0,VALUE(CONCATENATE(Travail!CW32,Travail!CW43,Travail!CW54)))</f>
        <v>0</v>
      </c>
      <c r="CX127" s="168">
        <f>IF(CX81=0,0,VALUE(CONCATENATE(Travail!CX32,Travail!CX43,Travail!CX54)))</f>
        <v>0</v>
      </c>
      <c r="CY127" s="168">
        <f>IF(CY81=0,0,VALUE(CONCATENATE(Travail!CY32,Travail!CY43,Travail!CY54)))</f>
        <v>0</v>
      </c>
      <c r="DC127" s="182" t="str">
        <f t="shared" si="32"/>
        <v>lot7</v>
      </c>
      <c r="DE127" s="168">
        <f>IF(DE81=0,0,VALUE(CONCATENATE(Travail!DE32,Travail!DE43,Travail!DE54)))</f>
        <v>0</v>
      </c>
      <c r="DF127" s="168">
        <f>IF(DF81=0,0,VALUE(CONCATENATE(Travail!DF32,Travail!DF43,Travail!DF54)))</f>
        <v>0</v>
      </c>
      <c r="DG127" s="168">
        <f>IF(DG81=0,0,VALUE(CONCATENATE(Travail!DG32,Travail!DG43,Travail!DG54)))</f>
        <v>0</v>
      </c>
      <c r="DH127" s="168">
        <f>IF(DH81=0,0,VALUE(CONCATENATE(Travail!DH32,Travail!DH43,Travail!DH54)))</f>
        <v>0</v>
      </c>
      <c r="DI127" s="168">
        <f>IF(DI81=0,0,VALUE(CONCATENATE(Travail!DI32,Travail!DI43,Travail!DI54)))</f>
        <v>0</v>
      </c>
      <c r="DJ127" s="168">
        <f>IF(DJ81=0,0,VALUE(CONCATENATE(Travail!DJ32,Travail!DJ43,Travail!DJ54)))</f>
        <v>0</v>
      </c>
      <c r="DK127" s="168">
        <f>IF(DK81=0,0,VALUE(CONCATENATE(Travail!DK32,Travail!DK43,Travail!DK54)))</f>
        <v>0</v>
      </c>
      <c r="DL127" s="168">
        <f>IF(DL81=0,0,VALUE(CONCATENATE(Travail!DL32,Travail!DL43,Travail!DL54)))</f>
        <v>0</v>
      </c>
      <c r="DM127" s="168">
        <f>IF(DM81=0,0,VALUE(CONCATENATE(Travail!DM32,Travail!DM43,Travail!DM54)))</f>
        <v>0</v>
      </c>
      <c r="DN127" s="168">
        <f>IF(DN81=0,0,VALUE(CONCATENATE(Travail!DN32,Travail!DN43,Travail!DN54)))</f>
        <v>0</v>
      </c>
      <c r="DO127" s="168">
        <f>IF(DO81=0,0,VALUE(CONCATENATE(Travail!DO32,Travail!DO43,Travail!DO54)))</f>
        <v>0</v>
      </c>
      <c r="DP127" s="168">
        <f>IF(DP81=0,0,VALUE(CONCATENATE(Travail!DP32,Travail!DP43,Travail!DP54)))</f>
        <v>0</v>
      </c>
      <c r="DQ127" s="168">
        <f>IF(DQ81=0,0,VALUE(CONCATENATE(Travail!DQ32,Travail!DQ43,Travail!DQ54)))</f>
        <v>0</v>
      </c>
      <c r="DR127" s="168">
        <f>IF(DR81=0,0,VALUE(CONCATENATE(Travail!DR32,Travail!DR43,Travail!DR54)))</f>
        <v>0</v>
      </c>
      <c r="DS127" s="168">
        <f>IF(DS81=0,0,VALUE(CONCATENATE(Travail!DS32,Travail!DS43,Travail!DS54)))</f>
        <v>0</v>
      </c>
      <c r="DT127" s="168">
        <f>IF(DT81=0,0,VALUE(CONCATENATE(Travail!DT32,Travail!DT43,Travail!DT54)))</f>
        <v>0</v>
      </c>
      <c r="DU127" s="168">
        <f>IF(DU81=0,0,VALUE(CONCATENATE(Travail!DU32,Travail!DU43,Travail!DU54)))</f>
        <v>0</v>
      </c>
      <c r="DV127" s="168">
        <f>IF(DV81=0,0,VALUE(CONCATENATE(Travail!DV32,Travail!DV43,Travail!DV54)))</f>
        <v>0</v>
      </c>
      <c r="DW127" s="168">
        <f>IF(DW81=0,0,VALUE(CONCATENATE(Travail!DW32,Travail!DW43,Travail!DW54)))</f>
        <v>0</v>
      </c>
      <c r="DX127" s="168">
        <f>IF(DX81=0,0,VALUE(CONCATENATE(Travail!DX32,Travail!DX43,Travail!DX54)))</f>
        <v>0</v>
      </c>
      <c r="DY127" s="168">
        <f>IF(DY81=0,0,VALUE(CONCATENATE(Travail!DY32,Travail!DY43,Travail!DY54)))</f>
        <v>0</v>
      </c>
      <c r="DZ127" s="168">
        <f>IF(DZ81=0,0,VALUE(CONCATENATE(Travail!DZ32,Travail!DZ43,Travail!DZ54)))</f>
        <v>0</v>
      </c>
      <c r="EA127" s="168">
        <f>IF(EA81=0,0,VALUE(CONCATENATE(Travail!EA32,Travail!EA43,Travail!EA54)))</f>
        <v>0</v>
      </c>
      <c r="EB127" s="168">
        <f>IF(EB81=0,0,VALUE(CONCATENATE(Travail!EB32,Travail!EB43,Travail!EB54)))</f>
        <v>0</v>
      </c>
    </row>
    <row r="128" spans="2:132" x14ac:dyDescent="0.25">
      <c r="B128" s="14" t="s">
        <v>1195</v>
      </c>
      <c r="C128" s="168">
        <f t="shared" si="34"/>
        <v>0</v>
      </c>
      <c r="D128" s="168">
        <f t="shared" si="25"/>
        <v>0</v>
      </c>
      <c r="F128" s="14" t="s">
        <v>1196</v>
      </c>
      <c r="AT128" s="182" t="str">
        <f t="shared" si="33"/>
        <v>lot8</v>
      </c>
      <c r="AV128" s="168">
        <f>IF(AV82=0,0,IF(AV105=3,0,VALUE(CONCATENATE(Travail!AV33,Travail!AV44,Travail!AV55))))</f>
        <v>0</v>
      </c>
      <c r="AW128" s="168">
        <f>IF(AW82=0,0,IF(AW105=3,0,VALUE(CONCATENATE(Travail!AW33,Travail!AW44,Travail!AW55))))</f>
        <v>0</v>
      </c>
      <c r="AX128" s="168">
        <f>IF(AX82=0,0,IF(AX105=3,0,VALUE(CONCATENATE(Travail!AX33,Travail!AX44,Travail!AX55))))</f>
        <v>0</v>
      </c>
      <c r="AY128" s="168">
        <f>IF(AY82=0,0,IF(AY105=3,0,VALUE(CONCATENATE(Travail!AY33,Travail!AY44,Travail!AY55))))</f>
        <v>0</v>
      </c>
      <c r="AZ128" s="168">
        <f>IF(AZ82=0,0,IF(AZ105=3,0,VALUE(CONCATENATE(Travail!AZ33,Travail!AZ44,Travail!AZ55))))</f>
        <v>0</v>
      </c>
      <c r="BA128" s="168">
        <f>IF(BA82=0,0,IF(BA105=3,0,VALUE(CONCATENATE(Travail!BA33,Travail!BA44,Travail!BA55))))</f>
        <v>0</v>
      </c>
      <c r="BB128" s="168">
        <f>IF(BB82=0,0,IF(BB105=3,0,VALUE(CONCATENATE(Travail!BB33,Travail!BB44,Travail!BB55))))</f>
        <v>0</v>
      </c>
      <c r="BC128" s="168">
        <f>IF(BC82=0,0,IF(BC105=3,0,VALUE(CONCATENATE(Travail!BC33,Travail!BC44,Travail!BC55))))</f>
        <v>0</v>
      </c>
      <c r="BD128" s="168">
        <f>IF(BD82=0,0,IF(BD105=3,0,VALUE(CONCATENATE(Travail!BD33,Travail!BD44,Travail!BD55))))</f>
        <v>0</v>
      </c>
      <c r="BE128" s="168">
        <f>IF(BE82=0,0,IF(BE105=3,0,VALUE(CONCATENATE(Travail!BE33,Travail!BE44,Travail!BE55))))</f>
        <v>0</v>
      </c>
      <c r="BF128" s="168">
        <f>IF(BF82=0,0,IF(BF105=3,0,VALUE(CONCATENATE(Travail!BF33,Travail!BF44,Travail!BF55))))</f>
        <v>0</v>
      </c>
      <c r="BG128" s="168">
        <f>IF(BG82=0,0,IF(BG105=3,0,VALUE(CONCATENATE(Travail!BG33,Travail!BG44,Travail!BG55))))</f>
        <v>0</v>
      </c>
      <c r="BH128" s="168">
        <f>IF(BH82=0,0,IF(BH105=3,0,VALUE(CONCATENATE(Travail!BH33,Travail!BH44,Travail!BH55))))</f>
        <v>0</v>
      </c>
      <c r="BI128" s="168">
        <f>IF(BI82=0,0,IF(BI105=3,0,VALUE(CONCATENATE(Travail!BI33,Travail!BI44,Travail!BI55))))</f>
        <v>0</v>
      </c>
      <c r="BJ128" s="168">
        <f>IF(BJ82=0,0,IF(BJ105=3,0,VALUE(CONCATENATE(Travail!BJ33,Travail!BJ44,Travail!BJ55))))</f>
        <v>0</v>
      </c>
      <c r="BK128" s="168">
        <f>IF(BK82=0,0,IF(BK105=3,0,VALUE(CONCATENATE(Travail!BK33,Travail!BK44,Travail!BK55))))</f>
        <v>0</v>
      </c>
      <c r="BL128" s="168">
        <f>IF(BL82=0,0,IF(BL105=3,0,VALUE(CONCATENATE(Travail!BL33,Travail!BL44,Travail!BL55))))</f>
        <v>0</v>
      </c>
      <c r="BM128" s="168">
        <f>IF(BM82=0,0,IF(BM105=3,0,VALUE(CONCATENATE(Travail!BM33,Travail!BM44,Travail!BM55))))</f>
        <v>0</v>
      </c>
      <c r="BN128" s="168">
        <f>IF(BN82=0,0,IF(BN105=3,0,VALUE(CONCATENATE(Travail!BN33,Travail!BN44,Travail!BN55))))</f>
        <v>0</v>
      </c>
      <c r="BO128" s="168">
        <f>IF(BO82=0,0,IF(BO105=3,0,VALUE(CONCATENATE(Travail!BO33,Travail!BO44,Travail!BO55))))</f>
        <v>0</v>
      </c>
      <c r="BP128" s="168">
        <f>IF(BP82=0,0,IF(BP105=3,0,VALUE(CONCATENATE(Travail!BP33,Travail!BP44,Travail!BP55))))</f>
        <v>0</v>
      </c>
      <c r="BQ128" s="168">
        <f>IF(BQ82=0,0,IF(BQ105=3,0,VALUE(CONCATENATE(Travail!BQ33,Travail!BQ44,Travail!BQ55))))</f>
        <v>0</v>
      </c>
      <c r="BR128" s="168">
        <f>IF(BR82=0,0,IF(BR105=3,0,VALUE(CONCATENATE(Travail!BR33,Travail!BR44,Travail!BR55))))</f>
        <v>0</v>
      </c>
      <c r="BS128" s="168">
        <f>IF(BS82=0,0,IF(BS105=3,0,VALUE(CONCATENATE(Travail!BS33,Travail!BS44,Travail!BS55))))</f>
        <v>0</v>
      </c>
      <c r="BZ128" s="182" t="str">
        <f t="shared" si="31"/>
        <v>lot8</v>
      </c>
      <c r="CB128" s="168">
        <f>IF(CB82=0,0,VALUE(CONCATENATE(Travail!CB33,Travail!CB44,Travail!CB55)))</f>
        <v>0</v>
      </c>
      <c r="CC128" s="168">
        <f>IF(CC82=0,0,VALUE(CONCATENATE(Travail!CC33,Travail!CC44,Travail!CC55)))</f>
        <v>0</v>
      </c>
      <c r="CD128" s="168">
        <f>IF(CD82=0,0,VALUE(CONCATENATE(Travail!CD33,Travail!CD44,Travail!CD55)))</f>
        <v>0</v>
      </c>
      <c r="CE128" s="168">
        <f>IF(CE82=0,0,VALUE(CONCATENATE(Travail!CE33,Travail!CE44,Travail!CE55)))</f>
        <v>0</v>
      </c>
      <c r="CF128" s="168">
        <f>IF(CF82=0,0,VALUE(CONCATENATE(Travail!CF33,Travail!CF44,Travail!CF55)))</f>
        <v>0</v>
      </c>
      <c r="CG128" s="168">
        <f>IF(CG82=0,0,VALUE(CONCATENATE(Travail!CG33,Travail!CG44,Travail!CG55)))</f>
        <v>0</v>
      </c>
      <c r="CH128" s="168">
        <f>IF(CH82=0,0,VALUE(CONCATENATE(Travail!CH33,Travail!CH44,Travail!CH55)))</f>
        <v>0</v>
      </c>
      <c r="CI128" s="168">
        <f>IF(CI82=0,0,VALUE(CONCATENATE(Travail!CI33,Travail!CI44,Travail!CI55)))</f>
        <v>0</v>
      </c>
      <c r="CJ128" s="168">
        <f>IF(CJ82=0,0,VALUE(CONCATENATE(Travail!CJ33,Travail!CJ44,Travail!CJ55)))</f>
        <v>0</v>
      </c>
      <c r="CK128" s="168">
        <f>IF(CK82=0,0,VALUE(CONCATENATE(Travail!CK33,Travail!CK44,Travail!CK55)))</f>
        <v>0</v>
      </c>
      <c r="CL128" s="168">
        <f>IF(CL82=0,0,VALUE(CONCATENATE(Travail!CL33,Travail!CL44,Travail!CL55)))</f>
        <v>0</v>
      </c>
      <c r="CM128" s="168">
        <f>IF(CM82=0,0,VALUE(CONCATENATE(Travail!CM33,Travail!CM44,Travail!CM55)))</f>
        <v>0</v>
      </c>
      <c r="CN128" s="168">
        <f>IF(CN82=0,0,VALUE(CONCATENATE(Travail!CN33,Travail!CN44,Travail!CN55)))</f>
        <v>0</v>
      </c>
      <c r="CO128" s="168">
        <f>IF(CO82=0,0,VALUE(CONCATENATE(Travail!CO33,Travail!CO44,Travail!CO55)))</f>
        <v>0</v>
      </c>
      <c r="CP128" s="168">
        <f>IF(CP82=0,0,VALUE(CONCATENATE(Travail!CP33,Travail!CP44,Travail!CP55)))</f>
        <v>0</v>
      </c>
      <c r="CQ128" s="168">
        <f>IF(CQ82=0,0,VALUE(CONCATENATE(Travail!CQ33,Travail!CQ44,Travail!CQ55)))</f>
        <v>0</v>
      </c>
      <c r="CR128" s="168">
        <f>IF(CR82=0,0,VALUE(CONCATENATE(Travail!CR33,Travail!CR44,Travail!CR55)))</f>
        <v>0</v>
      </c>
      <c r="CS128" s="168">
        <f>IF(CS82=0,0,VALUE(CONCATENATE(Travail!CS33,Travail!CS44,Travail!CS55)))</f>
        <v>0</v>
      </c>
      <c r="CT128" s="168">
        <f>IF(CT82=0,0,VALUE(CONCATENATE(Travail!CT33,Travail!CT44,Travail!CT55)))</f>
        <v>0</v>
      </c>
      <c r="CU128" s="168">
        <f>IF(CU82=0,0,VALUE(CONCATENATE(Travail!CU33,Travail!CU44,Travail!CU55)))</f>
        <v>0</v>
      </c>
      <c r="CV128" s="168">
        <f>IF(CV82=0,0,VALUE(CONCATENATE(Travail!CV33,Travail!CV44,Travail!CV55)))</f>
        <v>0</v>
      </c>
      <c r="CW128" s="168">
        <f>IF(CW82=0,0,VALUE(CONCATENATE(Travail!CW33,Travail!CW44,Travail!CW55)))</f>
        <v>0</v>
      </c>
      <c r="CX128" s="168">
        <f>IF(CX82=0,0,VALUE(CONCATENATE(Travail!CX33,Travail!CX44,Travail!CX55)))</f>
        <v>0</v>
      </c>
      <c r="CY128" s="168">
        <f>IF(CY82=0,0,VALUE(CONCATENATE(Travail!CY33,Travail!CY44,Travail!CY55)))</f>
        <v>0</v>
      </c>
      <c r="DC128" s="182" t="str">
        <f t="shared" si="32"/>
        <v>lot8</v>
      </c>
      <c r="DE128" s="168">
        <f>IF(DE82=0,0,VALUE(CONCATENATE(Travail!DE33,Travail!DE44,Travail!DE55)))</f>
        <v>0</v>
      </c>
      <c r="DF128" s="168">
        <f>IF(DF82=0,0,VALUE(CONCATENATE(Travail!DF33,Travail!DF44,Travail!DF55)))</f>
        <v>0</v>
      </c>
      <c r="DG128" s="168">
        <f>IF(DG82=0,0,VALUE(CONCATENATE(Travail!DG33,Travail!DG44,Travail!DG55)))</f>
        <v>0</v>
      </c>
      <c r="DH128" s="168">
        <f>IF(DH82=0,0,VALUE(CONCATENATE(Travail!DH33,Travail!DH44,Travail!DH55)))</f>
        <v>0</v>
      </c>
      <c r="DI128" s="168">
        <f>IF(DI82=0,0,VALUE(CONCATENATE(Travail!DI33,Travail!DI44,Travail!DI55)))</f>
        <v>0</v>
      </c>
      <c r="DJ128" s="168">
        <f>IF(DJ82=0,0,VALUE(CONCATENATE(Travail!DJ33,Travail!DJ44,Travail!DJ55)))</f>
        <v>0</v>
      </c>
      <c r="DK128" s="168">
        <f>IF(DK82=0,0,VALUE(CONCATENATE(Travail!DK33,Travail!DK44,Travail!DK55)))</f>
        <v>0</v>
      </c>
      <c r="DL128" s="168">
        <f>IF(DL82=0,0,VALUE(CONCATENATE(Travail!DL33,Travail!DL44,Travail!DL55)))</f>
        <v>0</v>
      </c>
      <c r="DM128" s="168">
        <f>IF(DM82=0,0,VALUE(CONCATENATE(Travail!DM33,Travail!DM44,Travail!DM55)))</f>
        <v>0</v>
      </c>
      <c r="DN128" s="168">
        <f>IF(DN82=0,0,VALUE(CONCATENATE(Travail!DN33,Travail!DN44,Travail!DN55)))</f>
        <v>0</v>
      </c>
      <c r="DO128" s="168">
        <f>IF(DO82=0,0,VALUE(CONCATENATE(Travail!DO33,Travail!DO44,Travail!DO55)))</f>
        <v>0</v>
      </c>
      <c r="DP128" s="168">
        <f>IF(DP82=0,0,VALUE(CONCATENATE(Travail!DP33,Travail!DP44,Travail!DP55)))</f>
        <v>0</v>
      </c>
      <c r="DQ128" s="168">
        <f>IF(DQ82=0,0,VALUE(CONCATENATE(Travail!DQ33,Travail!DQ44,Travail!DQ55)))</f>
        <v>0</v>
      </c>
      <c r="DR128" s="168">
        <f>IF(DR82=0,0,VALUE(CONCATENATE(Travail!DR33,Travail!DR44,Travail!DR55)))</f>
        <v>0</v>
      </c>
      <c r="DS128" s="168">
        <f>IF(DS82=0,0,VALUE(CONCATENATE(Travail!DS33,Travail!DS44,Travail!DS55)))</f>
        <v>0</v>
      </c>
      <c r="DT128" s="168">
        <f>IF(DT82=0,0,VALUE(CONCATENATE(Travail!DT33,Travail!DT44,Travail!DT55)))</f>
        <v>0</v>
      </c>
      <c r="DU128" s="168">
        <f>IF(DU82=0,0,VALUE(CONCATENATE(Travail!DU33,Travail!DU44,Travail!DU55)))</f>
        <v>0</v>
      </c>
      <c r="DV128" s="168">
        <f>IF(DV82=0,0,VALUE(CONCATENATE(Travail!DV33,Travail!DV44,Travail!DV55)))</f>
        <v>0</v>
      </c>
      <c r="DW128" s="168">
        <f>IF(DW82=0,0,VALUE(CONCATENATE(Travail!DW33,Travail!DW44,Travail!DW55)))</f>
        <v>0</v>
      </c>
      <c r="DX128" s="168">
        <f>IF(DX82=0,0,VALUE(CONCATENATE(Travail!DX33,Travail!DX44,Travail!DX55)))</f>
        <v>0</v>
      </c>
      <c r="DY128" s="168">
        <f>IF(DY82=0,0,VALUE(CONCATENATE(Travail!DY33,Travail!DY44,Travail!DY55)))</f>
        <v>0</v>
      </c>
      <c r="DZ128" s="168">
        <f>IF(DZ82=0,0,VALUE(CONCATENATE(Travail!DZ33,Travail!DZ44,Travail!DZ55)))</f>
        <v>0</v>
      </c>
      <c r="EA128" s="168">
        <f>IF(EA82=0,0,VALUE(CONCATENATE(Travail!EA33,Travail!EA44,Travail!EA55)))</f>
        <v>0</v>
      </c>
      <c r="EB128" s="168">
        <f>IF(EB82=0,0,VALUE(CONCATENATE(Travail!EB33,Travail!EB44,Travail!EB55)))</f>
        <v>0</v>
      </c>
    </row>
    <row r="129" spans="1:132" x14ac:dyDescent="0.25">
      <c r="B129" s="14" t="s">
        <v>1197</v>
      </c>
      <c r="C129" s="168">
        <f t="shared" si="34"/>
        <v>0</v>
      </c>
      <c r="D129" s="168">
        <f t="shared" si="25"/>
        <v>0</v>
      </c>
      <c r="F129" s="14" t="s">
        <v>869</v>
      </c>
      <c r="H129">
        <f>10-COUNTIF(H94:H103,0)</f>
        <v>0</v>
      </c>
      <c r="I129">
        <f t="shared" ref="I129:AE129" si="35">10-COUNTIF(I94:I103,0)</f>
        <v>0</v>
      </c>
      <c r="J129">
        <f t="shared" si="35"/>
        <v>0</v>
      </c>
      <c r="K129">
        <f t="shared" si="35"/>
        <v>0</v>
      </c>
      <c r="L129">
        <f t="shared" si="35"/>
        <v>2</v>
      </c>
      <c r="M129">
        <f t="shared" si="35"/>
        <v>2</v>
      </c>
      <c r="N129">
        <f t="shared" si="35"/>
        <v>2</v>
      </c>
      <c r="O129">
        <f t="shared" si="35"/>
        <v>2</v>
      </c>
      <c r="P129">
        <f t="shared" si="35"/>
        <v>2</v>
      </c>
      <c r="Q129">
        <f t="shared" si="35"/>
        <v>3</v>
      </c>
      <c r="R129">
        <f t="shared" si="35"/>
        <v>3</v>
      </c>
      <c r="S129">
        <f t="shared" si="35"/>
        <v>3</v>
      </c>
      <c r="T129">
        <f t="shared" si="35"/>
        <v>3</v>
      </c>
      <c r="U129">
        <f t="shared" si="35"/>
        <v>3</v>
      </c>
      <c r="V129">
        <f t="shared" si="35"/>
        <v>3</v>
      </c>
      <c r="W129">
        <f t="shared" si="35"/>
        <v>3</v>
      </c>
      <c r="X129">
        <f t="shared" si="35"/>
        <v>3</v>
      </c>
      <c r="Y129">
        <f t="shared" si="35"/>
        <v>3</v>
      </c>
      <c r="Z129">
        <f t="shared" si="35"/>
        <v>3</v>
      </c>
      <c r="AA129">
        <f t="shared" si="35"/>
        <v>3</v>
      </c>
      <c r="AB129">
        <f t="shared" si="35"/>
        <v>2</v>
      </c>
      <c r="AC129">
        <f t="shared" si="35"/>
        <v>0</v>
      </c>
      <c r="AD129">
        <f t="shared" si="35"/>
        <v>0</v>
      </c>
      <c r="AE129">
        <f t="shared" si="35"/>
        <v>0</v>
      </c>
      <c r="AT129" s="182" t="str">
        <f t="shared" si="33"/>
        <v>lot9</v>
      </c>
      <c r="AV129" s="168">
        <f>IF(AV84=0,0,IF(AV106=3,0,VALUE(CONCATENATE(Travail!AV34,Travail!AV45,Travail!AV56))))</f>
        <v>0</v>
      </c>
      <c r="AW129" s="168">
        <f>IF(AW84=0,0,IF(AW106=3,0,VALUE(CONCATENATE(Travail!AW34,Travail!AW45,Travail!AW56))))</f>
        <v>0</v>
      </c>
      <c r="AX129" s="168">
        <f>IF(AX84=0,0,IF(AX106=3,0,VALUE(CONCATENATE(Travail!AX34,Travail!AX45,Travail!AX56))))</f>
        <v>0</v>
      </c>
      <c r="AY129" s="168">
        <f>IF(AY84=0,0,IF(AY106=3,0,VALUE(CONCATENATE(Travail!AY34,Travail!AY45,Travail!AY56))))</f>
        <v>0</v>
      </c>
      <c r="AZ129" s="168">
        <f>IF(AZ84=0,0,IF(AZ106=3,0,VALUE(CONCATENATE(Travail!AZ34,Travail!AZ45,Travail!AZ56))))</f>
        <v>0</v>
      </c>
      <c r="BA129" s="168">
        <f>IF(BA84=0,0,IF(BA106=3,0,VALUE(CONCATENATE(Travail!BA34,Travail!BA45,Travail!BA56))))</f>
        <v>0</v>
      </c>
      <c r="BB129" s="168">
        <f>IF(BB84=0,0,IF(BB106=3,0,VALUE(CONCATENATE(Travail!BB34,Travail!BB45,Travail!BB56))))</f>
        <v>0</v>
      </c>
      <c r="BC129" s="168">
        <f>IF(BC84=0,0,IF(BC106=3,0,VALUE(CONCATENATE(Travail!BC34,Travail!BC45,Travail!BC56))))</f>
        <v>0</v>
      </c>
      <c r="BD129" s="168">
        <f>IF(BD84=0,0,IF(BD106=3,0,VALUE(CONCATENATE(Travail!BD34,Travail!BD45,Travail!BD56))))</f>
        <v>0</v>
      </c>
      <c r="BE129" s="168">
        <f>IF(BE84=0,0,IF(BE106=3,0,VALUE(CONCATENATE(Travail!BE34,Travail!BE45,Travail!BE56))))</f>
        <v>0</v>
      </c>
      <c r="BF129" s="168">
        <f>IF(BF84=0,0,IF(BF106=3,0,VALUE(CONCATENATE(Travail!BF34,Travail!BF45,Travail!BF56))))</f>
        <v>0</v>
      </c>
      <c r="BG129" s="168">
        <f>IF(BG84=0,0,IF(BG106=3,0,VALUE(CONCATENATE(Travail!BG34,Travail!BG45,Travail!BG56))))</f>
        <v>0</v>
      </c>
      <c r="BH129" s="168">
        <f>IF(BH84=0,0,IF(BH106=3,0,VALUE(CONCATENATE(Travail!BH34,Travail!BH45,Travail!BH56))))</f>
        <v>0</v>
      </c>
      <c r="BI129" s="168">
        <f>IF(BI84=0,0,IF(BI106=3,0,VALUE(CONCATENATE(Travail!BI34,Travail!BI45,Travail!BI56))))</f>
        <v>0</v>
      </c>
      <c r="BJ129" s="168">
        <f>IF(BJ84=0,0,IF(BJ106=3,0,VALUE(CONCATENATE(Travail!BJ34,Travail!BJ45,Travail!BJ56))))</f>
        <v>0</v>
      </c>
      <c r="BK129" s="168">
        <f>IF(BK84=0,0,IF(BK106=3,0,VALUE(CONCATENATE(Travail!BK34,Travail!BK45,Travail!BK56))))</f>
        <v>0</v>
      </c>
      <c r="BL129" s="168">
        <f>IF(BL84=0,0,IF(BL106=3,0,VALUE(CONCATENATE(Travail!BL34,Travail!BL45,Travail!BL56))))</f>
        <v>0</v>
      </c>
      <c r="BM129" s="168">
        <f>IF(BM84=0,0,IF(BM106=3,0,VALUE(CONCATENATE(Travail!BM34,Travail!BM45,Travail!BM56))))</f>
        <v>0</v>
      </c>
      <c r="BN129" s="168">
        <f>IF(BN84=0,0,IF(BN106=3,0,VALUE(CONCATENATE(Travail!BN34,Travail!BN45,Travail!BN56))))</f>
        <v>0</v>
      </c>
      <c r="BO129" s="168">
        <f>IF(BO84=0,0,IF(BO106=3,0,VALUE(CONCATENATE(Travail!BO34,Travail!BO45,Travail!BO56))))</f>
        <v>0</v>
      </c>
      <c r="BP129" s="168">
        <f>IF(BP84=0,0,IF(BP106=3,0,VALUE(CONCATENATE(Travail!BP34,Travail!BP45,Travail!BP56))))</f>
        <v>0</v>
      </c>
      <c r="BQ129" s="168">
        <f>IF(BQ84=0,0,IF(BQ106=3,0,VALUE(CONCATENATE(Travail!BQ34,Travail!BQ45,Travail!BQ56))))</f>
        <v>0</v>
      </c>
      <c r="BR129" s="168">
        <f>IF(BR84=0,0,IF(BR106=3,0,VALUE(CONCATENATE(Travail!BR34,Travail!BR45,Travail!BR56))))</f>
        <v>0</v>
      </c>
      <c r="BS129" s="168">
        <f>IF(BS84=0,0,IF(BS106=3,0,VALUE(CONCATENATE(Travail!BS34,Travail!BS45,Travail!BS56))))</f>
        <v>0</v>
      </c>
      <c r="BZ129" s="182" t="str">
        <f t="shared" si="31"/>
        <v>lot9</v>
      </c>
      <c r="CB129" s="168">
        <f>IF(CB84=0,0,VALUE(CONCATENATE(Travail!CB34,Travail!CB45,Travail!CB56)))</f>
        <v>0</v>
      </c>
      <c r="CC129" s="168">
        <f>IF(CC84=0,0,VALUE(CONCATENATE(Travail!CC34,Travail!CC45,Travail!CC56)))</f>
        <v>0</v>
      </c>
      <c r="CD129" s="168">
        <f>IF(CD84=0,0,VALUE(CONCATENATE(Travail!CD34,Travail!CD45,Travail!CD56)))</f>
        <v>0</v>
      </c>
      <c r="CE129" s="168">
        <f>IF(CE84=0,0,VALUE(CONCATENATE(Travail!CE34,Travail!CE45,Travail!CE56)))</f>
        <v>0</v>
      </c>
      <c r="CF129" s="168">
        <f>IF(CF84=0,0,VALUE(CONCATENATE(Travail!CF34,Travail!CF45,Travail!CF56)))</f>
        <v>0</v>
      </c>
      <c r="CG129" s="168">
        <f>IF(CG84=0,0,VALUE(CONCATENATE(Travail!CG34,Travail!CG45,Travail!CG56)))</f>
        <v>0</v>
      </c>
      <c r="CH129" s="168">
        <f>IF(CH84=0,0,VALUE(CONCATENATE(Travail!CH34,Travail!CH45,Travail!CH56)))</f>
        <v>0</v>
      </c>
      <c r="CI129" s="168">
        <f>IF(CI84=0,0,VALUE(CONCATENATE(Travail!CI34,Travail!CI45,Travail!CI56)))</f>
        <v>0</v>
      </c>
      <c r="CJ129" s="168">
        <f>IF(CJ84=0,0,VALUE(CONCATENATE(Travail!CJ34,Travail!CJ45,Travail!CJ56)))</f>
        <v>0</v>
      </c>
      <c r="CK129" s="168">
        <f>IF(CK84=0,0,VALUE(CONCATENATE(Travail!CK34,Travail!CK45,Travail!CK56)))</f>
        <v>0</v>
      </c>
      <c r="CL129" s="168">
        <f>IF(CL84=0,0,VALUE(CONCATENATE(Travail!CL34,Travail!CL45,Travail!CL56)))</f>
        <v>0</v>
      </c>
      <c r="CM129" s="168">
        <f>IF(CM84=0,0,VALUE(CONCATENATE(Travail!CM34,Travail!CM45,Travail!CM56)))</f>
        <v>0</v>
      </c>
      <c r="CN129" s="168">
        <f>IF(CN84=0,0,VALUE(CONCATENATE(Travail!CN34,Travail!CN45,Travail!CN56)))</f>
        <v>0</v>
      </c>
      <c r="CO129" s="168">
        <f>IF(CO84=0,0,VALUE(CONCATENATE(Travail!CO34,Travail!CO45,Travail!CO56)))</f>
        <v>0</v>
      </c>
      <c r="CP129" s="168">
        <f>IF(CP84=0,0,VALUE(CONCATENATE(Travail!CP34,Travail!CP45,Travail!CP56)))</f>
        <v>0</v>
      </c>
      <c r="CQ129" s="168">
        <f>IF(CQ84=0,0,VALUE(CONCATENATE(Travail!CQ34,Travail!CQ45,Travail!CQ56)))</f>
        <v>0</v>
      </c>
      <c r="CR129" s="168">
        <f>IF(CR84=0,0,VALUE(CONCATENATE(Travail!CR34,Travail!CR45,Travail!CR56)))</f>
        <v>0</v>
      </c>
      <c r="CS129" s="168">
        <f>IF(CS84=0,0,VALUE(CONCATENATE(Travail!CS34,Travail!CS45,Travail!CS56)))</f>
        <v>0</v>
      </c>
      <c r="CT129" s="168">
        <f>IF(CT84=0,0,VALUE(CONCATENATE(Travail!CT34,Travail!CT45,Travail!CT56)))</f>
        <v>0</v>
      </c>
      <c r="CU129" s="168">
        <f>IF(CU84=0,0,VALUE(CONCATENATE(Travail!CU34,Travail!CU45,Travail!CU56)))</f>
        <v>0</v>
      </c>
      <c r="CV129" s="168">
        <f>IF(CV84=0,0,VALUE(CONCATENATE(Travail!CV34,Travail!CV45,Travail!CV56)))</f>
        <v>0</v>
      </c>
      <c r="CW129" s="168">
        <f>IF(CW84=0,0,VALUE(CONCATENATE(Travail!CW34,Travail!CW45,Travail!CW56)))</f>
        <v>0</v>
      </c>
      <c r="CX129" s="168">
        <f>IF(CX84=0,0,VALUE(CONCATENATE(Travail!CX34,Travail!CX45,Travail!CX56)))</f>
        <v>0</v>
      </c>
      <c r="CY129" s="168">
        <f>IF(CY84=0,0,VALUE(CONCATENATE(Travail!CY34,Travail!CY45,Travail!CY56)))</f>
        <v>0</v>
      </c>
      <c r="DC129" s="182" t="str">
        <f t="shared" si="32"/>
        <v>lot9</v>
      </c>
      <c r="DE129" s="168">
        <f>IF(DE84=0,0,VALUE(CONCATENATE(Travail!DE34,Travail!DE45,Travail!DE56)))</f>
        <v>0</v>
      </c>
      <c r="DF129" s="168">
        <f>IF(DF84=0,0,VALUE(CONCATENATE(Travail!DF34,Travail!DF45,Travail!DF56)))</f>
        <v>0</v>
      </c>
      <c r="DG129" s="168">
        <f>IF(DG84=0,0,VALUE(CONCATENATE(Travail!DG34,Travail!DG45,Travail!DG56)))</f>
        <v>0</v>
      </c>
      <c r="DH129" s="168">
        <f>IF(DH84=0,0,VALUE(CONCATENATE(Travail!DH34,Travail!DH45,Travail!DH56)))</f>
        <v>0</v>
      </c>
      <c r="DI129" s="168">
        <f>IF(DI84=0,0,VALUE(CONCATENATE(Travail!DI34,Travail!DI45,Travail!DI56)))</f>
        <v>0</v>
      </c>
      <c r="DJ129" s="168">
        <f>IF(DJ84=0,0,VALUE(CONCATENATE(Travail!DJ34,Travail!DJ45,Travail!DJ56)))</f>
        <v>0</v>
      </c>
      <c r="DK129" s="168">
        <f>IF(DK84=0,0,VALUE(CONCATENATE(Travail!DK34,Travail!DK45,Travail!DK56)))</f>
        <v>0</v>
      </c>
      <c r="DL129" s="168">
        <f>IF(DL84=0,0,VALUE(CONCATENATE(Travail!DL34,Travail!DL45,Travail!DL56)))</f>
        <v>0</v>
      </c>
      <c r="DM129" s="168">
        <f>IF(DM84=0,0,VALUE(CONCATENATE(Travail!DM34,Travail!DM45,Travail!DM56)))</f>
        <v>0</v>
      </c>
      <c r="DN129" s="168">
        <f>IF(DN84=0,0,VALUE(CONCATENATE(Travail!DN34,Travail!DN45,Travail!DN56)))</f>
        <v>0</v>
      </c>
      <c r="DO129" s="168">
        <f>IF(DO84=0,0,VALUE(CONCATENATE(Travail!DO34,Travail!DO45,Travail!DO56)))</f>
        <v>0</v>
      </c>
      <c r="DP129" s="168">
        <f>IF(DP84=0,0,VALUE(CONCATENATE(Travail!DP34,Travail!DP45,Travail!DP56)))</f>
        <v>0</v>
      </c>
      <c r="DQ129" s="168">
        <f>IF(DQ84=0,0,VALUE(CONCATENATE(Travail!DQ34,Travail!DQ45,Travail!DQ56)))</f>
        <v>0</v>
      </c>
      <c r="DR129" s="168">
        <f>IF(DR84=0,0,VALUE(CONCATENATE(Travail!DR34,Travail!DR45,Travail!DR56)))</f>
        <v>0</v>
      </c>
      <c r="DS129" s="168">
        <f>IF(DS84=0,0,VALUE(CONCATENATE(Travail!DS34,Travail!DS45,Travail!DS56)))</f>
        <v>0</v>
      </c>
      <c r="DT129" s="168">
        <f>IF(DT84=0,0,VALUE(CONCATENATE(Travail!DT34,Travail!DT45,Travail!DT56)))</f>
        <v>0</v>
      </c>
      <c r="DU129" s="168">
        <f>IF(DU84=0,0,VALUE(CONCATENATE(Travail!DU34,Travail!DU45,Travail!DU56)))</f>
        <v>0</v>
      </c>
      <c r="DV129" s="168">
        <f>IF(DV84=0,0,VALUE(CONCATENATE(Travail!DV34,Travail!DV45,Travail!DV56)))</f>
        <v>0</v>
      </c>
      <c r="DW129" s="168">
        <f>IF(DW84=0,0,VALUE(CONCATENATE(Travail!DW34,Travail!DW45,Travail!DW56)))</f>
        <v>0</v>
      </c>
      <c r="DX129" s="168">
        <f>IF(DX84=0,0,VALUE(CONCATENATE(Travail!DX34,Travail!DX45,Travail!DX56)))</f>
        <v>0</v>
      </c>
      <c r="DY129" s="168">
        <f>IF(DY84=0,0,VALUE(CONCATENATE(Travail!DY34,Travail!DY45,Travail!DY56)))</f>
        <v>0</v>
      </c>
      <c r="DZ129" s="168">
        <f>IF(DZ84=0,0,VALUE(CONCATENATE(Travail!DZ34,Travail!DZ45,Travail!DZ56)))</f>
        <v>0</v>
      </c>
      <c r="EA129" s="168">
        <f>IF(EA84=0,0,VALUE(CONCATENATE(Travail!EA34,Travail!EA45,Travail!EA56)))</f>
        <v>0</v>
      </c>
      <c r="EB129" s="168">
        <f>IF(EB84=0,0,VALUE(CONCATENATE(Travail!EB34,Travail!EB45,Travail!EB56)))</f>
        <v>0</v>
      </c>
    </row>
    <row r="130" spans="1:132" x14ac:dyDescent="0.25">
      <c r="B130" s="14" t="s">
        <v>1198</v>
      </c>
      <c r="C130" s="168">
        <f t="shared" si="34"/>
        <v>0</v>
      </c>
      <c r="D130" s="168">
        <f t="shared" si="25"/>
        <v>0</v>
      </c>
      <c r="F130" s="14" t="s">
        <v>885</v>
      </c>
      <c r="H130">
        <f>10-COUNTIF(H105:H114,0)</f>
        <v>0</v>
      </c>
      <c r="I130">
        <f t="shared" ref="I130:AE130" si="36">10-COUNTIF(I105:I114,0)</f>
        <v>0</v>
      </c>
      <c r="J130">
        <f t="shared" si="36"/>
        <v>0</v>
      </c>
      <c r="K130">
        <f t="shared" si="36"/>
        <v>0</v>
      </c>
      <c r="L130">
        <f t="shared" si="36"/>
        <v>0</v>
      </c>
      <c r="M130">
        <f t="shared" si="36"/>
        <v>0</v>
      </c>
      <c r="N130">
        <f t="shared" si="36"/>
        <v>0</v>
      </c>
      <c r="O130">
        <f t="shared" si="36"/>
        <v>0</v>
      </c>
      <c r="P130">
        <f t="shared" si="36"/>
        <v>0</v>
      </c>
      <c r="Q130">
        <f t="shared" si="36"/>
        <v>0</v>
      </c>
      <c r="R130">
        <f t="shared" si="36"/>
        <v>0</v>
      </c>
      <c r="S130">
        <f t="shared" si="36"/>
        <v>0</v>
      </c>
      <c r="T130">
        <f t="shared" si="36"/>
        <v>0</v>
      </c>
      <c r="U130">
        <f t="shared" si="36"/>
        <v>0</v>
      </c>
      <c r="V130">
        <f t="shared" si="36"/>
        <v>0</v>
      </c>
      <c r="W130">
        <f t="shared" si="36"/>
        <v>0</v>
      </c>
      <c r="X130">
        <f t="shared" si="36"/>
        <v>0</v>
      </c>
      <c r="Y130">
        <f t="shared" si="36"/>
        <v>0</v>
      </c>
      <c r="Z130">
        <f t="shared" si="36"/>
        <v>0</v>
      </c>
      <c r="AA130">
        <f t="shared" si="36"/>
        <v>0</v>
      </c>
      <c r="AB130">
        <f t="shared" si="36"/>
        <v>0</v>
      </c>
      <c r="AC130">
        <f t="shared" si="36"/>
        <v>0</v>
      </c>
      <c r="AD130">
        <f t="shared" si="36"/>
        <v>0</v>
      </c>
      <c r="AE130">
        <f t="shared" si="36"/>
        <v>0</v>
      </c>
      <c r="AT130" s="182" t="str">
        <f t="shared" si="33"/>
        <v>lot10</v>
      </c>
      <c r="AV130" s="168">
        <f>IF(AV85=0,0,IF(AV107=3,0,VALUE(CONCATENATE(Travail!AV35,Travail!AV46,Travail!AV57))))</f>
        <v>0</v>
      </c>
      <c r="AW130" s="168">
        <f>IF(AW85=0,0,IF(AW107=3,0,VALUE(CONCATENATE(Travail!AW35,Travail!AW46,Travail!AW57))))</f>
        <v>0</v>
      </c>
      <c r="AX130" s="168">
        <f>IF(AX85=0,0,IF(AX107=3,0,VALUE(CONCATENATE(Travail!AX35,Travail!AX46,Travail!AX57))))</f>
        <v>0</v>
      </c>
      <c r="AY130" s="168">
        <f>IF(AY85=0,0,IF(AY107=3,0,VALUE(CONCATENATE(Travail!AY35,Travail!AY46,Travail!AY57))))</f>
        <v>0</v>
      </c>
      <c r="AZ130" s="168">
        <f>IF(AZ85=0,0,IF(AZ107=3,0,VALUE(CONCATENATE(Travail!AZ35,Travail!AZ46,Travail!AZ57))))</f>
        <v>0</v>
      </c>
      <c r="BA130" s="168">
        <f>IF(BA85=0,0,IF(BA107=3,0,VALUE(CONCATENATE(Travail!BA35,Travail!BA46,Travail!BA57))))</f>
        <v>0</v>
      </c>
      <c r="BB130" s="168">
        <f>IF(BB85=0,0,IF(BB107=3,0,VALUE(CONCATENATE(Travail!BB35,Travail!BB46,Travail!BB57))))</f>
        <v>0</v>
      </c>
      <c r="BC130" s="168">
        <f>IF(BC85=0,0,IF(BC107=3,0,VALUE(CONCATENATE(Travail!BC35,Travail!BC46,Travail!BC57))))</f>
        <v>0</v>
      </c>
      <c r="BD130" s="168">
        <f>IF(BD85=0,0,IF(BD107=3,0,VALUE(CONCATENATE(Travail!BD35,Travail!BD46,Travail!BD57))))</f>
        <v>0</v>
      </c>
      <c r="BE130" s="168">
        <f>IF(BE85=0,0,IF(BE107=3,0,VALUE(CONCATENATE(Travail!BE35,Travail!BE46,Travail!BE57))))</f>
        <v>0</v>
      </c>
      <c r="BF130" s="168">
        <f>IF(BF85=0,0,IF(BF107=3,0,VALUE(CONCATENATE(Travail!BF35,Travail!BF46,Travail!BF57))))</f>
        <v>0</v>
      </c>
      <c r="BG130" s="168">
        <f>IF(BG85=0,0,IF(BG107=3,0,VALUE(CONCATENATE(Travail!BG35,Travail!BG46,Travail!BG57))))</f>
        <v>0</v>
      </c>
      <c r="BH130" s="168">
        <f>IF(BH85=0,0,IF(BH107=3,0,VALUE(CONCATENATE(Travail!BH35,Travail!BH46,Travail!BH57))))</f>
        <v>0</v>
      </c>
      <c r="BI130" s="168">
        <f>IF(BI85=0,0,IF(BI107=3,0,VALUE(CONCATENATE(Travail!BI35,Travail!BI46,Travail!BI57))))</f>
        <v>0</v>
      </c>
      <c r="BJ130" s="168">
        <f>IF(BJ85=0,0,IF(BJ107=3,0,VALUE(CONCATENATE(Travail!BJ35,Travail!BJ46,Travail!BJ57))))</f>
        <v>0</v>
      </c>
      <c r="BK130" s="168">
        <f>IF(BK85=0,0,IF(BK107=3,0,VALUE(CONCATENATE(Travail!BK35,Travail!BK46,Travail!BK57))))</f>
        <v>0</v>
      </c>
      <c r="BL130" s="168">
        <f>IF(BL85=0,0,IF(BL107=3,0,VALUE(CONCATENATE(Travail!BL35,Travail!BL46,Travail!BL57))))</f>
        <v>0</v>
      </c>
      <c r="BM130" s="168">
        <f>IF(BM85=0,0,IF(BM107=3,0,VALUE(CONCATENATE(Travail!BM35,Travail!BM46,Travail!BM57))))</f>
        <v>0</v>
      </c>
      <c r="BN130" s="168">
        <f>IF(BN85=0,0,IF(BN107=3,0,VALUE(CONCATENATE(Travail!BN35,Travail!BN46,Travail!BN57))))</f>
        <v>0</v>
      </c>
      <c r="BO130" s="168">
        <f>IF(BO85=0,0,IF(BO107=3,0,VALUE(CONCATENATE(Travail!BO35,Travail!BO46,Travail!BO57))))</f>
        <v>0</v>
      </c>
      <c r="BP130" s="168">
        <f>IF(BP85=0,0,IF(BP107=3,0,VALUE(CONCATENATE(Travail!BP35,Travail!BP46,Travail!BP57))))</f>
        <v>0</v>
      </c>
      <c r="BQ130" s="168">
        <f>IF(BQ85=0,0,IF(BQ107=3,0,VALUE(CONCATENATE(Travail!BQ35,Travail!BQ46,Travail!BQ57))))</f>
        <v>0</v>
      </c>
      <c r="BR130" s="168">
        <f>IF(BR85=0,0,IF(BR107=3,0,VALUE(CONCATENATE(Travail!BR35,Travail!BR46,Travail!BR57))))</f>
        <v>0</v>
      </c>
      <c r="BS130" s="168">
        <f>IF(BS85=0,0,IF(BS107=3,0,VALUE(CONCATENATE(Travail!BS35,Travail!BS46,Travail!BS57))))</f>
        <v>0</v>
      </c>
      <c r="BZ130" s="182" t="str">
        <f t="shared" si="31"/>
        <v>lot10</v>
      </c>
      <c r="CB130" s="168">
        <f>IF(CB85=0,0,VALUE(CONCATENATE(Travail!CB35,Travail!CB46,Travail!CB57)))</f>
        <v>0</v>
      </c>
      <c r="CC130" s="168">
        <f>IF(CC85=0,0,VALUE(CONCATENATE(Travail!CC35,Travail!CC46,Travail!CC57)))</f>
        <v>0</v>
      </c>
      <c r="CD130" s="168">
        <f>IF(CD85=0,0,VALUE(CONCATENATE(Travail!CD35,Travail!CD46,Travail!CD57)))</f>
        <v>0</v>
      </c>
      <c r="CE130" s="168">
        <f>IF(CE85=0,0,VALUE(CONCATENATE(Travail!CE35,Travail!CE46,Travail!CE57)))</f>
        <v>0</v>
      </c>
      <c r="CF130" s="168">
        <f>IF(CF85=0,0,VALUE(CONCATENATE(Travail!CF35,Travail!CF46,Travail!CF57)))</f>
        <v>0</v>
      </c>
      <c r="CG130" s="168">
        <f>IF(CG85=0,0,VALUE(CONCATENATE(Travail!CG35,Travail!CG46,Travail!CG57)))</f>
        <v>0</v>
      </c>
      <c r="CH130" s="168">
        <f>IF(CH85=0,0,VALUE(CONCATENATE(Travail!CH35,Travail!CH46,Travail!CH57)))</f>
        <v>0</v>
      </c>
      <c r="CI130" s="168">
        <f>IF(CI85=0,0,VALUE(CONCATENATE(Travail!CI35,Travail!CI46,Travail!CI57)))</f>
        <v>0</v>
      </c>
      <c r="CJ130" s="168">
        <f>IF(CJ85=0,0,VALUE(CONCATENATE(Travail!CJ35,Travail!CJ46,Travail!CJ57)))</f>
        <v>0</v>
      </c>
      <c r="CK130" s="168">
        <f>IF(CK85=0,0,VALUE(CONCATENATE(Travail!CK35,Travail!CK46,Travail!CK57)))</f>
        <v>0</v>
      </c>
      <c r="CL130" s="168">
        <f>IF(CL85=0,0,VALUE(CONCATENATE(Travail!CL35,Travail!CL46,Travail!CL57)))</f>
        <v>0</v>
      </c>
      <c r="CM130" s="168">
        <f>IF(CM85=0,0,VALUE(CONCATENATE(Travail!CM35,Travail!CM46,Travail!CM57)))</f>
        <v>0</v>
      </c>
      <c r="CN130" s="168">
        <f>IF(CN85=0,0,VALUE(CONCATENATE(Travail!CN35,Travail!CN46,Travail!CN57)))</f>
        <v>0</v>
      </c>
      <c r="CO130" s="168">
        <f>IF(CO85=0,0,VALUE(CONCATENATE(Travail!CO35,Travail!CO46,Travail!CO57)))</f>
        <v>0</v>
      </c>
      <c r="CP130" s="168">
        <f>IF(CP85=0,0,VALUE(CONCATENATE(Travail!CP35,Travail!CP46,Travail!CP57)))</f>
        <v>0</v>
      </c>
      <c r="CQ130" s="168">
        <f>IF(CQ85=0,0,VALUE(CONCATENATE(Travail!CQ35,Travail!CQ46,Travail!CQ57)))</f>
        <v>0</v>
      </c>
      <c r="CR130" s="168">
        <f>IF(CR85=0,0,VALUE(CONCATENATE(Travail!CR35,Travail!CR46,Travail!CR57)))</f>
        <v>0</v>
      </c>
      <c r="CS130" s="168">
        <f>IF(CS85=0,0,VALUE(CONCATENATE(Travail!CS35,Travail!CS46,Travail!CS57)))</f>
        <v>0</v>
      </c>
      <c r="CT130" s="168">
        <f>IF(CT85=0,0,VALUE(CONCATENATE(Travail!CT35,Travail!CT46,Travail!CT57)))</f>
        <v>0</v>
      </c>
      <c r="CU130" s="168">
        <f>IF(CU85=0,0,VALUE(CONCATENATE(Travail!CU35,Travail!CU46,Travail!CU57)))</f>
        <v>0</v>
      </c>
      <c r="CV130" s="168">
        <f>IF(CV85=0,0,VALUE(CONCATENATE(Travail!CV35,Travail!CV46,Travail!CV57)))</f>
        <v>0</v>
      </c>
      <c r="CW130" s="168">
        <f>IF(CW85=0,0,VALUE(CONCATENATE(Travail!CW35,Travail!CW46,Travail!CW57)))</f>
        <v>0</v>
      </c>
      <c r="CX130" s="168">
        <f>IF(CX85=0,0,VALUE(CONCATENATE(Travail!CX35,Travail!CX46,Travail!CX57)))</f>
        <v>0</v>
      </c>
      <c r="CY130" s="168">
        <f>IF(CY85=0,0,VALUE(CONCATENATE(Travail!CY35,Travail!CY46,Travail!CY57)))</f>
        <v>0</v>
      </c>
      <c r="DC130" s="182" t="str">
        <f t="shared" si="32"/>
        <v>lot10</v>
      </c>
      <c r="DE130" s="168">
        <f>IF(DE85=0,0,VALUE(CONCATENATE(Travail!DE35,Travail!DE46,Travail!DE57)))</f>
        <v>0</v>
      </c>
      <c r="DF130" s="168">
        <f>IF(DF85=0,0,VALUE(CONCATENATE(Travail!DF35,Travail!DF46,Travail!DF57)))</f>
        <v>0</v>
      </c>
      <c r="DG130" s="168">
        <f>IF(DG85=0,0,VALUE(CONCATENATE(Travail!DG35,Travail!DG46,Travail!DG57)))</f>
        <v>0</v>
      </c>
      <c r="DH130" s="168">
        <f>IF(DH85=0,0,VALUE(CONCATENATE(Travail!DH35,Travail!DH46,Travail!DH57)))</f>
        <v>0</v>
      </c>
      <c r="DI130" s="168">
        <f>IF(DI85=0,0,VALUE(CONCATENATE(Travail!DI35,Travail!DI46,Travail!DI57)))</f>
        <v>0</v>
      </c>
      <c r="DJ130" s="168">
        <f>IF(DJ85=0,0,VALUE(CONCATENATE(Travail!DJ35,Travail!DJ46,Travail!DJ57)))</f>
        <v>0</v>
      </c>
      <c r="DK130" s="168">
        <f>IF(DK85=0,0,VALUE(CONCATENATE(Travail!DK35,Travail!DK46,Travail!DK57)))</f>
        <v>0</v>
      </c>
      <c r="DL130" s="168">
        <f>IF(DL85=0,0,VALUE(CONCATENATE(Travail!DL35,Travail!DL46,Travail!DL57)))</f>
        <v>0</v>
      </c>
      <c r="DM130" s="168">
        <f>IF(DM85=0,0,VALUE(CONCATENATE(Travail!DM35,Travail!DM46,Travail!DM57)))</f>
        <v>0</v>
      </c>
      <c r="DN130" s="168">
        <f>IF(DN85=0,0,VALUE(CONCATENATE(Travail!DN35,Travail!DN46,Travail!DN57)))</f>
        <v>0</v>
      </c>
      <c r="DO130" s="168">
        <f>IF(DO85=0,0,VALUE(CONCATENATE(Travail!DO35,Travail!DO46,Travail!DO57)))</f>
        <v>0</v>
      </c>
      <c r="DP130" s="168">
        <f>IF(DP85=0,0,VALUE(CONCATENATE(Travail!DP35,Travail!DP46,Travail!DP57)))</f>
        <v>0</v>
      </c>
      <c r="DQ130" s="168">
        <f>IF(DQ85=0,0,VALUE(CONCATENATE(Travail!DQ35,Travail!DQ46,Travail!DQ57)))</f>
        <v>0</v>
      </c>
      <c r="DR130" s="168">
        <f>IF(DR85=0,0,VALUE(CONCATENATE(Travail!DR35,Travail!DR46,Travail!DR57)))</f>
        <v>0</v>
      </c>
      <c r="DS130" s="168">
        <f>IF(DS85=0,0,VALUE(CONCATENATE(Travail!DS35,Travail!DS46,Travail!DS57)))</f>
        <v>0</v>
      </c>
      <c r="DT130" s="168">
        <f>IF(DT85=0,0,VALUE(CONCATENATE(Travail!DT35,Travail!DT46,Travail!DT57)))</f>
        <v>0</v>
      </c>
      <c r="DU130" s="168">
        <f>IF(DU85=0,0,VALUE(CONCATENATE(Travail!DU35,Travail!DU46,Travail!DU57)))</f>
        <v>0</v>
      </c>
      <c r="DV130" s="168">
        <f>IF(DV85=0,0,VALUE(CONCATENATE(Travail!DV35,Travail!DV46,Travail!DV57)))</f>
        <v>0</v>
      </c>
      <c r="DW130" s="168">
        <f>IF(DW85=0,0,VALUE(CONCATENATE(Travail!DW35,Travail!DW46,Travail!DW57)))</f>
        <v>0</v>
      </c>
      <c r="DX130" s="168">
        <f>IF(DX85=0,0,VALUE(CONCATENATE(Travail!DX35,Travail!DX46,Travail!DX57)))</f>
        <v>0</v>
      </c>
      <c r="DY130" s="168">
        <f>IF(DY85=0,0,VALUE(CONCATENATE(Travail!DY35,Travail!DY46,Travail!DY57)))</f>
        <v>0</v>
      </c>
      <c r="DZ130" s="168">
        <f>IF(DZ85=0,0,VALUE(CONCATENATE(Travail!DZ35,Travail!DZ46,Travail!DZ57)))</f>
        <v>0</v>
      </c>
      <c r="EA130" s="168">
        <f>IF(EA85=0,0,VALUE(CONCATENATE(Travail!EA35,Travail!EA46,Travail!EA57)))</f>
        <v>0</v>
      </c>
      <c r="EB130" s="168">
        <f>IF(EB85=0,0,VALUE(CONCATENATE(Travail!EB35,Travail!EB46,Travail!EB57)))</f>
        <v>0</v>
      </c>
    </row>
    <row r="131" spans="1:132" x14ac:dyDescent="0.25">
      <c r="B131" s="14" t="s">
        <v>1199</v>
      </c>
      <c r="C131" s="168">
        <f t="shared" si="34"/>
        <v>0</v>
      </c>
      <c r="D131" s="168">
        <f t="shared" si="25"/>
        <v>0</v>
      </c>
      <c r="F131" s="14" t="s">
        <v>886</v>
      </c>
      <c r="H131">
        <f>10-COUNTIF(H116:H125,0)</f>
        <v>0</v>
      </c>
      <c r="I131">
        <f t="shared" ref="I131:AE131" si="37">10-COUNTIF(I116:I125,0)</f>
        <v>0</v>
      </c>
      <c r="J131">
        <f t="shared" si="37"/>
        <v>0</v>
      </c>
      <c r="K131">
        <f t="shared" si="37"/>
        <v>0</v>
      </c>
      <c r="L131">
        <f t="shared" si="37"/>
        <v>0</v>
      </c>
      <c r="M131">
        <f t="shared" si="37"/>
        <v>0</v>
      </c>
      <c r="N131">
        <f t="shared" si="37"/>
        <v>0</v>
      </c>
      <c r="O131">
        <f t="shared" si="37"/>
        <v>0</v>
      </c>
      <c r="P131">
        <f t="shared" si="37"/>
        <v>0</v>
      </c>
      <c r="Q131">
        <f t="shared" si="37"/>
        <v>0</v>
      </c>
      <c r="R131">
        <f t="shared" si="37"/>
        <v>0</v>
      </c>
      <c r="S131">
        <f t="shared" si="37"/>
        <v>0</v>
      </c>
      <c r="T131">
        <f t="shared" si="37"/>
        <v>0</v>
      </c>
      <c r="U131">
        <f t="shared" si="37"/>
        <v>0</v>
      </c>
      <c r="V131">
        <f t="shared" si="37"/>
        <v>0</v>
      </c>
      <c r="W131">
        <f t="shared" si="37"/>
        <v>0</v>
      </c>
      <c r="X131">
        <f t="shared" si="37"/>
        <v>0</v>
      </c>
      <c r="Y131">
        <f t="shared" si="37"/>
        <v>0</v>
      </c>
      <c r="Z131">
        <f t="shared" si="37"/>
        <v>0</v>
      </c>
      <c r="AA131">
        <f t="shared" si="37"/>
        <v>0</v>
      </c>
      <c r="AB131">
        <f t="shared" si="37"/>
        <v>0</v>
      </c>
      <c r="AC131">
        <f t="shared" si="37"/>
        <v>0</v>
      </c>
      <c r="AD131">
        <f t="shared" si="37"/>
        <v>0</v>
      </c>
      <c r="AE131">
        <f t="shared" si="37"/>
        <v>0</v>
      </c>
      <c r="AT131" s="40" t="s">
        <v>790</v>
      </c>
      <c r="AV131" s="268"/>
      <c r="AW131" s="268"/>
      <c r="AX131" s="268"/>
      <c r="AY131" s="268"/>
      <c r="AZ131" s="268"/>
      <c r="BA131" s="268"/>
      <c r="BB131" s="268"/>
      <c r="BC131" s="268"/>
      <c r="BD131" s="268"/>
      <c r="BE131" s="268"/>
      <c r="BF131" s="268"/>
      <c r="BG131" s="268"/>
      <c r="BH131" s="268"/>
      <c r="BI131" s="268"/>
      <c r="BJ131" s="268"/>
      <c r="BK131" s="268"/>
      <c r="BL131" s="268"/>
      <c r="BM131" s="268"/>
      <c r="BN131" s="268"/>
      <c r="BO131" s="268"/>
      <c r="BP131" s="268"/>
      <c r="BQ131" s="268"/>
      <c r="BR131" s="268"/>
      <c r="BS131" s="268"/>
      <c r="BZ131" s="40" t="s">
        <v>790</v>
      </c>
      <c r="CB131" s="268"/>
      <c r="CC131" s="268"/>
      <c r="CD131" s="268"/>
      <c r="CE131" s="268"/>
      <c r="CF131" s="268"/>
      <c r="CG131" s="268"/>
      <c r="CH131" s="268"/>
      <c r="CI131" s="268"/>
      <c r="CJ131" s="268"/>
      <c r="CK131" s="268"/>
      <c r="CL131" s="268"/>
      <c r="CM131" s="268"/>
      <c r="CN131" s="268"/>
      <c r="CO131" s="268"/>
      <c r="CP131" s="268"/>
      <c r="CQ131" s="268"/>
      <c r="CR131" s="268"/>
      <c r="CS131" s="268"/>
      <c r="CT131" s="268"/>
      <c r="CU131" s="268"/>
      <c r="CV131" s="268"/>
      <c r="CW131" s="268"/>
      <c r="CX131" s="268"/>
      <c r="CY131" s="268"/>
      <c r="DC131" s="40" t="s">
        <v>790</v>
      </c>
      <c r="DE131" s="268"/>
      <c r="DF131" s="268"/>
      <c r="DG131" s="268"/>
      <c r="DH131" s="268"/>
      <c r="DI131" s="268"/>
      <c r="DJ131" s="268"/>
      <c r="DK131" s="268"/>
      <c r="DL131" s="268"/>
      <c r="DM131" s="268"/>
      <c r="DN131" s="268"/>
      <c r="DO131" s="268"/>
      <c r="DP131" s="268"/>
      <c r="DQ131" s="268"/>
      <c r="DR131" s="268"/>
      <c r="DS131" s="268"/>
      <c r="DT131" s="268"/>
      <c r="DU131" s="268"/>
      <c r="DV131" s="268"/>
      <c r="DW131" s="268"/>
      <c r="DX131" s="268"/>
      <c r="DY131" s="268"/>
      <c r="DZ131" s="268"/>
      <c r="EA131" s="268"/>
      <c r="EB131" s="268"/>
    </row>
    <row r="132" spans="1:132" x14ac:dyDescent="0.25">
      <c r="B132" s="14" t="s">
        <v>1200</v>
      </c>
      <c r="C132" s="168">
        <f t="shared" si="34"/>
        <v>0</v>
      </c>
      <c r="D132" s="168">
        <f t="shared" si="25"/>
        <v>0</v>
      </c>
      <c r="F132" s="14" t="s">
        <v>1201</v>
      </c>
      <c r="H132">
        <f t="shared" ref="H132:AE132" si="38">SUM(H129:H131)</f>
        <v>0</v>
      </c>
      <c r="I132">
        <f t="shared" si="38"/>
        <v>0</v>
      </c>
      <c r="J132">
        <f t="shared" si="38"/>
        <v>0</v>
      </c>
      <c r="K132">
        <f t="shared" si="38"/>
        <v>0</v>
      </c>
      <c r="L132">
        <f t="shared" si="38"/>
        <v>2</v>
      </c>
      <c r="M132">
        <f t="shared" si="38"/>
        <v>2</v>
      </c>
      <c r="N132">
        <f t="shared" si="38"/>
        <v>2</v>
      </c>
      <c r="O132">
        <f t="shared" si="38"/>
        <v>2</v>
      </c>
      <c r="P132">
        <f t="shared" si="38"/>
        <v>2</v>
      </c>
      <c r="Q132">
        <f t="shared" si="38"/>
        <v>3</v>
      </c>
      <c r="R132">
        <f t="shared" si="38"/>
        <v>3</v>
      </c>
      <c r="S132">
        <f t="shared" si="38"/>
        <v>3</v>
      </c>
      <c r="T132">
        <f t="shared" si="38"/>
        <v>3</v>
      </c>
      <c r="U132">
        <f t="shared" si="38"/>
        <v>3</v>
      </c>
      <c r="V132">
        <f t="shared" si="38"/>
        <v>3</v>
      </c>
      <c r="W132">
        <f t="shared" si="38"/>
        <v>3</v>
      </c>
      <c r="X132">
        <f t="shared" si="38"/>
        <v>3</v>
      </c>
      <c r="Y132">
        <f t="shared" si="38"/>
        <v>3</v>
      </c>
      <c r="Z132">
        <f t="shared" si="38"/>
        <v>3</v>
      </c>
      <c r="AA132">
        <f t="shared" si="38"/>
        <v>3</v>
      </c>
      <c r="AB132">
        <f t="shared" si="38"/>
        <v>2</v>
      </c>
      <c r="AC132">
        <f t="shared" si="38"/>
        <v>0</v>
      </c>
      <c r="AD132">
        <f t="shared" si="38"/>
        <v>0</v>
      </c>
      <c r="AE132">
        <f t="shared" si="38"/>
        <v>0</v>
      </c>
      <c r="AT132" s="182" t="str">
        <f>AT121</f>
        <v xml:space="preserve">Vaches </v>
      </c>
      <c r="AV132" s="168">
        <f t="shared" ref="AV132:BS139" si="39">IF(AV75=0,0,VALUE(CONCATENATE(AV87,AV98)))</f>
        <v>23</v>
      </c>
      <c r="AW132" s="168">
        <f t="shared" si="39"/>
        <v>23</v>
      </c>
      <c r="AX132" s="168">
        <f t="shared" si="39"/>
        <v>23</v>
      </c>
      <c r="AY132" s="168">
        <f t="shared" si="39"/>
        <v>23</v>
      </c>
      <c r="AZ132" s="168">
        <f t="shared" si="39"/>
        <v>21</v>
      </c>
      <c r="BA132" s="168">
        <f t="shared" si="39"/>
        <v>21</v>
      </c>
      <c r="BB132" s="168">
        <f t="shared" si="39"/>
        <v>21</v>
      </c>
      <c r="BC132" s="168">
        <f t="shared" si="39"/>
        <v>21</v>
      </c>
      <c r="BD132" s="168">
        <f t="shared" si="39"/>
        <v>21</v>
      </c>
      <c r="BE132" s="168">
        <f t="shared" si="39"/>
        <v>21</v>
      </c>
      <c r="BF132" s="168">
        <f t="shared" si="39"/>
        <v>21</v>
      </c>
      <c r="BG132" s="168">
        <f t="shared" si="39"/>
        <v>21</v>
      </c>
      <c r="BH132" s="168">
        <f t="shared" si="39"/>
        <v>21</v>
      </c>
      <c r="BI132" s="168">
        <f t="shared" si="39"/>
        <v>21</v>
      </c>
      <c r="BJ132" s="168">
        <f t="shared" si="39"/>
        <v>21</v>
      </c>
      <c r="BK132" s="168">
        <f t="shared" si="39"/>
        <v>21</v>
      </c>
      <c r="BL132" s="168">
        <f t="shared" si="39"/>
        <v>21</v>
      </c>
      <c r="BM132" s="168">
        <f t="shared" si="39"/>
        <v>21</v>
      </c>
      <c r="BN132" s="168">
        <f t="shared" si="39"/>
        <v>21</v>
      </c>
      <c r="BO132" s="168">
        <f t="shared" si="39"/>
        <v>21</v>
      </c>
      <c r="BP132" s="168">
        <f t="shared" si="39"/>
        <v>23</v>
      </c>
      <c r="BQ132" s="168">
        <f t="shared" si="39"/>
        <v>23</v>
      </c>
      <c r="BR132" s="168">
        <f t="shared" si="39"/>
        <v>23</v>
      </c>
      <c r="BS132" s="168">
        <f t="shared" si="39"/>
        <v>23</v>
      </c>
      <c r="BZ132" s="182" t="str">
        <f>BZ121</f>
        <v>lot1</v>
      </c>
      <c r="CB132" s="168">
        <f t="shared" ref="CB132:CY139" si="40">IF(CB75=0,0,VALUE(CONCATENATE(CB87,CB98)))</f>
        <v>0</v>
      </c>
      <c r="CC132" s="168">
        <f t="shared" si="40"/>
        <v>0</v>
      </c>
      <c r="CD132" s="168">
        <f t="shared" si="40"/>
        <v>0</v>
      </c>
      <c r="CE132" s="168">
        <f t="shared" si="40"/>
        <v>0</v>
      </c>
      <c r="CF132" s="168">
        <f t="shared" si="40"/>
        <v>0</v>
      </c>
      <c r="CG132" s="168">
        <f t="shared" si="40"/>
        <v>0</v>
      </c>
      <c r="CH132" s="168">
        <f t="shared" si="40"/>
        <v>0</v>
      </c>
      <c r="CI132" s="168">
        <f t="shared" si="40"/>
        <v>0</v>
      </c>
      <c r="CJ132" s="168">
        <f t="shared" si="40"/>
        <v>0</v>
      </c>
      <c r="CK132" s="168">
        <f t="shared" si="40"/>
        <v>0</v>
      </c>
      <c r="CL132" s="168">
        <f t="shared" si="40"/>
        <v>0</v>
      </c>
      <c r="CM132" s="168">
        <f t="shared" si="40"/>
        <v>0</v>
      </c>
      <c r="CN132" s="168">
        <f t="shared" si="40"/>
        <v>0</v>
      </c>
      <c r="CO132" s="168">
        <f t="shared" si="40"/>
        <v>0</v>
      </c>
      <c r="CP132" s="168">
        <f t="shared" si="40"/>
        <v>0</v>
      </c>
      <c r="CQ132" s="168">
        <f t="shared" si="40"/>
        <v>0</v>
      </c>
      <c r="CR132" s="168">
        <f t="shared" si="40"/>
        <v>0</v>
      </c>
      <c r="CS132" s="168">
        <f t="shared" si="40"/>
        <v>0</v>
      </c>
      <c r="CT132" s="168">
        <f t="shared" si="40"/>
        <v>0</v>
      </c>
      <c r="CU132" s="168">
        <f t="shared" si="40"/>
        <v>0</v>
      </c>
      <c r="CV132" s="168">
        <f t="shared" si="40"/>
        <v>0</v>
      </c>
      <c r="CW132" s="168">
        <f t="shared" si="40"/>
        <v>0</v>
      </c>
      <c r="CX132" s="168">
        <f t="shared" si="40"/>
        <v>0</v>
      </c>
      <c r="CY132" s="168">
        <f t="shared" si="40"/>
        <v>0</v>
      </c>
      <c r="DC132" s="182" t="str">
        <f>DC121</f>
        <v>lot1</v>
      </c>
      <c r="DE132" s="168">
        <f t="shared" ref="DE132:EB139" si="41">IF(DE75=0,0,VALUE(CONCATENATE(DE87,DE98)))</f>
        <v>0</v>
      </c>
      <c r="DF132" s="168">
        <f t="shared" si="41"/>
        <v>0</v>
      </c>
      <c r="DG132" s="168">
        <f t="shared" si="41"/>
        <v>0</v>
      </c>
      <c r="DH132" s="168">
        <f t="shared" si="41"/>
        <v>0</v>
      </c>
      <c r="DI132" s="168">
        <f t="shared" si="41"/>
        <v>0</v>
      </c>
      <c r="DJ132" s="168">
        <f t="shared" si="41"/>
        <v>0</v>
      </c>
      <c r="DK132" s="168">
        <f t="shared" si="41"/>
        <v>0</v>
      </c>
      <c r="DL132" s="168">
        <f t="shared" si="41"/>
        <v>0</v>
      </c>
      <c r="DM132" s="168">
        <f t="shared" si="41"/>
        <v>0</v>
      </c>
      <c r="DN132" s="168">
        <f t="shared" si="41"/>
        <v>0</v>
      </c>
      <c r="DO132" s="168">
        <f t="shared" si="41"/>
        <v>0</v>
      </c>
      <c r="DP132" s="168">
        <f t="shared" si="41"/>
        <v>0</v>
      </c>
      <c r="DQ132" s="168">
        <f t="shared" si="41"/>
        <v>0</v>
      </c>
      <c r="DR132" s="168">
        <f t="shared" si="41"/>
        <v>0</v>
      </c>
      <c r="DS132" s="168">
        <f t="shared" si="41"/>
        <v>0</v>
      </c>
      <c r="DT132" s="168">
        <f t="shared" si="41"/>
        <v>0</v>
      </c>
      <c r="DU132" s="168">
        <f t="shared" si="41"/>
        <v>0</v>
      </c>
      <c r="DV132" s="168">
        <f t="shared" si="41"/>
        <v>0</v>
      </c>
      <c r="DW132" s="168">
        <f t="shared" si="41"/>
        <v>0</v>
      </c>
      <c r="DX132" s="168">
        <f t="shared" si="41"/>
        <v>0</v>
      </c>
      <c r="DY132" s="168">
        <f t="shared" si="41"/>
        <v>0</v>
      </c>
      <c r="DZ132" s="168">
        <f t="shared" si="41"/>
        <v>0</v>
      </c>
      <c r="EA132" s="168">
        <f t="shared" si="41"/>
        <v>0</v>
      </c>
      <c r="EB132" s="168">
        <f t="shared" si="41"/>
        <v>0</v>
      </c>
    </row>
    <row r="133" spans="1:132" x14ac:dyDescent="0.25">
      <c r="B133" s="14" t="s">
        <v>1202</v>
      </c>
      <c r="C133" s="259">
        <f>IF(C110&gt;0,C110/(C110+C113+C116),0)</f>
        <v>1</v>
      </c>
      <c r="D133" s="259">
        <f t="shared" si="25"/>
        <v>1</v>
      </c>
      <c r="AT133" s="182" t="str">
        <f t="shared" ref="AT133:AT141" si="42">AT122</f>
        <v>Génisses 24 mois</v>
      </c>
      <c r="AV133" s="168">
        <f t="shared" si="39"/>
        <v>13</v>
      </c>
      <c r="AW133" s="168">
        <f t="shared" si="39"/>
        <v>13</v>
      </c>
      <c r="AX133" s="168">
        <f t="shared" si="39"/>
        <v>13</v>
      </c>
      <c r="AY133" s="168">
        <f t="shared" si="39"/>
        <v>13</v>
      </c>
      <c r="AZ133" s="168">
        <f t="shared" si="39"/>
        <v>12</v>
      </c>
      <c r="BA133" s="168">
        <f t="shared" si="39"/>
        <v>12</v>
      </c>
      <c r="BB133" s="168">
        <f t="shared" si="39"/>
        <v>11</v>
      </c>
      <c r="BC133" s="168">
        <f t="shared" si="39"/>
        <v>11</v>
      </c>
      <c r="BD133" s="168">
        <f t="shared" si="39"/>
        <v>11</v>
      </c>
      <c r="BE133" s="168">
        <f t="shared" si="39"/>
        <v>11</v>
      </c>
      <c r="BF133" s="168">
        <f t="shared" si="39"/>
        <v>11</v>
      </c>
      <c r="BG133" s="168">
        <f t="shared" si="39"/>
        <v>11</v>
      </c>
      <c r="BH133" s="168">
        <f t="shared" si="39"/>
        <v>11</v>
      </c>
      <c r="BI133" s="168">
        <f t="shared" si="39"/>
        <v>11</v>
      </c>
      <c r="BJ133" s="168">
        <f t="shared" si="39"/>
        <v>11</v>
      </c>
      <c r="BK133" s="168">
        <f t="shared" si="39"/>
        <v>11</v>
      </c>
      <c r="BL133" s="168">
        <f t="shared" si="39"/>
        <v>11</v>
      </c>
      <c r="BM133" s="168">
        <f t="shared" si="39"/>
        <v>11</v>
      </c>
      <c r="BN133" s="168">
        <f t="shared" si="39"/>
        <v>11</v>
      </c>
      <c r="BO133" s="168">
        <f t="shared" si="39"/>
        <v>11</v>
      </c>
      <c r="BP133" s="168">
        <f t="shared" si="39"/>
        <v>12</v>
      </c>
      <c r="BQ133" s="168">
        <f t="shared" si="39"/>
        <v>13</v>
      </c>
      <c r="BR133" s="168">
        <f t="shared" si="39"/>
        <v>13</v>
      </c>
      <c r="BS133" s="168">
        <f t="shared" si="39"/>
        <v>13</v>
      </c>
      <c r="BZ133" s="182" t="str">
        <f t="shared" ref="BZ133:BZ141" si="43">BZ122</f>
        <v>lot2</v>
      </c>
      <c r="CB133" s="168">
        <f t="shared" si="40"/>
        <v>0</v>
      </c>
      <c r="CC133" s="168">
        <f t="shared" si="40"/>
        <v>0</v>
      </c>
      <c r="CD133" s="168">
        <f t="shared" si="40"/>
        <v>0</v>
      </c>
      <c r="CE133" s="168">
        <f t="shared" si="40"/>
        <v>0</v>
      </c>
      <c r="CF133" s="168">
        <f t="shared" si="40"/>
        <v>0</v>
      </c>
      <c r="CG133" s="168">
        <f t="shared" si="40"/>
        <v>0</v>
      </c>
      <c r="CH133" s="168">
        <f t="shared" si="40"/>
        <v>0</v>
      </c>
      <c r="CI133" s="168">
        <f t="shared" si="40"/>
        <v>0</v>
      </c>
      <c r="CJ133" s="168">
        <f t="shared" si="40"/>
        <v>0</v>
      </c>
      <c r="CK133" s="168">
        <f t="shared" si="40"/>
        <v>0</v>
      </c>
      <c r="CL133" s="168">
        <f t="shared" si="40"/>
        <v>0</v>
      </c>
      <c r="CM133" s="168">
        <f t="shared" si="40"/>
        <v>0</v>
      </c>
      <c r="CN133" s="168">
        <f t="shared" si="40"/>
        <v>0</v>
      </c>
      <c r="CO133" s="168">
        <f t="shared" si="40"/>
        <v>0</v>
      </c>
      <c r="CP133" s="168">
        <f t="shared" si="40"/>
        <v>0</v>
      </c>
      <c r="CQ133" s="168">
        <f t="shared" si="40"/>
        <v>0</v>
      </c>
      <c r="CR133" s="168">
        <f t="shared" si="40"/>
        <v>0</v>
      </c>
      <c r="CS133" s="168">
        <f t="shared" si="40"/>
        <v>0</v>
      </c>
      <c r="CT133" s="168">
        <f t="shared" si="40"/>
        <v>0</v>
      </c>
      <c r="CU133" s="168">
        <f t="shared" si="40"/>
        <v>0</v>
      </c>
      <c r="CV133" s="168">
        <f t="shared" si="40"/>
        <v>0</v>
      </c>
      <c r="CW133" s="168">
        <f t="shared" si="40"/>
        <v>0</v>
      </c>
      <c r="CX133" s="168">
        <f t="shared" si="40"/>
        <v>0</v>
      </c>
      <c r="CY133" s="168">
        <f t="shared" si="40"/>
        <v>0</v>
      </c>
      <c r="DC133" s="182" t="str">
        <f t="shared" ref="DC133:DC141" si="44">DC122</f>
        <v>lot2</v>
      </c>
      <c r="DE133" s="168">
        <f t="shared" si="41"/>
        <v>0</v>
      </c>
      <c r="DF133" s="168">
        <f t="shared" si="41"/>
        <v>0</v>
      </c>
      <c r="DG133" s="168">
        <f t="shared" si="41"/>
        <v>0</v>
      </c>
      <c r="DH133" s="168">
        <f t="shared" si="41"/>
        <v>0</v>
      </c>
      <c r="DI133" s="168">
        <f t="shared" si="41"/>
        <v>0</v>
      </c>
      <c r="DJ133" s="168">
        <f t="shared" si="41"/>
        <v>0</v>
      </c>
      <c r="DK133" s="168">
        <f t="shared" si="41"/>
        <v>0</v>
      </c>
      <c r="DL133" s="168">
        <f t="shared" si="41"/>
        <v>0</v>
      </c>
      <c r="DM133" s="168">
        <f t="shared" si="41"/>
        <v>0</v>
      </c>
      <c r="DN133" s="168">
        <f t="shared" si="41"/>
        <v>0</v>
      </c>
      <c r="DO133" s="168">
        <f t="shared" si="41"/>
        <v>0</v>
      </c>
      <c r="DP133" s="168">
        <f t="shared" si="41"/>
        <v>0</v>
      </c>
      <c r="DQ133" s="168">
        <f t="shared" si="41"/>
        <v>0</v>
      </c>
      <c r="DR133" s="168">
        <f t="shared" si="41"/>
        <v>0</v>
      </c>
      <c r="DS133" s="168">
        <f t="shared" si="41"/>
        <v>0</v>
      </c>
      <c r="DT133" s="168">
        <f t="shared" si="41"/>
        <v>0</v>
      </c>
      <c r="DU133" s="168">
        <f t="shared" si="41"/>
        <v>0</v>
      </c>
      <c r="DV133" s="168">
        <f t="shared" si="41"/>
        <v>0</v>
      </c>
      <c r="DW133" s="168">
        <f t="shared" si="41"/>
        <v>0</v>
      </c>
      <c r="DX133" s="168">
        <f t="shared" si="41"/>
        <v>0</v>
      </c>
      <c r="DY133" s="168">
        <f t="shared" si="41"/>
        <v>0</v>
      </c>
      <c r="DZ133" s="168">
        <f t="shared" si="41"/>
        <v>0</v>
      </c>
      <c r="EA133" s="168">
        <f t="shared" si="41"/>
        <v>0</v>
      </c>
      <c r="EB133" s="168">
        <f t="shared" si="41"/>
        <v>0</v>
      </c>
    </row>
    <row r="134" spans="1:132" x14ac:dyDescent="0.25">
      <c r="B134" s="14" t="s">
        <v>1203</v>
      </c>
      <c r="C134" s="259">
        <f t="shared" ref="C134:C135" si="45">IF(C111&gt;0,C111/(C111+C114+C117),0)</f>
        <v>0</v>
      </c>
      <c r="D134" s="259">
        <f t="shared" si="25"/>
        <v>0</v>
      </c>
      <c r="F134" s="14" t="s">
        <v>1204</v>
      </c>
      <c r="H134">
        <f>IF(COUNTIF(H$94:H$103,5)&gt;0,1,0)</f>
        <v>0</v>
      </c>
      <c r="I134">
        <f t="shared" ref="I134:AE134" si="46">IF(COUNTIF(I$94:I$103,5)&gt;0,1,0)</f>
        <v>0</v>
      </c>
      <c r="J134">
        <f t="shared" si="46"/>
        <v>0</v>
      </c>
      <c r="K134">
        <f t="shared" si="46"/>
        <v>0</v>
      </c>
      <c r="L134">
        <f t="shared" si="46"/>
        <v>0</v>
      </c>
      <c r="M134">
        <f t="shared" si="46"/>
        <v>0</v>
      </c>
      <c r="N134">
        <f t="shared" si="46"/>
        <v>0</v>
      </c>
      <c r="O134">
        <f t="shared" si="46"/>
        <v>0</v>
      </c>
      <c r="P134">
        <f t="shared" si="46"/>
        <v>0</v>
      </c>
      <c r="Q134">
        <f t="shared" si="46"/>
        <v>0</v>
      </c>
      <c r="R134">
        <f t="shared" si="46"/>
        <v>0</v>
      </c>
      <c r="S134">
        <f t="shared" si="46"/>
        <v>0</v>
      </c>
      <c r="T134">
        <f t="shared" si="46"/>
        <v>0</v>
      </c>
      <c r="U134">
        <f t="shared" si="46"/>
        <v>0</v>
      </c>
      <c r="V134">
        <f t="shared" si="46"/>
        <v>0</v>
      </c>
      <c r="W134">
        <f t="shared" si="46"/>
        <v>0</v>
      </c>
      <c r="X134">
        <f t="shared" si="46"/>
        <v>0</v>
      </c>
      <c r="Y134">
        <f t="shared" si="46"/>
        <v>0</v>
      </c>
      <c r="Z134">
        <f t="shared" si="46"/>
        <v>0</v>
      </c>
      <c r="AA134">
        <f t="shared" si="46"/>
        <v>0</v>
      </c>
      <c r="AB134">
        <f t="shared" si="46"/>
        <v>0</v>
      </c>
      <c r="AC134">
        <f t="shared" si="46"/>
        <v>0</v>
      </c>
      <c r="AD134">
        <f t="shared" si="46"/>
        <v>0</v>
      </c>
      <c r="AE134">
        <f t="shared" si="46"/>
        <v>0</v>
      </c>
      <c r="AT134" s="182" t="str">
        <f t="shared" si="42"/>
        <v>Génisses jeunes</v>
      </c>
      <c r="AV134" s="168">
        <f t="shared" si="39"/>
        <v>13</v>
      </c>
      <c r="AW134" s="168">
        <f t="shared" si="39"/>
        <v>13</v>
      </c>
      <c r="AX134" s="168">
        <f t="shared" si="39"/>
        <v>13</v>
      </c>
      <c r="AY134" s="168">
        <f t="shared" si="39"/>
        <v>13</v>
      </c>
      <c r="AZ134" s="168">
        <f t="shared" si="39"/>
        <v>13</v>
      </c>
      <c r="BA134" s="168">
        <f t="shared" si="39"/>
        <v>13</v>
      </c>
      <c r="BB134" s="168">
        <f t="shared" si="39"/>
        <v>13</v>
      </c>
      <c r="BC134" s="168">
        <f t="shared" si="39"/>
        <v>13</v>
      </c>
      <c r="BD134" s="168">
        <f t="shared" si="39"/>
        <v>13</v>
      </c>
      <c r="BE134" s="168">
        <f t="shared" si="39"/>
        <v>12</v>
      </c>
      <c r="BF134" s="168">
        <f t="shared" si="39"/>
        <v>12</v>
      </c>
      <c r="BG134" s="168">
        <f t="shared" si="39"/>
        <v>12</v>
      </c>
      <c r="BH134" s="168">
        <f t="shared" si="39"/>
        <v>12</v>
      </c>
      <c r="BI134" s="168">
        <f t="shared" si="39"/>
        <v>12</v>
      </c>
      <c r="BJ134" s="168">
        <f t="shared" si="39"/>
        <v>12</v>
      </c>
      <c r="BK134" s="168">
        <f t="shared" si="39"/>
        <v>12</v>
      </c>
      <c r="BL134" s="168">
        <f t="shared" si="39"/>
        <v>12</v>
      </c>
      <c r="BM134" s="168">
        <f t="shared" si="39"/>
        <v>12</v>
      </c>
      <c r="BN134" s="168">
        <f t="shared" si="39"/>
        <v>12</v>
      </c>
      <c r="BO134" s="168">
        <f t="shared" si="39"/>
        <v>12</v>
      </c>
      <c r="BP134" s="168">
        <f t="shared" si="39"/>
        <v>12</v>
      </c>
      <c r="BQ134" s="168">
        <f t="shared" si="39"/>
        <v>13</v>
      </c>
      <c r="BR134" s="168">
        <f t="shared" si="39"/>
        <v>13</v>
      </c>
      <c r="BS134" s="168">
        <f t="shared" si="39"/>
        <v>13</v>
      </c>
      <c r="BZ134" s="182" t="str">
        <f t="shared" si="43"/>
        <v>lot3</v>
      </c>
      <c r="CB134" s="168">
        <f t="shared" si="40"/>
        <v>0</v>
      </c>
      <c r="CC134" s="168">
        <f t="shared" si="40"/>
        <v>0</v>
      </c>
      <c r="CD134" s="168">
        <f t="shared" si="40"/>
        <v>0</v>
      </c>
      <c r="CE134" s="168">
        <f t="shared" si="40"/>
        <v>0</v>
      </c>
      <c r="CF134" s="168">
        <f t="shared" si="40"/>
        <v>0</v>
      </c>
      <c r="CG134" s="168">
        <f t="shared" si="40"/>
        <v>0</v>
      </c>
      <c r="CH134" s="168">
        <f t="shared" si="40"/>
        <v>0</v>
      </c>
      <c r="CI134" s="168">
        <f t="shared" si="40"/>
        <v>0</v>
      </c>
      <c r="CJ134" s="168">
        <f t="shared" si="40"/>
        <v>0</v>
      </c>
      <c r="CK134" s="168">
        <f t="shared" si="40"/>
        <v>0</v>
      </c>
      <c r="CL134" s="168">
        <f t="shared" si="40"/>
        <v>0</v>
      </c>
      <c r="CM134" s="168">
        <f t="shared" si="40"/>
        <v>0</v>
      </c>
      <c r="CN134" s="168">
        <f t="shared" si="40"/>
        <v>0</v>
      </c>
      <c r="CO134" s="168">
        <f t="shared" si="40"/>
        <v>0</v>
      </c>
      <c r="CP134" s="168">
        <f t="shared" si="40"/>
        <v>0</v>
      </c>
      <c r="CQ134" s="168">
        <f t="shared" si="40"/>
        <v>0</v>
      </c>
      <c r="CR134" s="168">
        <f t="shared" si="40"/>
        <v>0</v>
      </c>
      <c r="CS134" s="168">
        <f t="shared" si="40"/>
        <v>0</v>
      </c>
      <c r="CT134" s="168">
        <f t="shared" si="40"/>
        <v>0</v>
      </c>
      <c r="CU134" s="168">
        <f t="shared" si="40"/>
        <v>0</v>
      </c>
      <c r="CV134" s="168">
        <f t="shared" si="40"/>
        <v>0</v>
      </c>
      <c r="CW134" s="168">
        <f t="shared" si="40"/>
        <v>0</v>
      </c>
      <c r="CX134" s="168">
        <f t="shared" si="40"/>
        <v>0</v>
      </c>
      <c r="CY134" s="168">
        <f t="shared" si="40"/>
        <v>0</v>
      </c>
      <c r="DC134" s="182" t="str">
        <f t="shared" si="44"/>
        <v>lot3</v>
      </c>
      <c r="DE134" s="168">
        <f t="shared" si="41"/>
        <v>0</v>
      </c>
      <c r="DF134" s="168">
        <f t="shared" si="41"/>
        <v>0</v>
      </c>
      <c r="DG134" s="168">
        <f t="shared" si="41"/>
        <v>0</v>
      </c>
      <c r="DH134" s="168">
        <f t="shared" si="41"/>
        <v>0</v>
      </c>
      <c r="DI134" s="168">
        <f t="shared" si="41"/>
        <v>0</v>
      </c>
      <c r="DJ134" s="168">
        <f t="shared" si="41"/>
        <v>0</v>
      </c>
      <c r="DK134" s="168">
        <f t="shared" si="41"/>
        <v>0</v>
      </c>
      <c r="DL134" s="168">
        <f t="shared" si="41"/>
        <v>0</v>
      </c>
      <c r="DM134" s="168">
        <f t="shared" si="41"/>
        <v>0</v>
      </c>
      <c r="DN134" s="168">
        <f t="shared" si="41"/>
        <v>0</v>
      </c>
      <c r="DO134" s="168">
        <f t="shared" si="41"/>
        <v>0</v>
      </c>
      <c r="DP134" s="168">
        <f t="shared" si="41"/>
        <v>0</v>
      </c>
      <c r="DQ134" s="168">
        <f t="shared" si="41"/>
        <v>0</v>
      </c>
      <c r="DR134" s="168">
        <f t="shared" si="41"/>
        <v>0</v>
      </c>
      <c r="DS134" s="168">
        <f t="shared" si="41"/>
        <v>0</v>
      </c>
      <c r="DT134" s="168">
        <f t="shared" si="41"/>
        <v>0</v>
      </c>
      <c r="DU134" s="168">
        <f t="shared" si="41"/>
        <v>0</v>
      </c>
      <c r="DV134" s="168">
        <f t="shared" si="41"/>
        <v>0</v>
      </c>
      <c r="DW134" s="168">
        <f t="shared" si="41"/>
        <v>0</v>
      </c>
      <c r="DX134" s="168">
        <f t="shared" si="41"/>
        <v>0</v>
      </c>
      <c r="DY134" s="168">
        <f t="shared" si="41"/>
        <v>0</v>
      </c>
      <c r="DZ134" s="168">
        <f t="shared" si="41"/>
        <v>0</v>
      </c>
      <c r="EA134" s="168">
        <f t="shared" si="41"/>
        <v>0</v>
      </c>
      <c r="EB134" s="168">
        <f t="shared" si="41"/>
        <v>0</v>
      </c>
    </row>
    <row r="135" spans="1:132" x14ac:dyDescent="0.25">
      <c r="B135" s="14" t="s">
        <v>1205</v>
      </c>
      <c r="C135" s="259">
        <f t="shared" si="45"/>
        <v>0</v>
      </c>
      <c r="D135" s="259">
        <f t="shared" si="25"/>
        <v>0</v>
      </c>
      <c r="F135" s="14" t="s">
        <v>1206</v>
      </c>
      <c r="H135">
        <f>IF(COUNTIF(H$105:H$114,5)&gt;0,1,0)</f>
        <v>0</v>
      </c>
      <c r="I135">
        <f t="shared" ref="I135:AE135" si="47">IF(COUNTIF(I$105:I$114,5)&gt;0,1,0)</f>
        <v>0</v>
      </c>
      <c r="J135">
        <f t="shared" si="47"/>
        <v>0</v>
      </c>
      <c r="K135">
        <f t="shared" si="47"/>
        <v>0</v>
      </c>
      <c r="L135">
        <f t="shared" si="47"/>
        <v>0</v>
      </c>
      <c r="M135">
        <f t="shared" si="47"/>
        <v>0</v>
      </c>
      <c r="N135">
        <f t="shared" si="47"/>
        <v>0</v>
      </c>
      <c r="O135">
        <f t="shared" si="47"/>
        <v>0</v>
      </c>
      <c r="P135">
        <f t="shared" si="47"/>
        <v>0</v>
      </c>
      <c r="Q135">
        <f t="shared" si="47"/>
        <v>0</v>
      </c>
      <c r="R135">
        <f t="shared" si="47"/>
        <v>0</v>
      </c>
      <c r="S135">
        <f t="shared" si="47"/>
        <v>0</v>
      </c>
      <c r="T135">
        <f t="shared" si="47"/>
        <v>0</v>
      </c>
      <c r="U135">
        <f t="shared" si="47"/>
        <v>0</v>
      </c>
      <c r="V135">
        <f t="shared" si="47"/>
        <v>0</v>
      </c>
      <c r="W135">
        <f t="shared" si="47"/>
        <v>0</v>
      </c>
      <c r="X135">
        <f t="shared" si="47"/>
        <v>0</v>
      </c>
      <c r="Y135">
        <f t="shared" si="47"/>
        <v>0</v>
      </c>
      <c r="Z135">
        <f t="shared" si="47"/>
        <v>0</v>
      </c>
      <c r="AA135">
        <f t="shared" si="47"/>
        <v>0</v>
      </c>
      <c r="AB135">
        <f t="shared" si="47"/>
        <v>0</v>
      </c>
      <c r="AC135">
        <f t="shared" si="47"/>
        <v>0</v>
      </c>
      <c r="AD135">
        <f t="shared" si="47"/>
        <v>0</v>
      </c>
      <c r="AE135">
        <f t="shared" si="47"/>
        <v>0</v>
      </c>
      <c r="AT135" s="182" t="str">
        <f t="shared" si="42"/>
        <v>broutards</v>
      </c>
      <c r="AV135" s="168">
        <f t="shared" si="39"/>
        <v>23</v>
      </c>
      <c r="AW135" s="168">
        <f t="shared" si="39"/>
        <v>23</v>
      </c>
      <c r="AX135" s="168">
        <f t="shared" si="39"/>
        <v>23</v>
      </c>
      <c r="AY135" s="168">
        <f t="shared" si="39"/>
        <v>23</v>
      </c>
      <c r="AZ135" s="168">
        <f t="shared" si="39"/>
        <v>23</v>
      </c>
      <c r="BA135" s="168">
        <f t="shared" si="39"/>
        <v>23</v>
      </c>
      <c r="BB135" s="168">
        <f t="shared" si="39"/>
        <v>0</v>
      </c>
      <c r="BC135" s="168">
        <f t="shared" si="39"/>
        <v>0</v>
      </c>
      <c r="BD135" s="168">
        <f t="shared" si="39"/>
        <v>0</v>
      </c>
      <c r="BE135" s="168">
        <f t="shared" si="39"/>
        <v>0</v>
      </c>
      <c r="BF135" s="168">
        <f t="shared" si="39"/>
        <v>0</v>
      </c>
      <c r="BG135" s="168">
        <f t="shared" si="39"/>
        <v>0</v>
      </c>
      <c r="BH135" s="168">
        <f t="shared" si="39"/>
        <v>0</v>
      </c>
      <c r="BI135" s="168">
        <f t="shared" si="39"/>
        <v>0</v>
      </c>
      <c r="BJ135" s="168">
        <f t="shared" si="39"/>
        <v>0</v>
      </c>
      <c r="BK135" s="168">
        <f t="shared" si="39"/>
        <v>0</v>
      </c>
      <c r="BL135" s="168">
        <f t="shared" si="39"/>
        <v>0</v>
      </c>
      <c r="BM135" s="168">
        <f t="shared" si="39"/>
        <v>0</v>
      </c>
      <c r="BN135" s="168">
        <f t="shared" si="39"/>
        <v>0</v>
      </c>
      <c r="BO135" s="168">
        <f t="shared" si="39"/>
        <v>23</v>
      </c>
      <c r="BP135" s="168">
        <f t="shared" si="39"/>
        <v>23</v>
      </c>
      <c r="BQ135" s="168">
        <f t="shared" si="39"/>
        <v>23</v>
      </c>
      <c r="BR135" s="168">
        <f t="shared" si="39"/>
        <v>23</v>
      </c>
      <c r="BS135" s="168">
        <f t="shared" si="39"/>
        <v>23</v>
      </c>
      <c r="BZ135" s="182" t="str">
        <f t="shared" si="43"/>
        <v>lot4</v>
      </c>
      <c r="CB135" s="168">
        <f t="shared" si="40"/>
        <v>0</v>
      </c>
      <c r="CC135" s="168">
        <f t="shared" si="40"/>
        <v>0</v>
      </c>
      <c r="CD135" s="168">
        <f t="shared" si="40"/>
        <v>0</v>
      </c>
      <c r="CE135" s="168">
        <f t="shared" si="40"/>
        <v>0</v>
      </c>
      <c r="CF135" s="168">
        <f t="shared" si="40"/>
        <v>0</v>
      </c>
      <c r="CG135" s="168">
        <f t="shared" si="40"/>
        <v>0</v>
      </c>
      <c r="CH135" s="168">
        <f t="shared" si="40"/>
        <v>0</v>
      </c>
      <c r="CI135" s="168">
        <f t="shared" si="40"/>
        <v>0</v>
      </c>
      <c r="CJ135" s="168">
        <f t="shared" si="40"/>
        <v>0</v>
      </c>
      <c r="CK135" s="168">
        <f t="shared" si="40"/>
        <v>0</v>
      </c>
      <c r="CL135" s="168">
        <f t="shared" si="40"/>
        <v>0</v>
      </c>
      <c r="CM135" s="168">
        <f t="shared" si="40"/>
        <v>0</v>
      </c>
      <c r="CN135" s="168">
        <f t="shared" si="40"/>
        <v>0</v>
      </c>
      <c r="CO135" s="168">
        <f t="shared" si="40"/>
        <v>0</v>
      </c>
      <c r="CP135" s="168">
        <f t="shared" si="40"/>
        <v>0</v>
      </c>
      <c r="CQ135" s="168">
        <f t="shared" si="40"/>
        <v>0</v>
      </c>
      <c r="CR135" s="168">
        <f t="shared" si="40"/>
        <v>0</v>
      </c>
      <c r="CS135" s="168">
        <f t="shared" si="40"/>
        <v>0</v>
      </c>
      <c r="CT135" s="168">
        <f t="shared" si="40"/>
        <v>0</v>
      </c>
      <c r="CU135" s="168">
        <f t="shared" si="40"/>
        <v>0</v>
      </c>
      <c r="CV135" s="168">
        <f t="shared" si="40"/>
        <v>0</v>
      </c>
      <c r="CW135" s="168">
        <f t="shared" si="40"/>
        <v>0</v>
      </c>
      <c r="CX135" s="168">
        <f t="shared" si="40"/>
        <v>0</v>
      </c>
      <c r="CY135" s="168">
        <f t="shared" si="40"/>
        <v>0</v>
      </c>
      <c r="DC135" s="182" t="str">
        <f t="shared" si="44"/>
        <v>lot4</v>
      </c>
      <c r="DE135" s="168">
        <f t="shared" si="41"/>
        <v>0</v>
      </c>
      <c r="DF135" s="168">
        <f t="shared" si="41"/>
        <v>0</v>
      </c>
      <c r="DG135" s="168">
        <f t="shared" si="41"/>
        <v>0</v>
      </c>
      <c r="DH135" s="168">
        <f t="shared" si="41"/>
        <v>0</v>
      </c>
      <c r="DI135" s="168">
        <f t="shared" si="41"/>
        <v>0</v>
      </c>
      <c r="DJ135" s="168">
        <f t="shared" si="41"/>
        <v>0</v>
      </c>
      <c r="DK135" s="168">
        <f t="shared" si="41"/>
        <v>0</v>
      </c>
      <c r="DL135" s="168">
        <f t="shared" si="41"/>
        <v>0</v>
      </c>
      <c r="DM135" s="168">
        <f t="shared" si="41"/>
        <v>0</v>
      </c>
      <c r="DN135" s="168">
        <f t="shared" si="41"/>
        <v>0</v>
      </c>
      <c r="DO135" s="168">
        <f t="shared" si="41"/>
        <v>0</v>
      </c>
      <c r="DP135" s="168">
        <f t="shared" si="41"/>
        <v>0</v>
      </c>
      <c r="DQ135" s="168">
        <f t="shared" si="41"/>
        <v>0</v>
      </c>
      <c r="DR135" s="168">
        <f t="shared" si="41"/>
        <v>0</v>
      </c>
      <c r="DS135" s="168">
        <f t="shared" si="41"/>
        <v>0</v>
      </c>
      <c r="DT135" s="168">
        <f t="shared" si="41"/>
        <v>0</v>
      </c>
      <c r="DU135" s="168">
        <f t="shared" si="41"/>
        <v>0</v>
      </c>
      <c r="DV135" s="168">
        <f t="shared" si="41"/>
        <v>0</v>
      </c>
      <c r="DW135" s="168">
        <f t="shared" si="41"/>
        <v>0</v>
      </c>
      <c r="DX135" s="168">
        <f t="shared" si="41"/>
        <v>0</v>
      </c>
      <c r="DY135" s="168">
        <f t="shared" si="41"/>
        <v>0</v>
      </c>
      <c r="DZ135" s="168">
        <f t="shared" si="41"/>
        <v>0</v>
      </c>
      <c r="EA135" s="168">
        <f t="shared" si="41"/>
        <v>0</v>
      </c>
      <c r="EB135" s="168">
        <f t="shared" si="41"/>
        <v>0</v>
      </c>
    </row>
    <row r="136" spans="1:132" x14ac:dyDescent="0.25">
      <c r="B136" s="14" t="s">
        <v>1207</v>
      </c>
      <c r="C136" s="259">
        <f>SUM(C110:C112)/SUM(C110:C118)</f>
        <v>1</v>
      </c>
      <c r="D136" s="259">
        <f t="shared" si="25"/>
        <v>1</v>
      </c>
      <c r="F136" s="14" t="s">
        <v>1208</v>
      </c>
      <c r="H136">
        <f>IF(COUNTIF(H$116:H$125,5)&gt;0,1,0)</f>
        <v>0</v>
      </c>
      <c r="I136">
        <f t="shared" ref="I136:AE136" si="48">IF(COUNTIF(I$116:I$125,5)&gt;0,1,0)</f>
        <v>0</v>
      </c>
      <c r="J136">
        <f t="shared" si="48"/>
        <v>0</v>
      </c>
      <c r="K136">
        <f t="shared" si="48"/>
        <v>0</v>
      </c>
      <c r="L136">
        <f t="shared" si="48"/>
        <v>0</v>
      </c>
      <c r="M136">
        <f t="shared" si="48"/>
        <v>0</v>
      </c>
      <c r="N136">
        <f t="shared" si="48"/>
        <v>0</v>
      </c>
      <c r="O136">
        <f t="shared" si="48"/>
        <v>0</v>
      </c>
      <c r="P136">
        <f t="shared" si="48"/>
        <v>0</v>
      </c>
      <c r="Q136">
        <f t="shared" si="48"/>
        <v>0</v>
      </c>
      <c r="R136">
        <f t="shared" si="48"/>
        <v>0</v>
      </c>
      <c r="S136">
        <f t="shared" si="48"/>
        <v>0</v>
      </c>
      <c r="T136">
        <f t="shared" si="48"/>
        <v>0</v>
      </c>
      <c r="U136">
        <f t="shared" si="48"/>
        <v>0</v>
      </c>
      <c r="V136">
        <f t="shared" si="48"/>
        <v>0</v>
      </c>
      <c r="W136">
        <f t="shared" si="48"/>
        <v>0</v>
      </c>
      <c r="X136">
        <f t="shared" si="48"/>
        <v>0</v>
      </c>
      <c r="Y136">
        <f t="shared" si="48"/>
        <v>0</v>
      </c>
      <c r="Z136">
        <f t="shared" si="48"/>
        <v>0</v>
      </c>
      <c r="AA136">
        <f t="shared" si="48"/>
        <v>0</v>
      </c>
      <c r="AB136">
        <f t="shared" si="48"/>
        <v>0</v>
      </c>
      <c r="AC136">
        <f t="shared" si="48"/>
        <v>0</v>
      </c>
      <c r="AD136">
        <f t="shared" si="48"/>
        <v>0</v>
      </c>
      <c r="AE136">
        <f t="shared" si="48"/>
        <v>0</v>
      </c>
      <c r="AT136" s="182" t="str">
        <f t="shared" si="42"/>
        <v>génisses &lt; 1 an</v>
      </c>
      <c r="AV136" s="168">
        <f t="shared" si="39"/>
        <v>0</v>
      </c>
      <c r="AW136" s="168">
        <f t="shared" si="39"/>
        <v>0</v>
      </c>
      <c r="AX136" s="168">
        <f t="shared" si="39"/>
        <v>23</v>
      </c>
      <c r="AY136" s="168">
        <f t="shared" si="39"/>
        <v>23</v>
      </c>
      <c r="AZ136" s="168">
        <f t="shared" si="39"/>
        <v>23</v>
      </c>
      <c r="BA136" s="168">
        <f t="shared" si="39"/>
        <v>23</v>
      </c>
      <c r="BB136" s="168">
        <f t="shared" si="39"/>
        <v>23</v>
      </c>
      <c r="BC136" s="168">
        <f t="shared" si="39"/>
        <v>23</v>
      </c>
      <c r="BD136" s="168">
        <f t="shared" si="39"/>
        <v>23</v>
      </c>
      <c r="BE136" s="168">
        <f t="shared" si="39"/>
        <v>23</v>
      </c>
      <c r="BF136" s="168">
        <f t="shared" si="39"/>
        <v>23</v>
      </c>
      <c r="BG136" s="168">
        <f t="shared" si="39"/>
        <v>23</v>
      </c>
      <c r="BH136" s="168">
        <f t="shared" si="39"/>
        <v>23</v>
      </c>
      <c r="BI136" s="168">
        <f t="shared" si="39"/>
        <v>23</v>
      </c>
      <c r="BJ136" s="168">
        <f t="shared" si="39"/>
        <v>23</v>
      </c>
      <c r="BK136" s="168">
        <f t="shared" si="39"/>
        <v>23</v>
      </c>
      <c r="BL136" s="168">
        <f t="shared" si="39"/>
        <v>23</v>
      </c>
      <c r="BM136" s="168">
        <f t="shared" si="39"/>
        <v>23</v>
      </c>
      <c r="BN136" s="168">
        <f t="shared" si="39"/>
        <v>23</v>
      </c>
      <c r="BO136" s="168">
        <f t="shared" si="39"/>
        <v>23</v>
      </c>
      <c r="BP136" s="168">
        <f t="shared" si="39"/>
        <v>23</v>
      </c>
      <c r="BQ136" s="168">
        <f t="shared" si="39"/>
        <v>0</v>
      </c>
      <c r="BR136" s="168">
        <f t="shared" si="39"/>
        <v>0</v>
      </c>
      <c r="BS136" s="168">
        <f t="shared" si="39"/>
        <v>0</v>
      </c>
      <c r="BZ136" s="182" t="str">
        <f t="shared" si="43"/>
        <v>lot5</v>
      </c>
      <c r="CB136" s="168">
        <f t="shared" si="40"/>
        <v>0</v>
      </c>
      <c r="CC136" s="168">
        <f t="shared" si="40"/>
        <v>0</v>
      </c>
      <c r="CD136" s="168">
        <f t="shared" si="40"/>
        <v>0</v>
      </c>
      <c r="CE136" s="168">
        <f t="shared" si="40"/>
        <v>0</v>
      </c>
      <c r="CF136" s="168">
        <f t="shared" si="40"/>
        <v>0</v>
      </c>
      <c r="CG136" s="168">
        <f t="shared" si="40"/>
        <v>0</v>
      </c>
      <c r="CH136" s="168">
        <f t="shared" si="40"/>
        <v>0</v>
      </c>
      <c r="CI136" s="168">
        <f t="shared" si="40"/>
        <v>0</v>
      </c>
      <c r="CJ136" s="168">
        <f t="shared" si="40"/>
        <v>0</v>
      </c>
      <c r="CK136" s="168">
        <f t="shared" si="40"/>
        <v>0</v>
      </c>
      <c r="CL136" s="168">
        <f t="shared" si="40"/>
        <v>0</v>
      </c>
      <c r="CM136" s="168">
        <f t="shared" si="40"/>
        <v>0</v>
      </c>
      <c r="CN136" s="168">
        <f t="shared" si="40"/>
        <v>0</v>
      </c>
      <c r="CO136" s="168">
        <f t="shared" si="40"/>
        <v>0</v>
      </c>
      <c r="CP136" s="168">
        <f t="shared" si="40"/>
        <v>0</v>
      </c>
      <c r="CQ136" s="168">
        <f t="shared" si="40"/>
        <v>0</v>
      </c>
      <c r="CR136" s="168">
        <f t="shared" si="40"/>
        <v>0</v>
      </c>
      <c r="CS136" s="168">
        <f t="shared" si="40"/>
        <v>0</v>
      </c>
      <c r="CT136" s="168">
        <f t="shared" si="40"/>
        <v>0</v>
      </c>
      <c r="CU136" s="168">
        <f t="shared" si="40"/>
        <v>0</v>
      </c>
      <c r="CV136" s="168">
        <f t="shared" si="40"/>
        <v>0</v>
      </c>
      <c r="CW136" s="168">
        <f t="shared" si="40"/>
        <v>0</v>
      </c>
      <c r="CX136" s="168">
        <f t="shared" si="40"/>
        <v>0</v>
      </c>
      <c r="CY136" s="168">
        <f t="shared" si="40"/>
        <v>0</v>
      </c>
      <c r="DC136" s="182" t="str">
        <f t="shared" si="44"/>
        <v>lot5</v>
      </c>
      <c r="DE136" s="168">
        <f t="shared" si="41"/>
        <v>0</v>
      </c>
      <c r="DF136" s="168">
        <f t="shared" si="41"/>
        <v>0</v>
      </c>
      <c r="DG136" s="168">
        <f t="shared" si="41"/>
        <v>0</v>
      </c>
      <c r="DH136" s="168">
        <f t="shared" si="41"/>
        <v>0</v>
      </c>
      <c r="DI136" s="168">
        <f t="shared" si="41"/>
        <v>0</v>
      </c>
      <c r="DJ136" s="168">
        <f t="shared" si="41"/>
        <v>0</v>
      </c>
      <c r="DK136" s="168">
        <f t="shared" si="41"/>
        <v>0</v>
      </c>
      <c r="DL136" s="168">
        <f t="shared" si="41"/>
        <v>0</v>
      </c>
      <c r="DM136" s="168">
        <f t="shared" si="41"/>
        <v>0</v>
      </c>
      <c r="DN136" s="168">
        <f t="shared" si="41"/>
        <v>0</v>
      </c>
      <c r="DO136" s="168">
        <f t="shared" si="41"/>
        <v>0</v>
      </c>
      <c r="DP136" s="168">
        <f t="shared" si="41"/>
        <v>0</v>
      </c>
      <c r="DQ136" s="168">
        <f t="shared" si="41"/>
        <v>0</v>
      </c>
      <c r="DR136" s="168">
        <f t="shared" si="41"/>
        <v>0</v>
      </c>
      <c r="DS136" s="168">
        <f t="shared" si="41"/>
        <v>0</v>
      </c>
      <c r="DT136" s="168">
        <f t="shared" si="41"/>
        <v>0</v>
      </c>
      <c r="DU136" s="168">
        <f t="shared" si="41"/>
        <v>0</v>
      </c>
      <c r="DV136" s="168">
        <f t="shared" si="41"/>
        <v>0</v>
      </c>
      <c r="DW136" s="168">
        <f t="shared" si="41"/>
        <v>0</v>
      </c>
      <c r="DX136" s="168">
        <f t="shared" si="41"/>
        <v>0</v>
      </c>
      <c r="DY136" s="168">
        <f t="shared" si="41"/>
        <v>0</v>
      </c>
      <c r="DZ136" s="168">
        <f t="shared" si="41"/>
        <v>0</v>
      </c>
      <c r="EA136" s="168">
        <f t="shared" si="41"/>
        <v>0</v>
      </c>
      <c r="EB136" s="168">
        <f t="shared" si="41"/>
        <v>0</v>
      </c>
    </row>
    <row r="137" spans="1:132" x14ac:dyDescent="0.25">
      <c r="A137" s="2" t="s">
        <v>1209</v>
      </c>
      <c r="B137" s="32" t="s">
        <v>1210</v>
      </c>
      <c r="C137" s="168">
        <f>IF(Troupeau!B$3="OL",('Calcul éco'!B9+'Calcul éco'!B10),0)</f>
        <v>0</v>
      </c>
      <c r="D137" s="260">
        <f>C137*$D$82/$C$82</f>
        <v>0</v>
      </c>
      <c r="F137" s="14" t="s">
        <v>1211</v>
      </c>
      <c r="H137">
        <f>IF(SUM(H134:H136)&gt;0,1,0)</f>
        <v>0</v>
      </c>
      <c r="I137">
        <f t="shared" ref="I137:AE137" si="49">IF(SUM(I134:I136)&gt;0,1,0)</f>
        <v>0</v>
      </c>
      <c r="J137">
        <f t="shared" si="49"/>
        <v>0</v>
      </c>
      <c r="K137">
        <f t="shared" si="49"/>
        <v>0</v>
      </c>
      <c r="L137">
        <f t="shared" si="49"/>
        <v>0</v>
      </c>
      <c r="M137">
        <f t="shared" si="49"/>
        <v>0</v>
      </c>
      <c r="N137">
        <f t="shared" si="49"/>
        <v>0</v>
      </c>
      <c r="O137">
        <f t="shared" si="49"/>
        <v>0</v>
      </c>
      <c r="P137">
        <f t="shared" si="49"/>
        <v>0</v>
      </c>
      <c r="Q137">
        <f t="shared" si="49"/>
        <v>0</v>
      </c>
      <c r="R137">
        <f t="shared" si="49"/>
        <v>0</v>
      </c>
      <c r="S137">
        <f t="shared" si="49"/>
        <v>0</v>
      </c>
      <c r="T137">
        <f t="shared" si="49"/>
        <v>0</v>
      </c>
      <c r="U137">
        <f t="shared" si="49"/>
        <v>0</v>
      </c>
      <c r="V137">
        <f t="shared" si="49"/>
        <v>0</v>
      </c>
      <c r="W137">
        <f t="shared" si="49"/>
        <v>0</v>
      </c>
      <c r="X137">
        <f t="shared" si="49"/>
        <v>0</v>
      </c>
      <c r="Y137">
        <f t="shared" si="49"/>
        <v>0</v>
      </c>
      <c r="Z137">
        <f t="shared" si="49"/>
        <v>0</v>
      </c>
      <c r="AA137">
        <f t="shared" si="49"/>
        <v>0</v>
      </c>
      <c r="AB137">
        <f t="shared" si="49"/>
        <v>0</v>
      </c>
      <c r="AC137">
        <f t="shared" si="49"/>
        <v>0</v>
      </c>
      <c r="AD137">
        <f t="shared" si="49"/>
        <v>0</v>
      </c>
      <c r="AE137">
        <f t="shared" si="49"/>
        <v>0</v>
      </c>
      <c r="AT137" s="182" t="str">
        <f t="shared" si="42"/>
        <v>lot6</v>
      </c>
      <c r="AV137" s="168">
        <f t="shared" si="39"/>
        <v>0</v>
      </c>
      <c r="AW137" s="168">
        <f t="shared" si="39"/>
        <v>0</v>
      </c>
      <c r="AX137" s="168">
        <f t="shared" si="39"/>
        <v>0</v>
      </c>
      <c r="AY137" s="168">
        <f t="shared" si="39"/>
        <v>0</v>
      </c>
      <c r="AZ137" s="168">
        <f t="shared" si="39"/>
        <v>0</v>
      </c>
      <c r="BA137" s="168">
        <f t="shared" si="39"/>
        <v>0</v>
      </c>
      <c r="BB137" s="168">
        <f t="shared" si="39"/>
        <v>0</v>
      </c>
      <c r="BC137" s="168">
        <f t="shared" si="39"/>
        <v>0</v>
      </c>
      <c r="BD137" s="168">
        <f t="shared" si="39"/>
        <v>0</v>
      </c>
      <c r="BE137" s="168">
        <f t="shared" si="39"/>
        <v>0</v>
      </c>
      <c r="BF137" s="168">
        <f t="shared" si="39"/>
        <v>0</v>
      </c>
      <c r="BG137" s="168">
        <f t="shared" si="39"/>
        <v>0</v>
      </c>
      <c r="BH137" s="168">
        <f t="shared" si="39"/>
        <v>0</v>
      </c>
      <c r="BI137" s="168">
        <f t="shared" si="39"/>
        <v>0</v>
      </c>
      <c r="BJ137" s="168">
        <f t="shared" si="39"/>
        <v>0</v>
      </c>
      <c r="BK137" s="168">
        <f t="shared" si="39"/>
        <v>0</v>
      </c>
      <c r="BL137" s="168">
        <f t="shared" si="39"/>
        <v>0</v>
      </c>
      <c r="BM137" s="168">
        <f t="shared" si="39"/>
        <v>0</v>
      </c>
      <c r="BN137" s="168">
        <f t="shared" si="39"/>
        <v>0</v>
      </c>
      <c r="BO137" s="168">
        <f t="shared" si="39"/>
        <v>0</v>
      </c>
      <c r="BP137" s="168">
        <f t="shared" si="39"/>
        <v>0</v>
      </c>
      <c r="BQ137" s="168">
        <f t="shared" si="39"/>
        <v>0</v>
      </c>
      <c r="BR137" s="168">
        <f t="shared" si="39"/>
        <v>0</v>
      </c>
      <c r="BS137" s="168">
        <f t="shared" si="39"/>
        <v>0</v>
      </c>
      <c r="BZ137" s="182" t="str">
        <f t="shared" si="43"/>
        <v>lot6</v>
      </c>
      <c r="CB137" s="168">
        <f t="shared" si="40"/>
        <v>0</v>
      </c>
      <c r="CC137" s="168">
        <f t="shared" si="40"/>
        <v>0</v>
      </c>
      <c r="CD137" s="168">
        <f t="shared" si="40"/>
        <v>0</v>
      </c>
      <c r="CE137" s="168">
        <f t="shared" si="40"/>
        <v>0</v>
      </c>
      <c r="CF137" s="168">
        <f t="shared" si="40"/>
        <v>0</v>
      </c>
      <c r="CG137" s="168">
        <f t="shared" si="40"/>
        <v>0</v>
      </c>
      <c r="CH137" s="168">
        <f t="shared" si="40"/>
        <v>0</v>
      </c>
      <c r="CI137" s="168">
        <f t="shared" si="40"/>
        <v>0</v>
      </c>
      <c r="CJ137" s="168">
        <f t="shared" si="40"/>
        <v>0</v>
      </c>
      <c r="CK137" s="168">
        <f t="shared" si="40"/>
        <v>0</v>
      </c>
      <c r="CL137" s="168">
        <f t="shared" si="40"/>
        <v>0</v>
      </c>
      <c r="CM137" s="168">
        <f t="shared" si="40"/>
        <v>0</v>
      </c>
      <c r="CN137" s="168">
        <f t="shared" si="40"/>
        <v>0</v>
      </c>
      <c r="CO137" s="168">
        <f t="shared" si="40"/>
        <v>0</v>
      </c>
      <c r="CP137" s="168">
        <f t="shared" si="40"/>
        <v>0</v>
      </c>
      <c r="CQ137" s="168">
        <f t="shared" si="40"/>
        <v>0</v>
      </c>
      <c r="CR137" s="168">
        <f t="shared" si="40"/>
        <v>0</v>
      </c>
      <c r="CS137" s="168">
        <f t="shared" si="40"/>
        <v>0</v>
      </c>
      <c r="CT137" s="168">
        <f t="shared" si="40"/>
        <v>0</v>
      </c>
      <c r="CU137" s="168">
        <f t="shared" si="40"/>
        <v>0</v>
      </c>
      <c r="CV137" s="168">
        <f t="shared" si="40"/>
        <v>0</v>
      </c>
      <c r="CW137" s="168">
        <f t="shared" si="40"/>
        <v>0</v>
      </c>
      <c r="CX137" s="168">
        <f t="shared" si="40"/>
        <v>0</v>
      </c>
      <c r="CY137" s="168">
        <f t="shared" si="40"/>
        <v>0</v>
      </c>
      <c r="DC137" s="182" t="str">
        <f t="shared" si="44"/>
        <v>lot6</v>
      </c>
      <c r="DE137" s="168">
        <f t="shared" si="41"/>
        <v>0</v>
      </c>
      <c r="DF137" s="168">
        <f t="shared" si="41"/>
        <v>0</v>
      </c>
      <c r="DG137" s="168">
        <f t="shared" si="41"/>
        <v>0</v>
      </c>
      <c r="DH137" s="168">
        <f t="shared" si="41"/>
        <v>0</v>
      </c>
      <c r="DI137" s="168">
        <f t="shared" si="41"/>
        <v>0</v>
      </c>
      <c r="DJ137" s="168">
        <f t="shared" si="41"/>
        <v>0</v>
      </c>
      <c r="DK137" s="168">
        <f t="shared" si="41"/>
        <v>0</v>
      </c>
      <c r="DL137" s="168">
        <f t="shared" si="41"/>
        <v>0</v>
      </c>
      <c r="DM137" s="168">
        <f t="shared" si="41"/>
        <v>0</v>
      </c>
      <c r="DN137" s="168">
        <f t="shared" si="41"/>
        <v>0</v>
      </c>
      <c r="DO137" s="168">
        <f t="shared" si="41"/>
        <v>0</v>
      </c>
      <c r="DP137" s="168">
        <f t="shared" si="41"/>
        <v>0</v>
      </c>
      <c r="DQ137" s="168">
        <f t="shared" si="41"/>
        <v>0</v>
      </c>
      <c r="DR137" s="168">
        <f t="shared" si="41"/>
        <v>0</v>
      </c>
      <c r="DS137" s="168">
        <f t="shared" si="41"/>
        <v>0</v>
      </c>
      <c r="DT137" s="168">
        <f t="shared" si="41"/>
        <v>0</v>
      </c>
      <c r="DU137" s="168">
        <f t="shared" si="41"/>
        <v>0</v>
      </c>
      <c r="DV137" s="168">
        <f t="shared" si="41"/>
        <v>0</v>
      </c>
      <c r="DW137" s="168">
        <f t="shared" si="41"/>
        <v>0</v>
      </c>
      <c r="DX137" s="168">
        <f t="shared" si="41"/>
        <v>0</v>
      </c>
      <c r="DY137" s="168">
        <f t="shared" si="41"/>
        <v>0</v>
      </c>
      <c r="DZ137" s="168">
        <f t="shared" si="41"/>
        <v>0</v>
      </c>
      <c r="EA137" s="168">
        <f t="shared" si="41"/>
        <v>0</v>
      </c>
      <c r="EB137" s="168">
        <f t="shared" si="41"/>
        <v>0</v>
      </c>
    </row>
    <row r="138" spans="1:132" x14ac:dyDescent="0.25">
      <c r="B138" s="32" t="s">
        <v>1212</v>
      </c>
      <c r="C138" s="168">
        <f>IF(Troupeau!B$3="OL",('Calcul éco'!B13+'Calcul éco'!B14),0)</f>
        <v>0</v>
      </c>
      <c r="D138" s="260">
        <f t="shared" ref="D138:D174" si="50">C138*$D$82/$C$82</f>
        <v>0</v>
      </c>
      <c r="F138" s="14" t="s">
        <v>1213</v>
      </c>
      <c r="H138">
        <f>IF(COUNTIF(H$94:H$103,4)&gt;0,1,0)</f>
        <v>0</v>
      </c>
      <c r="I138">
        <f t="shared" ref="I138:AE138" si="51">IF(COUNTIF(I$94:I$103,4)&gt;0,1,0)</f>
        <v>0</v>
      </c>
      <c r="J138">
        <f t="shared" si="51"/>
        <v>0</v>
      </c>
      <c r="K138">
        <f t="shared" si="51"/>
        <v>0</v>
      </c>
      <c r="L138">
        <f t="shared" si="51"/>
        <v>0</v>
      </c>
      <c r="M138">
        <f t="shared" si="51"/>
        <v>0</v>
      </c>
      <c r="N138">
        <f t="shared" si="51"/>
        <v>0</v>
      </c>
      <c r="O138">
        <f t="shared" si="51"/>
        <v>0</v>
      </c>
      <c r="P138">
        <f t="shared" si="51"/>
        <v>0</v>
      </c>
      <c r="Q138">
        <f t="shared" si="51"/>
        <v>0</v>
      </c>
      <c r="R138">
        <f t="shared" si="51"/>
        <v>0</v>
      </c>
      <c r="S138">
        <f t="shared" si="51"/>
        <v>0</v>
      </c>
      <c r="T138">
        <f t="shared" si="51"/>
        <v>0</v>
      </c>
      <c r="U138">
        <f t="shared" si="51"/>
        <v>0</v>
      </c>
      <c r="V138">
        <f t="shared" si="51"/>
        <v>0</v>
      </c>
      <c r="W138">
        <f t="shared" si="51"/>
        <v>0</v>
      </c>
      <c r="X138">
        <f t="shared" si="51"/>
        <v>0</v>
      </c>
      <c r="Y138">
        <f t="shared" si="51"/>
        <v>0</v>
      </c>
      <c r="Z138">
        <f t="shared" si="51"/>
        <v>0</v>
      </c>
      <c r="AA138">
        <f t="shared" si="51"/>
        <v>0</v>
      </c>
      <c r="AB138">
        <f t="shared" si="51"/>
        <v>0</v>
      </c>
      <c r="AC138">
        <f t="shared" si="51"/>
        <v>0</v>
      </c>
      <c r="AD138">
        <f t="shared" si="51"/>
        <v>0</v>
      </c>
      <c r="AE138">
        <f t="shared" si="51"/>
        <v>0</v>
      </c>
      <c r="AT138" s="182" t="str">
        <f t="shared" si="42"/>
        <v>lot7</v>
      </c>
      <c r="AV138" s="168">
        <f t="shared" si="39"/>
        <v>0</v>
      </c>
      <c r="AW138" s="168">
        <f t="shared" si="39"/>
        <v>0</v>
      </c>
      <c r="AX138" s="168">
        <f t="shared" si="39"/>
        <v>0</v>
      </c>
      <c r="AY138" s="168">
        <f t="shared" si="39"/>
        <v>0</v>
      </c>
      <c r="AZ138" s="168">
        <f t="shared" si="39"/>
        <v>0</v>
      </c>
      <c r="BA138" s="168">
        <f t="shared" si="39"/>
        <v>0</v>
      </c>
      <c r="BB138" s="168">
        <f t="shared" si="39"/>
        <v>0</v>
      </c>
      <c r="BC138" s="168">
        <f t="shared" si="39"/>
        <v>0</v>
      </c>
      <c r="BD138" s="168">
        <f t="shared" si="39"/>
        <v>0</v>
      </c>
      <c r="BE138" s="168">
        <f t="shared" si="39"/>
        <v>0</v>
      </c>
      <c r="BF138" s="168">
        <f t="shared" si="39"/>
        <v>0</v>
      </c>
      <c r="BG138" s="168">
        <f t="shared" si="39"/>
        <v>0</v>
      </c>
      <c r="BH138" s="168">
        <f t="shared" si="39"/>
        <v>0</v>
      </c>
      <c r="BI138" s="168">
        <f t="shared" si="39"/>
        <v>0</v>
      </c>
      <c r="BJ138" s="168">
        <f t="shared" si="39"/>
        <v>0</v>
      </c>
      <c r="BK138" s="168">
        <f t="shared" si="39"/>
        <v>0</v>
      </c>
      <c r="BL138" s="168">
        <f t="shared" si="39"/>
        <v>0</v>
      </c>
      <c r="BM138" s="168">
        <f t="shared" si="39"/>
        <v>0</v>
      </c>
      <c r="BN138" s="168">
        <f t="shared" si="39"/>
        <v>0</v>
      </c>
      <c r="BO138" s="168">
        <f t="shared" si="39"/>
        <v>0</v>
      </c>
      <c r="BP138" s="168">
        <f t="shared" si="39"/>
        <v>0</v>
      </c>
      <c r="BQ138" s="168">
        <f t="shared" si="39"/>
        <v>0</v>
      </c>
      <c r="BR138" s="168">
        <f t="shared" si="39"/>
        <v>0</v>
      </c>
      <c r="BS138" s="168">
        <f t="shared" si="39"/>
        <v>0</v>
      </c>
      <c r="BZ138" s="182" t="str">
        <f t="shared" si="43"/>
        <v>lot7</v>
      </c>
      <c r="CB138" s="168">
        <f t="shared" si="40"/>
        <v>0</v>
      </c>
      <c r="CC138" s="168">
        <f t="shared" si="40"/>
        <v>0</v>
      </c>
      <c r="CD138" s="168">
        <f t="shared" si="40"/>
        <v>0</v>
      </c>
      <c r="CE138" s="168">
        <f t="shared" si="40"/>
        <v>0</v>
      </c>
      <c r="CF138" s="168">
        <f t="shared" si="40"/>
        <v>0</v>
      </c>
      <c r="CG138" s="168">
        <f t="shared" si="40"/>
        <v>0</v>
      </c>
      <c r="CH138" s="168">
        <f t="shared" si="40"/>
        <v>0</v>
      </c>
      <c r="CI138" s="168">
        <f t="shared" si="40"/>
        <v>0</v>
      </c>
      <c r="CJ138" s="168">
        <f t="shared" si="40"/>
        <v>0</v>
      </c>
      <c r="CK138" s="168">
        <f t="shared" si="40"/>
        <v>0</v>
      </c>
      <c r="CL138" s="168">
        <f t="shared" si="40"/>
        <v>0</v>
      </c>
      <c r="CM138" s="168">
        <f t="shared" si="40"/>
        <v>0</v>
      </c>
      <c r="CN138" s="168">
        <f t="shared" si="40"/>
        <v>0</v>
      </c>
      <c r="CO138" s="168">
        <f t="shared" si="40"/>
        <v>0</v>
      </c>
      <c r="CP138" s="168">
        <f t="shared" si="40"/>
        <v>0</v>
      </c>
      <c r="CQ138" s="168">
        <f t="shared" si="40"/>
        <v>0</v>
      </c>
      <c r="CR138" s="168">
        <f t="shared" si="40"/>
        <v>0</v>
      </c>
      <c r="CS138" s="168">
        <f t="shared" si="40"/>
        <v>0</v>
      </c>
      <c r="CT138" s="168">
        <f t="shared" si="40"/>
        <v>0</v>
      </c>
      <c r="CU138" s="168">
        <f t="shared" si="40"/>
        <v>0</v>
      </c>
      <c r="CV138" s="168">
        <f t="shared" si="40"/>
        <v>0</v>
      </c>
      <c r="CW138" s="168">
        <f t="shared" si="40"/>
        <v>0</v>
      </c>
      <c r="CX138" s="168">
        <f t="shared" si="40"/>
        <v>0</v>
      </c>
      <c r="CY138" s="168">
        <f t="shared" si="40"/>
        <v>0</v>
      </c>
      <c r="DC138" s="182" t="str">
        <f t="shared" si="44"/>
        <v>lot7</v>
      </c>
      <c r="DE138" s="168">
        <f t="shared" si="41"/>
        <v>0</v>
      </c>
      <c r="DF138" s="168">
        <f t="shared" si="41"/>
        <v>0</v>
      </c>
      <c r="DG138" s="168">
        <f t="shared" si="41"/>
        <v>0</v>
      </c>
      <c r="DH138" s="168">
        <f t="shared" si="41"/>
        <v>0</v>
      </c>
      <c r="DI138" s="168">
        <f t="shared" si="41"/>
        <v>0</v>
      </c>
      <c r="DJ138" s="168">
        <f t="shared" si="41"/>
        <v>0</v>
      </c>
      <c r="DK138" s="168">
        <f t="shared" si="41"/>
        <v>0</v>
      </c>
      <c r="DL138" s="168">
        <f t="shared" si="41"/>
        <v>0</v>
      </c>
      <c r="DM138" s="168">
        <f t="shared" si="41"/>
        <v>0</v>
      </c>
      <c r="DN138" s="168">
        <f t="shared" si="41"/>
        <v>0</v>
      </c>
      <c r="DO138" s="168">
        <f t="shared" si="41"/>
        <v>0</v>
      </c>
      <c r="DP138" s="168">
        <f t="shared" si="41"/>
        <v>0</v>
      </c>
      <c r="DQ138" s="168">
        <f t="shared" si="41"/>
        <v>0</v>
      </c>
      <c r="DR138" s="168">
        <f t="shared" si="41"/>
        <v>0</v>
      </c>
      <c r="DS138" s="168">
        <f t="shared" si="41"/>
        <v>0</v>
      </c>
      <c r="DT138" s="168">
        <f t="shared" si="41"/>
        <v>0</v>
      </c>
      <c r="DU138" s="168">
        <f t="shared" si="41"/>
        <v>0</v>
      </c>
      <c r="DV138" s="168">
        <f t="shared" si="41"/>
        <v>0</v>
      </c>
      <c r="DW138" s="168">
        <f t="shared" si="41"/>
        <v>0</v>
      </c>
      <c r="DX138" s="168">
        <f t="shared" si="41"/>
        <v>0</v>
      </c>
      <c r="DY138" s="168">
        <f t="shared" si="41"/>
        <v>0</v>
      </c>
      <c r="DZ138" s="168">
        <f t="shared" si="41"/>
        <v>0</v>
      </c>
      <c r="EA138" s="168">
        <f t="shared" si="41"/>
        <v>0</v>
      </c>
      <c r="EB138" s="168">
        <f t="shared" si="41"/>
        <v>0</v>
      </c>
    </row>
    <row r="139" spans="1:132" x14ac:dyDescent="0.25">
      <c r="B139" s="32" t="s">
        <v>1214</v>
      </c>
      <c r="C139" s="168">
        <f>IF(Troupeau!B$3="VL",('Calcul éco'!B9+'Calcul éco'!B10),0)</f>
        <v>0</v>
      </c>
      <c r="D139" s="260">
        <f t="shared" si="50"/>
        <v>0</v>
      </c>
      <c r="F139" s="14" t="s">
        <v>1215</v>
      </c>
      <c r="H139">
        <f>IF(COUNTIF(H$105:H$114,4)&gt;0,1,0)</f>
        <v>0</v>
      </c>
      <c r="I139">
        <f t="shared" ref="I139:AE139" si="52">IF(COUNTIF(I$105:I$114,4)&gt;0,1,0)</f>
        <v>0</v>
      </c>
      <c r="J139">
        <f t="shared" si="52"/>
        <v>0</v>
      </c>
      <c r="K139">
        <f t="shared" si="52"/>
        <v>0</v>
      </c>
      <c r="L139">
        <f t="shared" si="52"/>
        <v>0</v>
      </c>
      <c r="M139">
        <f t="shared" si="52"/>
        <v>0</v>
      </c>
      <c r="N139">
        <f t="shared" si="52"/>
        <v>0</v>
      </c>
      <c r="O139">
        <f t="shared" si="52"/>
        <v>0</v>
      </c>
      <c r="P139">
        <f t="shared" si="52"/>
        <v>0</v>
      </c>
      <c r="Q139">
        <f t="shared" si="52"/>
        <v>0</v>
      </c>
      <c r="R139">
        <f t="shared" si="52"/>
        <v>0</v>
      </c>
      <c r="S139">
        <f t="shared" si="52"/>
        <v>0</v>
      </c>
      <c r="T139">
        <f t="shared" si="52"/>
        <v>0</v>
      </c>
      <c r="U139">
        <f t="shared" si="52"/>
        <v>0</v>
      </c>
      <c r="V139">
        <f t="shared" si="52"/>
        <v>0</v>
      </c>
      <c r="W139">
        <f t="shared" si="52"/>
        <v>0</v>
      </c>
      <c r="X139">
        <f t="shared" si="52"/>
        <v>0</v>
      </c>
      <c r="Y139">
        <f t="shared" si="52"/>
        <v>0</v>
      </c>
      <c r="Z139">
        <f t="shared" si="52"/>
        <v>0</v>
      </c>
      <c r="AA139">
        <f t="shared" si="52"/>
        <v>0</v>
      </c>
      <c r="AB139">
        <f t="shared" si="52"/>
        <v>0</v>
      </c>
      <c r="AC139">
        <f t="shared" si="52"/>
        <v>0</v>
      </c>
      <c r="AD139">
        <f t="shared" si="52"/>
        <v>0</v>
      </c>
      <c r="AE139">
        <f t="shared" si="52"/>
        <v>0</v>
      </c>
      <c r="AT139" s="182" t="str">
        <f t="shared" si="42"/>
        <v>lot8</v>
      </c>
      <c r="AV139" s="168">
        <f t="shared" si="39"/>
        <v>0</v>
      </c>
      <c r="AW139" s="168">
        <f t="shared" si="39"/>
        <v>0</v>
      </c>
      <c r="AX139" s="168">
        <f t="shared" si="39"/>
        <v>0</v>
      </c>
      <c r="AY139" s="168">
        <f t="shared" si="39"/>
        <v>0</v>
      </c>
      <c r="AZ139" s="168">
        <f t="shared" si="39"/>
        <v>0</v>
      </c>
      <c r="BA139" s="168">
        <f t="shared" si="39"/>
        <v>0</v>
      </c>
      <c r="BB139" s="168">
        <f t="shared" si="39"/>
        <v>0</v>
      </c>
      <c r="BC139" s="168">
        <f t="shared" si="39"/>
        <v>0</v>
      </c>
      <c r="BD139" s="168">
        <f t="shared" si="39"/>
        <v>0</v>
      </c>
      <c r="BE139" s="168">
        <f t="shared" si="39"/>
        <v>0</v>
      </c>
      <c r="BF139" s="168">
        <f t="shared" si="39"/>
        <v>0</v>
      </c>
      <c r="BG139" s="168">
        <f t="shared" si="39"/>
        <v>0</v>
      </c>
      <c r="BH139" s="168">
        <f t="shared" si="39"/>
        <v>0</v>
      </c>
      <c r="BI139" s="168">
        <f t="shared" si="39"/>
        <v>0</v>
      </c>
      <c r="BJ139" s="168">
        <f t="shared" si="39"/>
        <v>0</v>
      </c>
      <c r="BK139" s="168">
        <f t="shared" si="39"/>
        <v>0</v>
      </c>
      <c r="BL139" s="168">
        <f t="shared" si="39"/>
        <v>0</v>
      </c>
      <c r="BM139" s="168">
        <f t="shared" si="39"/>
        <v>0</v>
      </c>
      <c r="BN139" s="168">
        <f t="shared" si="39"/>
        <v>0</v>
      </c>
      <c r="BO139" s="168">
        <f t="shared" si="39"/>
        <v>0</v>
      </c>
      <c r="BP139" s="168">
        <f t="shared" si="39"/>
        <v>0</v>
      </c>
      <c r="BQ139" s="168">
        <f t="shared" si="39"/>
        <v>0</v>
      </c>
      <c r="BR139" s="168">
        <f t="shared" si="39"/>
        <v>0</v>
      </c>
      <c r="BS139" s="168">
        <f t="shared" si="39"/>
        <v>0</v>
      </c>
      <c r="BZ139" s="182" t="str">
        <f t="shared" si="43"/>
        <v>lot8</v>
      </c>
      <c r="CB139" s="168">
        <f t="shared" si="40"/>
        <v>0</v>
      </c>
      <c r="CC139" s="168">
        <f t="shared" si="40"/>
        <v>0</v>
      </c>
      <c r="CD139" s="168">
        <f t="shared" si="40"/>
        <v>0</v>
      </c>
      <c r="CE139" s="168">
        <f t="shared" si="40"/>
        <v>0</v>
      </c>
      <c r="CF139" s="168">
        <f t="shared" si="40"/>
        <v>0</v>
      </c>
      <c r="CG139" s="168">
        <f t="shared" si="40"/>
        <v>0</v>
      </c>
      <c r="CH139" s="168">
        <f t="shared" si="40"/>
        <v>0</v>
      </c>
      <c r="CI139" s="168">
        <f t="shared" si="40"/>
        <v>0</v>
      </c>
      <c r="CJ139" s="168">
        <f t="shared" si="40"/>
        <v>0</v>
      </c>
      <c r="CK139" s="168">
        <f t="shared" si="40"/>
        <v>0</v>
      </c>
      <c r="CL139" s="168">
        <f t="shared" si="40"/>
        <v>0</v>
      </c>
      <c r="CM139" s="168">
        <f t="shared" si="40"/>
        <v>0</v>
      </c>
      <c r="CN139" s="168">
        <f t="shared" si="40"/>
        <v>0</v>
      </c>
      <c r="CO139" s="168">
        <f t="shared" si="40"/>
        <v>0</v>
      </c>
      <c r="CP139" s="168">
        <f t="shared" si="40"/>
        <v>0</v>
      </c>
      <c r="CQ139" s="168">
        <f t="shared" si="40"/>
        <v>0</v>
      </c>
      <c r="CR139" s="168">
        <f t="shared" si="40"/>
        <v>0</v>
      </c>
      <c r="CS139" s="168">
        <f t="shared" si="40"/>
        <v>0</v>
      </c>
      <c r="CT139" s="168">
        <f t="shared" si="40"/>
        <v>0</v>
      </c>
      <c r="CU139" s="168">
        <f t="shared" si="40"/>
        <v>0</v>
      </c>
      <c r="CV139" s="168">
        <f t="shared" si="40"/>
        <v>0</v>
      </c>
      <c r="CW139" s="168">
        <f t="shared" si="40"/>
        <v>0</v>
      </c>
      <c r="CX139" s="168">
        <f t="shared" si="40"/>
        <v>0</v>
      </c>
      <c r="CY139" s="168">
        <f t="shared" si="40"/>
        <v>0</v>
      </c>
      <c r="DC139" s="182" t="str">
        <f t="shared" si="44"/>
        <v>lot8</v>
      </c>
      <c r="DE139" s="168">
        <f t="shared" si="41"/>
        <v>0</v>
      </c>
      <c r="DF139" s="168">
        <f t="shared" si="41"/>
        <v>0</v>
      </c>
      <c r="DG139" s="168">
        <f t="shared" si="41"/>
        <v>0</v>
      </c>
      <c r="DH139" s="168">
        <f t="shared" si="41"/>
        <v>0</v>
      </c>
      <c r="DI139" s="168">
        <f t="shared" si="41"/>
        <v>0</v>
      </c>
      <c r="DJ139" s="168">
        <f t="shared" si="41"/>
        <v>0</v>
      </c>
      <c r="DK139" s="168">
        <f t="shared" si="41"/>
        <v>0</v>
      </c>
      <c r="DL139" s="168">
        <f t="shared" si="41"/>
        <v>0</v>
      </c>
      <c r="DM139" s="168">
        <f t="shared" si="41"/>
        <v>0</v>
      </c>
      <c r="DN139" s="168">
        <f t="shared" si="41"/>
        <v>0</v>
      </c>
      <c r="DO139" s="168">
        <f t="shared" si="41"/>
        <v>0</v>
      </c>
      <c r="DP139" s="168">
        <f t="shared" si="41"/>
        <v>0</v>
      </c>
      <c r="DQ139" s="168">
        <f t="shared" si="41"/>
        <v>0</v>
      </c>
      <c r="DR139" s="168">
        <f t="shared" si="41"/>
        <v>0</v>
      </c>
      <c r="DS139" s="168">
        <f t="shared" si="41"/>
        <v>0</v>
      </c>
      <c r="DT139" s="168">
        <f t="shared" si="41"/>
        <v>0</v>
      </c>
      <c r="DU139" s="168">
        <f t="shared" si="41"/>
        <v>0</v>
      </c>
      <c r="DV139" s="168">
        <f t="shared" si="41"/>
        <v>0</v>
      </c>
      <c r="DW139" s="168">
        <f t="shared" si="41"/>
        <v>0</v>
      </c>
      <c r="DX139" s="168">
        <f t="shared" si="41"/>
        <v>0</v>
      </c>
      <c r="DY139" s="168">
        <f t="shared" si="41"/>
        <v>0</v>
      </c>
      <c r="DZ139" s="168">
        <f t="shared" si="41"/>
        <v>0</v>
      </c>
      <c r="EA139" s="168">
        <f t="shared" si="41"/>
        <v>0</v>
      </c>
      <c r="EB139" s="168">
        <f t="shared" si="41"/>
        <v>0</v>
      </c>
    </row>
    <row r="140" spans="1:132" x14ac:dyDescent="0.25">
      <c r="B140" s="32" t="s">
        <v>1216</v>
      </c>
      <c r="C140" s="168">
        <f>IF(Troupeau!B$3="VL",('Calcul éco'!B13),0)</f>
        <v>0</v>
      </c>
      <c r="D140" s="260">
        <f t="shared" si="50"/>
        <v>0</v>
      </c>
      <c r="F140" s="14" t="s">
        <v>1217</v>
      </c>
      <c r="H140">
        <f>IF(COUNTIF(H$116:H$125,4)&gt;0,1,0)</f>
        <v>0</v>
      </c>
      <c r="I140">
        <f t="shared" ref="I140:AE140" si="53">IF(COUNTIF(I$116:I$125,4)&gt;0,1,0)</f>
        <v>0</v>
      </c>
      <c r="J140">
        <f t="shared" si="53"/>
        <v>0</v>
      </c>
      <c r="K140">
        <f t="shared" si="53"/>
        <v>0</v>
      </c>
      <c r="L140">
        <f t="shared" si="53"/>
        <v>0</v>
      </c>
      <c r="M140">
        <f t="shared" si="53"/>
        <v>0</v>
      </c>
      <c r="N140">
        <f t="shared" si="53"/>
        <v>0</v>
      </c>
      <c r="O140">
        <f t="shared" si="53"/>
        <v>0</v>
      </c>
      <c r="P140">
        <f t="shared" si="53"/>
        <v>0</v>
      </c>
      <c r="Q140">
        <f t="shared" si="53"/>
        <v>0</v>
      </c>
      <c r="R140">
        <f t="shared" si="53"/>
        <v>0</v>
      </c>
      <c r="S140">
        <f t="shared" si="53"/>
        <v>0</v>
      </c>
      <c r="T140">
        <f t="shared" si="53"/>
        <v>0</v>
      </c>
      <c r="U140">
        <f t="shared" si="53"/>
        <v>0</v>
      </c>
      <c r="V140">
        <f t="shared" si="53"/>
        <v>0</v>
      </c>
      <c r="W140">
        <f t="shared" si="53"/>
        <v>0</v>
      </c>
      <c r="X140">
        <f t="shared" si="53"/>
        <v>0</v>
      </c>
      <c r="Y140">
        <f t="shared" si="53"/>
        <v>0</v>
      </c>
      <c r="Z140">
        <f t="shared" si="53"/>
        <v>0</v>
      </c>
      <c r="AA140">
        <f t="shared" si="53"/>
        <v>0</v>
      </c>
      <c r="AB140">
        <f t="shared" si="53"/>
        <v>0</v>
      </c>
      <c r="AC140">
        <f t="shared" si="53"/>
        <v>0</v>
      </c>
      <c r="AD140">
        <f t="shared" si="53"/>
        <v>0</v>
      </c>
      <c r="AE140">
        <f t="shared" si="53"/>
        <v>0</v>
      </c>
      <c r="AT140" s="182" t="str">
        <f t="shared" si="42"/>
        <v>lot9</v>
      </c>
      <c r="AV140" s="168">
        <f t="shared" ref="AV140:BS141" si="54">IF(AV84=0,0,VALUE(CONCATENATE(AV95,AV106)))</f>
        <v>0</v>
      </c>
      <c r="AW140" s="168">
        <f t="shared" si="54"/>
        <v>0</v>
      </c>
      <c r="AX140" s="168">
        <f t="shared" si="54"/>
        <v>0</v>
      </c>
      <c r="AY140" s="168">
        <f t="shared" si="54"/>
        <v>0</v>
      </c>
      <c r="AZ140" s="168">
        <f t="shared" si="54"/>
        <v>0</v>
      </c>
      <c r="BA140" s="168">
        <f t="shared" si="54"/>
        <v>0</v>
      </c>
      <c r="BB140" s="168">
        <f t="shared" si="54"/>
        <v>0</v>
      </c>
      <c r="BC140" s="168">
        <f t="shared" si="54"/>
        <v>0</v>
      </c>
      <c r="BD140" s="168">
        <f t="shared" si="54"/>
        <v>0</v>
      </c>
      <c r="BE140" s="168">
        <f t="shared" si="54"/>
        <v>0</v>
      </c>
      <c r="BF140" s="168">
        <f t="shared" si="54"/>
        <v>0</v>
      </c>
      <c r="BG140" s="168">
        <f t="shared" si="54"/>
        <v>0</v>
      </c>
      <c r="BH140" s="168">
        <f t="shared" si="54"/>
        <v>0</v>
      </c>
      <c r="BI140" s="168">
        <f t="shared" si="54"/>
        <v>0</v>
      </c>
      <c r="BJ140" s="168">
        <f t="shared" si="54"/>
        <v>0</v>
      </c>
      <c r="BK140" s="168">
        <f t="shared" si="54"/>
        <v>0</v>
      </c>
      <c r="BL140" s="168">
        <f t="shared" si="54"/>
        <v>0</v>
      </c>
      <c r="BM140" s="168">
        <f t="shared" si="54"/>
        <v>0</v>
      </c>
      <c r="BN140" s="168">
        <f t="shared" si="54"/>
        <v>0</v>
      </c>
      <c r="BO140" s="168">
        <f t="shared" si="54"/>
        <v>0</v>
      </c>
      <c r="BP140" s="168">
        <f t="shared" si="54"/>
        <v>0</v>
      </c>
      <c r="BQ140" s="168">
        <f t="shared" si="54"/>
        <v>0</v>
      </c>
      <c r="BR140" s="168">
        <f t="shared" si="54"/>
        <v>0</v>
      </c>
      <c r="BS140" s="168">
        <f t="shared" si="54"/>
        <v>0</v>
      </c>
      <c r="BZ140" s="182" t="str">
        <f t="shared" si="43"/>
        <v>lot9</v>
      </c>
      <c r="CB140" s="168">
        <f t="shared" ref="CB140:CY141" si="55">IF(CB84=0,0,VALUE(CONCATENATE(CB95,CB106)))</f>
        <v>0</v>
      </c>
      <c r="CC140" s="168">
        <f t="shared" si="55"/>
        <v>0</v>
      </c>
      <c r="CD140" s="168">
        <f t="shared" si="55"/>
        <v>0</v>
      </c>
      <c r="CE140" s="168">
        <f t="shared" si="55"/>
        <v>0</v>
      </c>
      <c r="CF140" s="168">
        <f t="shared" si="55"/>
        <v>0</v>
      </c>
      <c r="CG140" s="168">
        <f t="shared" si="55"/>
        <v>0</v>
      </c>
      <c r="CH140" s="168">
        <f t="shared" si="55"/>
        <v>0</v>
      </c>
      <c r="CI140" s="168">
        <f t="shared" si="55"/>
        <v>0</v>
      </c>
      <c r="CJ140" s="168">
        <f t="shared" si="55"/>
        <v>0</v>
      </c>
      <c r="CK140" s="168">
        <f t="shared" si="55"/>
        <v>0</v>
      </c>
      <c r="CL140" s="168">
        <f t="shared" si="55"/>
        <v>0</v>
      </c>
      <c r="CM140" s="168">
        <f t="shared" si="55"/>
        <v>0</v>
      </c>
      <c r="CN140" s="168">
        <f t="shared" si="55"/>
        <v>0</v>
      </c>
      <c r="CO140" s="168">
        <f t="shared" si="55"/>
        <v>0</v>
      </c>
      <c r="CP140" s="168">
        <f t="shared" si="55"/>
        <v>0</v>
      </c>
      <c r="CQ140" s="168">
        <f t="shared" si="55"/>
        <v>0</v>
      </c>
      <c r="CR140" s="168">
        <f t="shared" si="55"/>
        <v>0</v>
      </c>
      <c r="CS140" s="168">
        <f t="shared" si="55"/>
        <v>0</v>
      </c>
      <c r="CT140" s="168">
        <f t="shared" si="55"/>
        <v>0</v>
      </c>
      <c r="CU140" s="168">
        <f t="shared" si="55"/>
        <v>0</v>
      </c>
      <c r="CV140" s="168">
        <f t="shared" si="55"/>
        <v>0</v>
      </c>
      <c r="CW140" s="168">
        <f t="shared" si="55"/>
        <v>0</v>
      </c>
      <c r="CX140" s="168">
        <f t="shared" si="55"/>
        <v>0</v>
      </c>
      <c r="CY140" s="168">
        <f t="shared" si="55"/>
        <v>0</v>
      </c>
      <c r="DC140" s="182" t="str">
        <f t="shared" si="44"/>
        <v>lot9</v>
      </c>
      <c r="DE140" s="168">
        <f t="shared" ref="DE140:EB141" si="56">IF(DE84=0,0,VALUE(CONCATENATE(DE95,DE106)))</f>
        <v>0</v>
      </c>
      <c r="DF140" s="168">
        <f t="shared" si="56"/>
        <v>0</v>
      </c>
      <c r="DG140" s="168">
        <f t="shared" si="56"/>
        <v>0</v>
      </c>
      <c r="DH140" s="168">
        <f t="shared" si="56"/>
        <v>0</v>
      </c>
      <c r="DI140" s="168">
        <f t="shared" si="56"/>
        <v>0</v>
      </c>
      <c r="DJ140" s="168">
        <f t="shared" si="56"/>
        <v>0</v>
      </c>
      <c r="DK140" s="168">
        <f t="shared" si="56"/>
        <v>0</v>
      </c>
      <c r="DL140" s="168">
        <f t="shared" si="56"/>
        <v>0</v>
      </c>
      <c r="DM140" s="168">
        <f t="shared" si="56"/>
        <v>0</v>
      </c>
      <c r="DN140" s="168">
        <f t="shared" si="56"/>
        <v>0</v>
      </c>
      <c r="DO140" s="168">
        <f t="shared" si="56"/>
        <v>0</v>
      </c>
      <c r="DP140" s="168">
        <f t="shared" si="56"/>
        <v>0</v>
      </c>
      <c r="DQ140" s="168">
        <f t="shared" si="56"/>
        <v>0</v>
      </c>
      <c r="DR140" s="168">
        <f t="shared" si="56"/>
        <v>0</v>
      </c>
      <c r="DS140" s="168">
        <f t="shared" si="56"/>
        <v>0</v>
      </c>
      <c r="DT140" s="168">
        <f t="shared" si="56"/>
        <v>0</v>
      </c>
      <c r="DU140" s="168">
        <f t="shared" si="56"/>
        <v>0</v>
      </c>
      <c r="DV140" s="168">
        <f t="shared" si="56"/>
        <v>0</v>
      </c>
      <c r="DW140" s="168">
        <f t="shared" si="56"/>
        <v>0</v>
      </c>
      <c r="DX140" s="168">
        <f t="shared" si="56"/>
        <v>0</v>
      </c>
      <c r="DY140" s="168">
        <f t="shared" si="56"/>
        <v>0</v>
      </c>
      <c r="DZ140" s="168">
        <f t="shared" si="56"/>
        <v>0</v>
      </c>
      <c r="EA140" s="168">
        <f t="shared" si="56"/>
        <v>0</v>
      </c>
      <c r="EB140" s="168">
        <f t="shared" si="56"/>
        <v>0</v>
      </c>
    </row>
    <row r="141" spans="1:132" x14ac:dyDescent="0.25">
      <c r="B141" s="32" t="s">
        <v>1218</v>
      </c>
      <c r="C141" s="168">
        <f>IF(Troupeau!B$3="VL",('Calcul éco'!B14),0)</f>
        <v>0</v>
      </c>
      <c r="D141" s="260">
        <f t="shared" si="50"/>
        <v>0</v>
      </c>
      <c r="F141" s="14" t="s">
        <v>1219</v>
      </c>
      <c r="H141">
        <f>IF(SUM(H138:H140)&gt;0,1,0)</f>
        <v>0</v>
      </c>
      <c r="I141">
        <f t="shared" ref="I141:AE141" si="57">IF(SUM(I138:I140)&gt;0,1,0)</f>
        <v>0</v>
      </c>
      <c r="J141">
        <f t="shared" si="57"/>
        <v>0</v>
      </c>
      <c r="K141">
        <f t="shared" si="57"/>
        <v>0</v>
      </c>
      <c r="L141">
        <f t="shared" si="57"/>
        <v>0</v>
      </c>
      <c r="M141">
        <f t="shared" si="57"/>
        <v>0</v>
      </c>
      <c r="N141">
        <f t="shared" si="57"/>
        <v>0</v>
      </c>
      <c r="O141">
        <f t="shared" si="57"/>
        <v>0</v>
      </c>
      <c r="P141">
        <f t="shared" si="57"/>
        <v>0</v>
      </c>
      <c r="Q141">
        <f t="shared" si="57"/>
        <v>0</v>
      </c>
      <c r="R141">
        <f t="shared" si="57"/>
        <v>0</v>
      </c>
      <c r="S141">
        <f t="shared" si="57"/>
        <v>0</v>
      </c>
      <c r="T141">
        <f t="shared" si="57"/>
        <v>0</v>
      </c>
      <c r="U141">
        <f t="shared" si="57"/>
        <v>0</v>
      </c>
      <c r="V141">
        <f t="shared" si="57"/>
        <v>0</v>
      </c>
      <c r="W141">
        <f t="shared" si="57"/>
        <v>0</v>
      </c>
      <c r="X141">
        <f t="shared" si="57"/>
        <v>0</v>
      </c>
      <c r="Y141">
        <f t="shared" si="57"/>
        <v>0</v>
      </c>
      <c r="Z141">
        <f t="shared" si="57"/>
        <v>0</v>
      </c>
      <c r="AA141">
        <f t="shared" si="57"/>
        <v>0</v>
      </c>
      <c r="AB141">
        <f t="shared" si="57"/>
        <v>0</v>
      </c>
      <c r="AC141">
        <f t="shared" si="57"/>
        <v>0</v>
      </c>
      <c r="AD141">
        <f t="shared" si="57"/>
        <v>0</v>
      </c>
      <c r="AE141">
        <f t="shared" si="57"/>
        <v>0</v>
      </c>
      <c r="AT141" s="182" t="str">
        <f t="shared" si="42"/>
        <v>lot10</v>
      </c>
      <c r="AV141" s="168">
        <f t="shared" si="54"/>
        <v>0</v>
      </c>
      <c r="AW141" s="168">
        <f t="shared" si="54"/>
        <v>0</v>
      </c>
      <c r="AX141" s="168">
        <f t="shared" si="54"/>
        <v>0</v>
      </c>
      <c r="AY141" s="168">
        <f t="shared" si="54"/>
        <v>0</v>
      </c>
      <c r="AZ141" s="168">
        <f t="shared" si="54"/>
        <v>0</v>
      </c>
      <c r="BA141" s="168">
        <f t="shared" si="54"/>
        <v>0</v>
      </c>
      <c r="BB141" s="168">
        <f t="shared" si="54"/>
        <v>0</v>
      </c>
      <c r="BC141" s="168">
        <f t="shared" si="54"/>
        <v>0</v>
      </c>
      <c r="BD141" s="168">
        <f t="shared" si="54"/>
        <v>0</v>
      </c>
      <c r="BE141" s="168">
        <f t="shared" si="54"/>
        <v>0</v>
      </c>
      <c r="BF141" s="168">
        <f t="shared" si="54"/>
        <v>0</v>
      </c>
      <c r="BG141" s="168">
        <f t="shared" si="54"/>
        <v>0</v>
      </c>
      <c r="BH141" s="168">
        <f t="shared" si="54"/>
        <v>0</v>
      </c>
      <c r="BI141" s="168">
        <f t="shared" si="54"/>
        <v>0</v>
      </c>
      <c r="BJ141" s="168">
        <f t="shared" si="54"/>
        <v>0</v>
      </c>
      <c r="BK141" s="168">
        <f t="shared" si="54"/>
        <v>0</v>
      </c>
      <c r="BL141" s="168">
        <f t="shared" si="54"/>
        <v>0</v>
      </c>
      <c r="BM141" s="168">
        <f t="shared" si="54"/>
        <v>0</v>
      </c>
      <c r="BN141" s="168">
        <f t="shared" si="54"/>
        <v>0</v>
      </c>
      <c r="BO141" s="168">
        <f t="shared" si="54"/>
        <v>0</v>
      </c>
      <c r="BP141" s="168">
        <f t="shared" si="54"/>
        <v>0</v>
      </c>
      <c r="BQ141" s="168">
        <f t="shared" si="54"/>
        <v>0</v>
      </c>
      <c r="BR141" s="168">
        <f t="shared" si="54"/>
        <v>0</v>
      </c>
      <c r="BS141" s="168">
        <f t="shared" si="54"/>
        <v>0</v>
      </c>
      <c r="BZ141" s="182" t="str">
        <f t="shared" si="43"/>
        <v>lot10</v>
      </c>
      <c r="CB141" s="168">
        <f t="shared" si="55"/>
        <v>0</v>
      </c>
      <c r="CC141" s="168">
        <f t="shared" si="55"/>
        <v>0</v>
      </c>
      <c r="CD141" s="168">
        <f t="shared" si="55"/>
        <v>0</v>
      </c>
      <c r="CE141" s="168">
        <f t="shared" si="55"/>
        <v>0</v>
      </c>
      <c r="CF141" s="168">
        <f t="shared" si="55"/>
        <v>0</v>
      </c>
      <c r="CG141" s="168">
        <f t="shared" si="55"/>
        <v>0</v>
      </c>
      <c r="CH141" s="168">
        <f t="shared" si="55"/>
        <v>0</v>
      </c>
      <c r="CI141" s="168">
        <f t="shared" si="55"/>
        <v>0</v>
      </c>
      <c r="CJ141" s="168">
        <f t="shared" si="55"/>
        <v>0</v>
      </c>
      <c r="CK141" s="168">
        <f t="shared" si="55"/>
        <v>0</v>
      </c>
      <c r="CL141" s="168">
        <f t="shared" si="55"/>
        <v>0</v>
      </c>
      <c r="CM141" s="168">
        <f t="shared" si="55"/>
        <v>0</v>
      </c>
      <c r="CN141" s="168">
        <f t="shared" si="55"/>
        <v>0</v>
      </c>
      <c r="CO141" s="168">
        <f t="shared" si="55"/>
        <v>0</v>
      </c>
      <c r="CP141" s="168">
        <f t="shared" si="55"/>
        <v>0</v>
      </c>
      <c r="CQ141" s="168">
        <f t="shared" si="55"/>
        <v>0</v>
      </c>
      <c r="CR141" s="168">
        <f t="shared" si="55"/>
        <v>0</v>
      </c>
      <c r="CS141" s="168">
        <f t="shared" si="55"/>
        <v>0</v>
      </c>
      <c r="CT141" s="168">
        <f t="shared" si="55"/>
        <v>0</v>
      </c>
      <c r="CU141" s="168">
        <f t="shared" si="55"/>
        <v>0</v>
      </c>
      <c r="CV141" s="168">
        <f t="shared" si="55"/>
        <v>0</v>
      </c>
      <c r="CW141" s="168">
        <f t="shared" si="55"/>
        <v>0</v>
      </c>
      <c r="CX141" s="168">
        <f t="shared" si="55"/>
        <v>0</v>
      </c>
      <c r="CY141" s="168">
        <f t="shared" si="55"/>
        <v>0</v>
      </c>
      <c r="DC141" s="182" t="str">
        <f t="shared" si="44"/>
        <v>lot10</v>
      </c>
      <c r="DE141" s="168">
        <f t="shared" si="56"/>
        <v>0</v>
      </c>
      <c r="DF141" s="168">
        <f t="shared" si="56"/>
        <v>0</v>
      </c>
      <c r="DG141" s="168">
        <f t="shared" si="56"/>
        <v>0</v>
      </c>
      <c r="DH141" s="168">
        <f t="shared" si="56"/>
        <v>0</v>
      </c>
      <c r="DI141" s="168">
        <f t="shared" si="56"/>
        <v>0</v>
      </c>
      <c r="DJ141" s="168">
        <f t="shared" si="56"/>
        <v>0</v>
      </c>
      <c r="DK141" s="168">
        <f t="shared" si="56"/>
        <v>0</v>
      </c>
      <c r="DL141" s="168">
        <f t="shared" si="56"/>
        <v>0</v>
      </c>
      <c r="DM141" s="168">
        <f t="shared" si="56"/>
        <v>0</v>
      </c>
      <c r="DN141" s="168">
        <f t="shared" si="56"/>
        <v>0</v>
      </c>
      <c r="DO141" s="168">
        <f t="shared" si="56"/>
        <v>0</v>
      </c>
      <c r="DP141" s="168">
        <f t="shared" si="56"/>
        <v>0</v>
      </c>
      <c r="DQ141" s="168">
        <f t="shared" si="56"/>
        <v>0</v>
      </c>
      <c r="DR141" s="168">
        <f t="shared" si="56"/>
        <v>0</v>
      </c>
      <c r="DS141" s="168">
        <f t="shared" si="56"/>
        <v>0</v>
      </c>
      <c r="DT141" s="168">
        <f t="shared" si="56"/>
        <v>0</v>
      </c>
      <c r="DU141" s="168">
        <f t="shared" si="56"/>
        <v>0</v>
      </c>
      <c r="DV141" s="168">
        <f t="shared" si="56"/>
        <v>0</v>
      </c>
      <c r="DW141" s="168">
        <f t="shared" si="56"/>
        <v>0</v>
      </c>
      <c r="DX141" s="168">
        <f t="shared" si="56"/>
        <v>0</v>
      </c>
      <c r="DY141" s="168">
        <f t="shared" si="56"/>
        <v>0</v>
      </c>
      <c r="DZ141" s="168">
        <f t="shared" si="56"/>
        <v>0</v>
      </c>
      <c r="EA141" s="168">
        <f t="shared" si="56"/>
        <v>0</v>
      </c>
      <c r="EB141" s="168">
        <f t="shared" si="56"/>
        <v>0</v>
      </c>
    </row>
    <row r="142" spans="1:132" x14ac:dyDescent="0.25">
      <c r="B142" s="32" t="s">
        <v>1220</v>
      </c>
      <c r="C142" s="168">
        <f>SUM(G147:G150)</f>
        <v>27</v>
      </c>
      <c r="D142" s="260">
        <f t="shared" si="50"/>
        <v>35.53846153846154</v>
      </c>
      <c r="AT142" s="19" t="s">
        <v>800</v>
      </c>
      <c r="AV142" s="168">
        <f>COUNTIF(AV$132:AV$141,23)</f>
        <v>2</v>
      </c>
      <c r="AW142" s="168">
        <f t="shared" ref="AW142:BS142" si="58">COUNTIF(AW$132:AW$141,23)</f>
        <v>2</v>
      </c>
      <c r="AX142" s="168">
        <f t="shared" si="58"/>
        <v>3</v>
      </c>
      <c r="AY142" s="168">
        <f t="shared" si="58"/>
        <v>3</v>
      </c>
      <c r="AZ142" s="168">
        <f t="shared" si="58"/>
        <v>2</v>
      </c>
      <c r="BA142" s="168">
        <f t="shared" si="58"/>
        <v>2</v>
      </c>
      <c r="BB142" s="168">
        <f t="shared" si="58"/>
        <v>1</v>
      </c>
      <c r="BC142" s="168">
        <f t="shared" si="58"/>
        <v>1</v>
      </c>
      <c r="BD142" s="168">
        <f t="shared" si="58"/>
        <v>1</v>
      </c>
      <c r="BE142" s="168">
        <f t="shared" si="58"/>
        <v>1</v>
      </c>
      <c r="BF142" s="168">
        <f t="shared" si="58"/>
        <v>1</v>
      </c>
      <c r="BG142" s="168">
        <f t="shared" si="58"/>
        <v>1</v>
      </c>
      <c r="BH142" s="168">
        <f t="shared" si="58"/>
        <v>1</v>
      </c>
      <c r="BI142" s="168">
        <f t="shared" si="58"/>
        <v>1</v>
      </c>
      <c r="BJ142" s="168">
        <f t="shared" si="58"/>
        <v>1</v>
      </c>
      <c r="BK142" s="168">
        <f t="shared" si="58"/>
        <v>1</v>
      </c>
      <c r="BL142" s="168">
        <f t="shared" si="58"/>
        <v>1</v>
      </c>
      <c r="BM142" s="168">
        <f t="shared" si="58"/>
        <v>1</v>
      </c>
      <c r="BN142" s="168">
        <f t="shared" si="58"/>
        <v>1</v>
      </c>
      <c r="BO142" s="168">
        <f t="shared" si="58"/>
        <v>2</v>
      </c>
      <c r="BP142" s="168">
        <f t="shared" si="58"/>
        <v>3</v>
      </c>
      <c r="BQ142" s="168">
        <f t="shared" si="58"/>
        <v>2</v>
      </c>
      <c r="BR142" s="168">
        <f t="shared" si="58"/>
        <v>2</v>
      </c>
      <c r="BS142" s="168">
        <f t="shared" si="58"/>
        <v>2</v>
      </c>
      <c r="BZ142" s="19" t="s">
        <v>800</v>
      </c>
      <c r="CB142" s="168">
        <f>COUNTIF(CB$132:CB$141,23)</f>
        <v>0</v>
      </c>
      <c r="CC142" s="168">
        <f>COUNTIF(CC$132:CC$141,23)</f>
        <v>0</v>
      </c>
      <c r="CD142" s="168">
        <f t="shared" ref="CD142:CY142" si="59">COUNTIF(CD$132:CD$141,23)</f>
        <v>0</v>
      </c>
      <c r="CE142" s="168">
        <f t="shared" si="59"/>
        <v>0</v>
      </c>
      <c r="CF142" s="168">
        <f t="shared" si="59"/>
        <v>0</v>
      </c>
      <c r="CG142" s="168">
        <f t="shared" si="59"/>
        <v>0</v>
      </c>
      <c r="CH142" s="168">
        <f t="shared" si="59"/>
        <v>0</v>
      </c>
      <c r="CI142" s="168">
        <f t="shared" si="59"/>
        <v>0</v>
      </c>
      <c r="CJ142" s="168">
        <f t="shared" si="59"/>
        <v>0</v>
      </c>
      <c r="CK142" s="168">
        <f t="shared" si="59"/>
        <v>0</v>
      </c>
      <c r="CL142" s="168">
        <f t="shared" si="59"/>
        <v>0</v>
      </c>
      <c r="CM142" s="168">
        <f t="shared" si="59"/>
        <v>0</v>
      </c>
      <c r="CN142" s="168">
        <f t="shared" si="59"/>
        <v>0</v>
      </c>
      <c r="CO142" s="168">
        <f t="shared" si="59"/>
        <v>0</v>
      </c>
      <c r="CP142" s="168">
        <f t="shared" si="59"/>
        <v>0</v>
      </c>
      <c r="CQ142" s="168">
        <f t="shared" si="59"/>
        <v>0</v>
      </c>
      <c r="CR142" s="168">
        <f t="shared" si="59"/>
        <v>0</v>
      </c>
      <c r="CS142" s="168">
        <f t="shared" si="59"/>
        <v>0</v>
      </c>
      <c r="CT142" s="168">
        <f t="shared" si="59"/>
        <v>0</v>
      </c>
      <c r="CU142" s="168">
        <f t="shared" si="59"/>
        <v>0</v>
      </c>
      <c r="CV142" s="168">
        <f t="shared" si="59"/>
        <v>0</v>
      </c>
      <c r="CW142" s="168">
        <f t="shared" si="59"/>
        <v>0</v>
      </c>
      <c r="CX142" s="168">
        <f t="shared" si="59"/>
        <v>0</v>
      </c>
      <c r="CY142" s="168">
        <f t="shared" si="59"/>
        <v>0</v>
      </c>
      <c r="DC142" s="19" t="s">
        <v>800</v>
      </c>
      <c r="DE142" s="168">
        <f>COUNTIF(DE$132:DE$141,23)</f>
        <v>0</v>
      </c>
      <c r="DF142" s="168">
        <f>COUNTIF(DF$132:DF$141,23)</f>
        <v>0</v>
      </c>
      <c r="DG142" s="168">
        <f t="shared" ref="DG142:EB142" si="60">COUNTIF(DG$132:DG$141,23)</f>
        <v>0</v>
      </c>
      <c r="DH142" s="168">
        <f t="shared" si="60"/>
        <v>0</v>
      </c>
      <c r="DI142" s="168">
        <f t="shared" si="60"/>
        <v>0</v>
      </c>
      <c r="DJ142" s="168">
        <f t="shared" si="60"/>
        <v>0</v>
      </c>
      <c r="DK142" s="168">
        <f t="shared" si="60"/>
        <v>0</v>
      </c>
      <c r="DL142" s="168">
        <f t="shared" si="60"/>
        <v>0</v>
      </c>
      <c r="DM142" s="168">
        <f t="shared" si="60"/>
        <v>0</v>
      </c>
      <c r="DN142" s="168">
        <f t="shared" si="60"/>
        <v>0</v>
      </c>
      <c r="DO142" s="168">
        <f t="shared" si="60"/>
        <v>0</v>
      </c>
      <c r="DP142" s="168">
        <f t="shared" si="60"/>
        <v>0</v>
      </c>
      <c r="DQ142" s="168">
        <f t="shared" si="60"/>
        <v>0</v>
      </c>
      <c r="DR142" s="168">
        <f t="shared" si="60"/>
        <v>0</v>
      </c>
      <c r="DS142" s="168">
        <f t="shared" si="60"/>
        <v>0</v>
      </c>
      <c r="DT142" s="168">
        <f t="shared" si="60"/>
        <v>0</v>
      </c>
      <c r="DU142" s="168">
        <f t="shared" si="60"/>
        <v>0</v>
      </c>
      <c r="DV142" s="168">
        <f t="shared" si="60"/>
        <v>0</v>
      </c>
      <c r="DW142" s="168">
        <f t="shared" si="60"/>
        <v>0</v>
      </c>
      <c r="DX142" s="168">
        <f t="shared" si="60"/>
        <v>0</v>
      </c>
      <c r="DY142" s="168">
        <f t="shared" si="60"/>
        <v>0</v>
      </c>
      <c r="DZ142" s="168">
        <f t="shared" si="60"/>
        <v>0</v>
      </c>
      <c r="EA142" s="168">
        <f t="shared" si="60"/>
        <v>0</v>
      </c>
      <c r="EB142" s="168">
        <f t="shared" si="60"/>
        <v>0</v>
      </c>
    </row>
    <row r="143" spans="1:132" x14ac:dyDescent="0.25">
      <c r="B143" s="32" t="s">
        <v>1221</v>
      </c>
      <c r="C143" s="168">
        <f>G151+G153</f>
        <v>3</v>
      </c>
      <c r="D143" s="260">
        <f t="shared" si="50"/>
        <v>3.9487179487179493</v>
      </c>
      <c r="AT143" s="19" t="s">
        <v>803</v>
      </c>
      <c r="AV143" s="168">
        <f>COUNTIF(AV$132:AV$141,13)</f>
        <v>2</v>
      </c>
      <c r="AW143" s="168">
        <f t="shared" ref="AW143:BS143" si="61">COUNTIF(AW$132:AW$141,13)</f>
        <v>2</v>
      </c>
      <c r="AX143" s="168">
        <f t="shared" si="61"/>
        <v>2</v>
      </c>
      <c r="AY143" s="168">
        <f t="shared" si="61"/>
        <v>2</v>
      </c>
      <c r="AZ143" s="168">
        <f t="shared" si="61"/>
        <v>1</v>
      </c>
      <c r="BA143" s="168">
        <f t="shared" si="61"/>
        <v>1</v>
      </c>
      <c r="BB143" s="168">
        <f t="shared" si="61"/>
        <v>1</v>
      </c>
      <c r="BC143" s="168">
        <f t="shared" si="61"/>
        <v>1</v>
      </c>
      <c r="BD143" s="168">
        <f t="shared" si="61"/>
        <v>1</v>
      </c>
      <c r="BE143" s="168">
        <f t="shared" si="61"/>
        <v>0</v>
      </c>
      <c r="BF143" s="168">
        <f t="shared" si="61"/>
        <v>0</v>
      </c>
      <c r="BG143" s="168">
        <f t="shared" si="61"/>
        <v>0</v>
      </c>
      <c r="BH143" s="168">
        <f t="shared" si="61"/>
        <v>0</v>
      </c>
      <c r="BI143" s="168">
        <f t="shared" si="61"/>
        <v>0</v>
      </c>
      <c r="BJ143" s="168">
        <f t="shared" si="61"/>
        <v>0</v>
      </c>
      <c r="BK143" s="168">
        <f t="shared" si="61"/>
        <v>0</v>
      </c>
      <c r="BL143" s="168">
        <f t="shared" si="61"/>
        <v>0</v>
      </c>
      <c r="BM143" s="168">
        <f t="shared" si="61"/>
        <v>0</v>
      </c>
      <c r="BN143" s="168">
        <f t="shared" si="61"/>
        <v>0</v>
      </c>
      <c r="BO143" s="168">
        <f t="shared" si="61"/>
        <v>0</v>
      </c>
      <c r="BP143" s="168">
        <f t="shared" si="61"/>
        <v>0</v>
      </c>
      <c r="BQ143" s="168">
        <f t="shared" si="61"/>
        <v>2</v>
      </c>
      <c r="BR143" s="168">
        <f t="shared" si="61"/>
        <v>2</v>
      </c>
      <c r="BS143" s="168">
        <f t="shared" si="61"/>
        <v>2</v>
      </c>
      <c r="BZ143" s="19" t="s">
        <v>803</v>
      </c>
      <c r="CB143" s="168">
        <f>COUNTIF(CB$132:CB$141,13)</f>
        <v>0</v>
      </c>
      <c r="CC143" s="168">
        <f t="shared" ref="CC143:CY143" si="62">COUNTIF(CC$132:CC$141,13)</f>
        <v>0</v>
      </c>
      <c r="CD143" s="168">
        <f t="shared" si="62"/>
        <v>0</v>
      </c>
      <c r="CE143" s="168">
        <f t="shared" si="62"/>
        <v>0</v>
      </c>
      <c r="CF143" s="168">
        <f t="shared" si="62"/>
        <v>0</v>
      </c>
      <c r="CG143" s="168">
        <f t="shared" si="62"/>
        <v>0</v>
      </c>
      <c r="CH143" s="168">
        <f t="shared" si="62"/>
        <v>0</v>
      </c>
      <c r="CI143" s="168">
        <f t="shared" si="62"/>
        <v>0</v>
      </c>
      <c r="CJ143" s="168">
        <f t="shared" si="62"/>
        <v>0</v>
      </c>
      <c r="CK143" s="168">
        <f t="shared" si="62"/>
        <v>0</v>
      </c>
      <c r="CL143" s="168">
        <f t="shared" si="62"/>
        <v>0</v>
      </c>
      <c r="CM143" s="168">
        <f t="shared" si="62"/>
        <v>0</v>
      </c>
      <c r="CN143" s="168">
        <f t="shared" si="62"/>
        <v>0</v>
      </c>
      <c r="CO143" s="168">
        <f t="shared" si="62"/>
        <v>0</v>
      </c>
      <c r="CP143" s="168">
        <f t="shared" si="62"/>
        <v>0</v>
      </c>
      <c r="CQ143" s="168">
        <f t="shared" si="62"/>
        <v>0</v>
      </c>
      <c r="CR143" s="168">
        <f t="shared" si="62"/>
        <v>0</v>
      </c>
      <c r="CS143" s="168">
        <f t="shared" si="62"/>
        <v>0</v>
      </c>
      <c r="CT143" s="168">
        <f t="shared" si="62"/>
        <v>0</v>
      </c>
      <c r="CU143" s="168">
        <f t="shared" si="62"/>
        <v>0</v>
      </c>
      <c r="CV143" s="168">
        <f t="shared" si="62"/>
        <v>0</v>
      </c>
      <c r="CW143" s="168">
        <f t="shared" si="62"/>
        <v>0</v>
      </c>
      <c r="CX143" s="168">
        <f t="shared" si="62"/>
        <v>0</v>
      </c>
      <c r="CY143" s="168">
        <f t="shared" si="62"/>
        <v>0</v>
      </c>
      <c r="DC143" s="19" t="s">
        <v>803</v>
      </c>
      <c r="DE143" s="168">
        <f>COUNTIF(DE$132:DE$141,13)</f>
        <v>0</v>
      </c>
      <c r="DF143" s="168">
        <f t="shared" ref="DF143:EB143" si="63">COUNTIF(DF$132:DF$141,13)</f>
        <v>0</v>
      </c>
      <c r="DG143" s="168">
        <f t="shared" si="63"/>
        <v>0</v>
      </c>
      <c r="DH143" s="168">
        <f t="shared" si="63"/>
        <v>0</v>
      </c>
      <c r="DI143" s="168">
        <f t="shared" si="63"/>
        <v>0</v>
      </c>
      <c r="DJ143" s="168">
        <f t="shared" si="63"/>
        <v>0</v>
      </c>
      <c r="DK143" s="168">
        <f t="shared" si="63"/>
        <v>0</v>
      </c>
      <c r="DL143" s="168">
        <f t="shared" si="63"/>
        <v>0</v>
      </c>
      <c r="DM143" s="168">
        <f t="shared" si="63"/>
        <v>0</v>
      </c>
      <c r="DN143" s="168">
        <f t="shared" si="63"/>
        <v>0</v>
      </c>
      <c r="DO143" s="168">
        <f t="shared" si="63"/>
        <v>0</v>
      </c>
      <c r="DP143" s="168">
        <f t="shared" si="63"/>
        <v>0</v>
      </c>
      <c r="DQ143" s="168">
        <f t="shared" si="63"/>
        <v>0</v>
      </c>
      <c r="DR143" s="168">
        <f t="shared" si="63"/>
        <v>0</v>
      </c>
      <c r="DS143" s="168">
        <f t="shared" si="63"/>
        <v>0</v>
      </c>
      <c r="DT143" s="168">
        <f t="shared" si="63"/>
        <v>0</v>
      </c>
      <c r="DU143" s="168">
        <f t="shared" si="63"/>
        <v>0</v>
      </c>
      <c r="DV143" s="168">
        <f t="shared" si="63"/>
        <v>0</v>
      </c>
      <c r="DW143" s="168">
        <f t="shared" si="63"/>
        <v>0</v>
      </c>
      <c r="DX143" s="168">
        <f t="shared" si="63"/>
        <v>0</v>
      </c>
      <c r="DY143" s="168">
        <f t="shared" si="63"/>
        <v>0</v>
      </c>
      <c r="DZ143" s="168">
        <f t="shared" si="63"/>
        <v>0</v>
      </c>
      <c r="EA143" s="168">
        <f t="shared" si="63"/>
        <v>0</v>
      </c>
      <c r="EB143" s="168">
        <f t="shared" si="63"/>
        <v>0</v>
      </c>
    </row>
    <row r="144" spans="1:132" x14ac:dyDescent="0.25">
      <c r="B144" s="32" t="s">
        <v>1222</v>
      </c>
      <c r="C144" s="168">
        <f>G152+G154</f>
        <v>3</v>
      </c>
      <c r="D144" s="260">
        <f t="shared" si="50"/>
        <v>3.9487179487179493</v>
      </c>
      <c r="AT144" s="19" t="s">
        <v>805</v>
      </c>
      <c r="AV144" s="168">
        <f>COUNTIF(AV$132:AV$141,22)</f>
        <v>0</v>
      </c>
      <c r="AW144" s="168">
        <f t="shared" ref="AW144:BS144" si="64">COUNTIF(AW$132:AW$141,22)</f>
        <v>0</v>
      </c>
      <c r="AX144" s="168">
        <f t="shared" si="64"/>
        <v>0</v>
      </c>
      <c r="AY144" s="168">
        <f t="shared" si="64"/>
        <v>0</v>
      </c>
      <c r="AZ144" s="168">
        <f t="shared" si="64"/>
        <v>0</v>
      </c>
      <c r="BA144" s="168">
        <f t="shared" si="64"/>
        <v>0</v>
      </c>
      <c r="BB144" s="168">
        <f t="shared" si="64"/>
        <v>0</v>
      </c>
      <c r="BC144" s="168">
        <f t="shared" si="64"/>
        <v>0</v>
      </c>
      <c r="BD144" s="168">
        <f t="shared" si="64"/>
        <v>0</v>
      </c>
      <c r="BE144" s="168">
        <f t="shared" si="64"/>
        <v>0</v>
      </c>
      <c r="BF144" s="168">
        <f t="shared" si="64"/>
        <v>0</v>
      </c>
      <c r="BG144" s="168">
        <f t="shared" si="64"/>
        <v>0</v>
      </c>
      <c r="BH144" s="168">
        <f t="shared" si="64"/>
        <v>0</v>
      </c>
      <c r="BI144" s="168">
        <f t="shared" si="64"/>
        <v>0</v>
      </c>
      <c r="BJ144" s="168">
        <f t="shared" si="64"/>
        <v>0</v>
      </c>
      <c r="BK144" s="168">
        <f t="shared" si="64"/>
        <v>0</v>
      </c>
      <c r="BL144" s="168">
        <f t="shared" si="64"/>
        <v>0</v>
      </c>
      <c r="BM144" s="168">
        <f t="shared" si="64"/>
        <v>0</v>
      </c>
      <c r="BN144" s="168">
        <f t="shared" si="64"/>
        <v>0</v>
      </c>
      <c r="BO144" s="168">
        <f t="shared" si="64"/>
        <v>0</v>
      </c>
      <c r="BP144" s="168">
        <f t="shared" si="64"/>
        <v>0</v>
      </c>
      <c r="BQ144" s="168">
        <f t="shared" si="64"/>
        <v>0</v>
      </c>
      <c r="BR144" s="168">
        <f t="shared" si="64"/>
        <v>0</v>
      </c>
      <c r="BS144" s="168">
        <f t="shared" si="64"/>
        <v>0</v>
      </c>
      <c r="BZ144" s="19" t="s">
        <v>805</v>
      </c>
      <c r="CB144" s="168">
        <f>COUNTIF(CB$132:CB$141,22)</f>
        <v>0</v>
      </c>
      <c r="CC144" s="168">
        <f t="shared" ref="CC144:CY144" si="65">COUNTIF(CC$132:CC$141,22)</f>
        <v>0</v>
      </c>
      <c r="CD144" s="168">
        <f t="shared" si="65"/>
        <v>0</v>
      </c>
      <c r="CE144" s="168">
        <f t="shared" si="65"/>
        <v>0</v>
      </c>
      <c r="CF144" s="168">
        <f t="shared" si="65"/>
        <v>0</v>
      </c>
      <c r="CG144" s="168">
        <f t="shared" si="65"/>
        <v>0</v>
      </c>
      <c r="CH144" s="168">
        <f t="shared" si="65"/>
        <v>0</v>
      </c>
      <c r="CI144" s="168">
        <f t="shared" si="65"/>
        <v>0</v>
      </c>
      <c r="CJ144" s="168">
        <f t="shared" si="65"/>
        <v>0</v>
      </c>
      <c r="CK144" s="168">
        <f t="shared" si="65"/>
        <v>0</v>
      </c>
      <c r="CL144" s="168">
        <f t="shared" si="65"/>
        <v>0</v>
      </c>
      <c r="CM144" s="168">
        <f t="shared" si="65"/>
        <v>0</v>
      </c>
      <c r="CN144" s="168">
        <f t="shared" si="65"/>
        <v>0</v>
      </c>
      <c r="CO144" s="168">
        <f t="shared" si="65"/>
        <v>0</v>
      </c>
      <c r="CP144" s="168">
        <f t="shared" si="65"/>
        <v>0</v>
      </c>
      <c r="CQ144" s="168">
        <f t="shared" si="65"/>
        <v>0</v>
      </c>
      <c r="CR144" s="168">
        <f t="shared" si="65"/>
        <v>0</v>
      </c>
      <c r="CS144" s="168">
        <f t="shared" si="65"/>
        <v>0</v>
      </c>
      <c r="CT144" s="168">
        <f t="shared" si="65"/>
        <v>0</v>
      </c>
      <c r="CU144" s="168">
        <f t="shared" si="65"/>
        <v>0</v>
      </c>
      <c r="CV144" s="168">
        <f t="shared" si="65"/>
        <v>0</v>
      </c>
      <c r="CW144" s="168">
        <f t="shared" si="65"/>
        <v>0</v>
      </c>
      <c r="CX144" s="168">
        <f t="shared" si="65"/>
        <v>0</v>
      </c>
      <c r="CY144" s="168">
        <f t="shared" si="65"/>
        <v>0</v>
      </c>
      <c r="DC144" s="19" t="s">
        <v>805</v>
      </c>
      <c r="DE144" s="168">
        <f>COUNTIF(DE$132:DE$141,22)</f>
        <v>0</v>
      </c>
      <c r="DF144" s="168">
        <f t="shared" ref="DF144:EB144" si="66">COUNTIF(DF$132:DF$141,22)</f>
        <v>0</v>
      </c>
      <c r="DG144" s="168">
        <f t="shared" si="66"/>
        <v>0</v>
      </c>
      <c r="DH144" s="168">
        <f t="shared" si="66"/>
        <v>0</v>
      </c>
      <c r="DI144" s="168">
        <f t="shared" si="66"/>
        <v>0</v>
      </c>
      <c r="DJ144" s="168">
        <f t="shared" si="66"/>
        <v>0</v>
      </c>
      <c r="DK144" s="168">
        <f t="shared" si="66"/>
        <v>0</v>
      </c>
      <c r="DL144" s="168">
        <f t="shared" si="66"/>
        <v>0</v>
      </c>
      <c r="DM144" s="168">
        <f t="shared" si="66"/>
        <v>0</v>
      </c>
      <c r="DN144" s="168">
        <f t="shared" si="66"/>
        <v>0</v>
      </c>
      <c r="DO144" s="168">
        <f t="shared" si="66"/>
        <v>0</v>
      </c>
      <c r="DP144" s="168">
        <f t="shared" si="66"/>
        <v>0</v>
      </c>
      <c r="DQ144" s="168">
        <f t="shared" si="66"/>
        <v>0</v>
      </c>
      <c r="DR144" s="168">
        <f t="shared" si="66"/>
        <v>0</v>
      </c>
      <c r="DS144" s="168">
        <f t="shared" si="66"/>
        <v>0</v>
      </c>
      <c r="DT144" s="168">
        <f t="shared" si="66"/>
        <v>0</v>
      </c>
      <c r="DU144" s="168">
        <f t="shared" si="66"/>
        <v>0</v>
      </c>
      <c r="DV144" s="168">
        <f t="shared" si="66"/>
        <v>0</v>
      </c>
      <c r="DW144" s="168">
        <f t="shared" si="66"/>
        <v>0</v>
      </c>
      <c r="DX144" s="168">
        <f t="shared" si="66"/>
        <v>0</v>
      </c>
      <c r="DY144" s="168">
        <f t="shared" si="66"/>
        <v>0</v>
      </c>
      <c r="DZ144" s="168">
        <f t="shared" si="66"/>
        <v>0</v>
      </c>
      <c r="EA144" s="168">
        <f>COUNTIF(EA$132:EA$141,22)</f>
        <v>0</v>
      </c>
      <c r="EB144" s="168">
        <f t="shared" si="66"/>
        <v>0</v>
      </c>
    </row>
    <row r="145" spans="1:132" x14ac:dyDescent="0.25">
      <c r="B145" s="32" t="s">
        <v>1223</v>
      </c>
      <c r="C145" s="168">
        <f>G155+G156</f>
        <v>0</v>
      </c>
      <c r="D145" s="260">
        <f t="shared" si="50"/>
        <v>0</v>
      </c>
      <c r="AT145" s="19" t="s">
        <v>807</v>
      </c>
      <c r="AV145" s="168">
        <f>COUNTIF(AV$132:AV$141,12)</f>
        <v>0</v>
      </c>
      <c r="AW145" s="168">
        <f t="shared" ref="AW145:BS145" si="67">COUNTIF(AW$132:AW$141,12)</f>
        <v>0</v>
      </c>
      <c r="AX145" s="168">
        <f t="shared" si="67"/>
        <v>0</v>
      </c>
      <c r="AY145" s="168">
        <f t="shared" si="67"/>
        <v>0</v>
      </c>
      <c r="AZ145" s="168">
        <f t="shared" si="67"/>
        <v>1</v>
      </c>
      <c r="BA145" s="168">
        <f t="shared" si="67"/>
        <v>1</v>
      </c>
      <c r="BB145" s="168">
        <f t="shared" si="67"/>
        <v>0</v>
      </c>
      <c r="BC145" s="168">
        <f t="shared" si="67"/>
        <v>0</v>
      </c>
      <c r="BD145" s="168">
        <f t="shared" si="67"/>
        <v>0</v>
      </c>
      <c r="BE145" s="168">
        <f t="shared" si="67"/>
        <v>1</v>
      </c>
      <c r="BF145" s="168">
        <f t="shared" si="67"/>
        <v>1</v>
      </c>
      <c r="BG145" s="168">
        <f t="shared" si="67"/>
        <v>1</v>
      </c>
      <c r="BH145" s="168">
        <f t="shared" si="67"/>
        <v>1</v>
      </c>
      <c r="BI145" s="168">
        <f t="shared" si="67"/>
        <v>1</v>
      </c>
      <c r="BJ145" s="168">
        <f t="shared" si="67"/>
        <v>1</v>
      </c>
      <c r="BK145" s="168">
        <f t="shared" si="67"/>
        <v>1</v>
      </c>
      <c r="BL145" s="168">
        <f t="shared" si="67"/>
        <v>1</v>
      </c>
      <c r="BM145" s="168">
        <f t="shared" si="67"/>
        <v>1</v>
      </c>
      <c r="BN145" s="168">
        <f t="shared" si="67"/>
        <v>1</v>
      </c>
      <c r="BO145" s="168">
        <f t="shared" si="67"/>
        <v>1</v>
      </c>
      <c r="BP145" s="168">
        <f t="shared" si="67"/>
        <v>2</v>
      </c>
      <c r="BQ145" s="168">
        <f t="shared" si="67"/>
        <v>0</v>
      </c>
      <c r="BR145" s="168">
        <f t="shared" si="67"/>
        <v>0</v>
      </c>
      <c r="BS145" s="168">
        <f t="shared" si="67"/>
        <v>0</v>
      </c>
      <c r="BZ145" s="19" t="s">
        <v>807</v>
      </c>
      <c r="CB145" s="168">
        <f>COUNTIF(CB$132:CB$141,12)</f>
        <v>0</v>
      </c>
      <c r="CC145" s="168">
        <f t="shared" ref="CC145:CY145" si="68">COUNTIF(CC$132:CC$141,12)</f>
        <v>0</v>
      </c>
      <c r="CD145" s="168">
        <f t="shared" si="68"/>
        <v>0</v>
      </c>
      <c r="CE145" s="168">
        <f t="shared" si="68"/>
        <v>0</v>
      </c>
      <c r="CF145" s="168">
        <f t="shared" si="68"/>
        <v>0</v>
      </c>
      <c r="CG145" s="168">
        <f t="shared" si="68"/>
        <v>0</v>
      </c>
      <c r="CH145" s="168">
        <f t="shared" si="68"/>
        <v>0</v>
      </c>
      <c r="CI145" s="168">
        <f t="shared" si="68"/>
        <v>0</v>
      </c>
      <c r="CJ145" s="168">
        <f t="shared" si="68"/>
        <v>0</v>
      </c>
      <c r="CK145" s="168">
        <f t="shared" si="68"/>
        <v>0</v>
      </c>
      <c r="CL145" s="168">
        <f t="shared" si="68"/>
        <v>0</v>
      </c>
      <c r="CM145" s="168">
        <f t="shared" si="68"/>
        <v>0</v>
      </c>
      <c r="CN145" s="168">
        <f t="shared" si="68"/>
        <v>0</v>
      </c>
      <c r="CO145" s="168">
        <f t="shared" si="68"/>
        <v>0</v>
      </c>
      <c r="CP145" s="168">
        <f t="shared" si="68"/>
        <v>0</v>
      </c>
      <c r="CQ145" s="168">
        <f t="shared" si="68"/>
        <v>0</v>
      </c>
      <c r="CR145" s="168">
        <f t="shared" si="68"/>
        <v>0</v>
      </c>
      <c r="CS145" s="168">
        <f t="shared" si="68"/>
        <v>0</v>
      </c>
      <c r="CT145" s="168">
        <f t="shared" si="68"/>
        <v>0</v>
      </c>
      <c r="CU145" s="168">
        <f t="shared" si="68"/>
        <v>0</v>
      </c>
      <c r="CV145" s="168">
        <f t="shared" si="68"/>
        <v>0</v>
      </c>
      <c r="CW145" s="168">
        <f t="shared" si="68"/>
        <v>0</v>
      </c>
      <c r="CX145" s="168">
        <f t="shared" si="68"/>
        <v>0</v>
      </c>
      <c r="CY145" s="168">
        <f t="shared" si="68"/>
        <v>0</v>
      </c>
      <c r="DC145" s="19" t="s">
        <v>807</v>
      </c>
      <c r="DE145" s="168">
        <f>COUNTIF(DE$132:DE$141,12)</f>
        <v>0</v>
      </c>
      <c r="DF145" s="168">
        <f t="shared" ref="DF145:EB145" si="69">COUNTIF(DF$132:DF$141,12)</f>
        <v>0</v>
      </c>
      <c r="DG145" s="168">
        <f t="shared" si="69"/>
        <v>0</v>
      </c>
      <c r="DH145" s="168">
        <f t="shared" si="69"/>
        <v>0</v>
      </c>
      <c r="DI145" s="168">
        <f t="shared" si="69"/>
        <v>0</v>
      </c>
      <c r="DJ145" s="168">
        <f t="shared" si="69"/>
        <v>0</v>
      </c>
      <c r="DK145" s="168">
        <f t="shared" si="69"/>
        <v>0</v>
      </c>
      <c r="DL145" s="168">
        <f t="shared" si="69"/>
        <v>0</v>
      </c>
      <c r="DM145" s="168">
        <f t="shared" si="69"/>
        <v>0</v>
      </c>
      <c r="DN145" s="168">
        <f t="shared" si="69"/>
        <v>0</v>
      </c>
      <c r="DO145" s="168">
        <f t="shared" si="69"/>
        <v>0</v>
      </c>
      <c r="DP145" s="168">
        <f t="shared" si="69"/>
        <v>0</v>
      </c>
      <c r="DQ145" s="168">
        <f t="shared" si="69"/>
        <v>0</v>
      </c>
      <c r="DR145" s="168">
        <f t="shared" si="69"/>
        <v>0</v>
      </c>
      <c r="DS145" s="168">
        <f t="shared" si="69"/>
        <v>0</v>
      </c>
      <c r="DT145" s="168">
        <f t="shared" si="69"/>
        <v>0</v>
      </c>
      <c r="DU145" s="168">
        <f t="shared" si="69"/>
        <v>0</v>
      </c>
      <c r="DV145" s="168">
        <f t="shared" si="69"/>
        <v>0</v>
      </c>
      <c r="DW145" s="168">
        <f t="shared" si="69"/>
        <v>0</v>
      </c>
      <c r="DX145" s="168">
        <f t="shared" si="69"/>
        <v>0</v>
      </c>
      <c r="DY145" s="168">
        <f t="shared" si="69"/>
        <v>0</v>
      </c>
      <c r="DZ145" s="168">
        <f t="shared" si="69"/>
        <v>0</v>
      </c>
      <c r="EA145" s="168">
        <f t="shared" si="69"/>
        <v>0</v>
      </c>
      <c r="EB145" s="168">
        <f t="shared" si="69"/>
        <v>0</v>
      </c>
    </row>
    <row r="146" spans="1:132" x14ac:dyDescent="0.25">
      <c r="B146" s="32" t="s">
        <v>1224</v>
      </c>
      <c r="C146" s="168">
        <f>IF(Troupeau!D3="EQ",'Calcul éco'!D9+'Calcul éco'!D10,0)+IF(Troupeau!C3="EQ",'Calcul éco'!C9+'Calcul éco'!C10,0)</f>
        <v>0</v>
      </c>
      <c r="D146" s="260">
        <f t="shared" si="50"/>
        <v>0</v>
      </c>
      <c r="F146" s="2" t="s">
        <v>1225</v>
      </c>
      <c r="AT146" s="40" t="s">
        <v>809</v>
      </c>
      <c r="AV146" s="62">
        <f>IF(AV142&gt;0,23,IF(AV143&gt;0,13,IF(AV144&gt;0,22,IF(AV145&gt;0,12,0))))</f>
        <v>23</v>
      </c>
      <c r="AW146" s="62">
        <f t="shared" ref="AW146:BS146" si="70">IF(AW142&gt;0,23,IF(AW143&gt;0,13,IF(AW144&gt;0,22,IF(AW145&gt;0,12,0))))</f>
        <v>23</v>
      </c>
      <c r="AX146" s="62">
        <f t="shared" si="70"/>
        <v>23</v>
      </c>
      <c r="AY146" s="62">
        <f t="shared" si="70"/>
        <v>23</v>
      </c>
      <c r="AZ146" s="62">
        <f t="shared" si="70"/>
        <v>23</v>
      </c>
      <c r="BA146" s="62">
        <f t="shared" si="70"/>
        <v>23</v>
      </c>
      <c r="BB146" s="62">
        <f t="shared" si="70"/>
        <v>23</v>
      </c>
      <c r="BC146" s="62">
        <f t="shared" si="70"/>
        <v>23</v>
      </c>
      <c r="BD146" s="62">
        <f t="shared" si="70"/>
        <v>23</v>
      </c>
      <c r="BE146" s="62">
        <f t="shared" si="70"/>
        <v>23</v>
      </c>
      <c r="BF146" s="62">
        <f t="shared" si="70"/>
        <v>23</v>
      </c>
      <c r="BG146" s="62">
        <f t="shared" si="70"/>
        <v>23</v>
      </c>
      <c r="BH146" s="62">
        <f t="shared" si="70"/>
        <v>23</v>
      </c>
      <c r="BI146" s="62">
        <f t="shared" si="70"/>
        <v>23</v>
      </c>
      <c r="BJ146" s="62">
        <f t="shared" si="70"/>
        <v>23</v>
      </c>
      <c r="BK146" s="62">
        <f t="shared" si="70"/>
        <v>23</v>
      </c>
      <c r="BL146" s="62">
        <f t="shared" si="70"/>
        <v>23</v>
      </c>
      <c r="BM146" s="62">
        <f t="shared" si="70"/>
        <v>23</v>
      </c>
      <c r="BN146" s="62">
        <f t="shared" si="70"/>
        <v>23</v>
      </c>
      <c r="BO146" s="62">
        <f t="shared" si="70"/>
        <v>23</v>
      </c>
      <c r="BP146" s="62">
        <f t="shared" si="70"/>
        <v>23</v>
      </c>
      <c r="BQ146" s="62">
        <f t="shared" si="70"/>
        <v>23</v>
      </c>
      <c r="BR146" s="62">
        <f t="shared" si="70"/>
        <v>23</v>
      </c>
      <c r="BS146" s="62">
        <f t="shared" si="70"/>
        <v>23</v>
      </c>
      <c r="BZ146" s="40" t="s">
        <v>809</v>
      </c>
      <c r="CB146" s="62">
        <f>IF(CB142&gt;0,23,IF(CB143&gt;0,13,IF(CB144&gt;0,22,IF(CB145&gt;0,12,0))))</f>
        <v>0</v>
      </c>
      <c r="CC146" s="62">
        <f t="shared" ref="CC146:CY146" si="71">IF(CC142&gt;0,23,IF(CC143&gt;0,13,IF(CC144&gt;0,22,IF(CC145&gt;0,12,0))))</f>
        <v>0</v>
      </c>
      <c r="CD146" s="62">
        <f t="shared" si="71"/>
        <v>0</v>
      </c>
      <c r="CE146" s="62">
        <f t="shared" si="71"/>
        <v>0</v>
      </c>
      <c r="CF146" s="62">
        <f t="shared" si="71"/>
        <v>0</v>
      </c>
      <c r="CG146" s="62">
        <f t="shared" si="71"/>
        <v>0</v>
      </c>
      <c r="CH146" s="62">
        <f t="shared" si="71"/>
        <v>0</v>
      </c>
      <c r="CI146" s="62">
        <f t="shared" si="71"/>
        <v>0</v>
      </c>
      <c r="CJ146" s="62">
        <f t="shared" si="71"/>
        <v>0</v>
      </c>
      <c r="CK146" s="62">
        <f t="shared" si="71"/>
        <v>0</v>
      </c>
      <c r="CL146" s="62">
        <f t="shared" si="71"/>
        <v>0</v>
      </c>
      <c r="CM146" s="62">
        <f t="shared" si="71"/>
        <v>0</v>
      </c>
      <c r="CN146" s="62">
        <f t="shared" si="71"/>
        <v>0</v>
      </c>
      <c r="CO146" s="62">
        <f t="shared" si="71"/>
        <v>0</v>
      </c>
      <c r="CP146" s="62">
        <f t="shared" si="71"/>
        <v>0</v>
      </c>
      <c r="CQ146" s="62">
        <f t="shared" si="71"/>
        <v>0</v>
      </c>
      <c r="CR146" s="62">
        <f t="shared" si="71"/>
        <v>0</v>
      </c>
      <c r="CS146" s="62">
        <f t="shared" si="71"/>
        <v>0</v>
      </c>
      <c r="CT146" s="62">
        <f t="shared" si="71"/>
        <v>0</v>
      </c>
      <c r="CU146" s="62">
        <f t="shared" si="71"/>
        <v>0</v>
      </c>
      <c r="CV146" s="62">
        <f t="shared" si="71"/>
        <v>0</v>
      </c>
      <c r="CW146" s="62">
        <f t="shared" si="71"/>
        <v>0</v>
      </c>
      <c r="CX146" s="62">
        <f t="shared" si="71"/>
        <v>0</v>
      </c>
      <c r="CY146" s="62">
        <f t="shared" si="71"/>
        <v>0</v>
      </c>
      <c r="DC146" s="40" t="s">
        <v>809</v>
      </c>
      <c r="DE146" s="62">
        <f>IF(DE142&gt;0,23,IF(DE143&gt;0,13,IF(DE144&gt;0,22,IF(DE145&gt;0,12,0))))</f>
        <v>0</v>
      </c>
      <c r="DF146" s="62">
        <f t="shared" ref="DF146:EB146" si="72">IF(DF142&gt;0,23,IF(DF143&gt;0,13,IF(DF144&gt;0,22,IF(DF145&gt;0,12,0))))</f>
        <v>0</v>
      </c>
      <c r="DG146" s="62">
        <f t="shared" si="72"/>
        <v>0</v>
      </c>
      <c r="DH146" s="62">
        <f t="shared" si="72"/>
        <v>0</v>
      </c>
      <c r="DI146" s="62">
        <f t="shared" si="72"/>
        <v>0</v>
      </c>
      <c r="DJ146" s="62">
        <f t="shared" si="72"/>
        <v>0</v>
      </c>
      <c r="DK146" s="62">
        <f t="shared" si="72"/>
        <v>0</v>
      </c>
      <c r="DL146" s="62">
        <f t="shared" si="72"/>
        <v>0</v>
      </c>
      <c r="DM146" s="62">
        <f t="shared" si="72"/>
        <v>0</v>
      </c>
      <c r="DN146" s="62">
        <f t="shared" si="72"/>
        <v>0</v>
      </c>
      <c r="DO146" s="62">
        <f t="shared" si="72"/>
        <v>0</v>
      </c>
      <c r="DP146" s="62">
        <f t="shared" si="72"/>
        <v>0</v>
      </c>
      <c r="DQ146" s="62">
        <f t="shared" si="72"/>
        <v>0</v>
      </c>
      <c r="DR146" s="62">
        <f t="shared" si="72"/>
        <v>0</v>
      </c>
      <c r="DS146" s="62">
        <f t="shared" si="72"/>
        <v>0</v>
      </c>
      <c r="DT146" s="62">
        <f t="shared" si="72"/>
        <v>0</v>
      </c>
      <c r="DU146" s="62">
        <f t="shared" si="72"/>
        <v>0</v>
      </c>
      <c r="DV146" s="62">
        <f t="shared" si="72"/>
        <v>0</v>
      </c>
      <c r="DW146" s="62">
        <f t="shared" si="72"/>
        <v>0</v>
      </c>
      <c r="DX146" s="62">
        <f t="shared" si="72"/>
        <v>0</v>
      </c>
      <c r="DY146" s="62">
        <f t="shared" si="72"/>
        <v>0</v>
      </c>
      <c r="DZ146" s="62">
        <f t="shared" si="72"/>
        <v>0</v>
      </c>
      <c r="EA146" s="62">
        <f t="shared" si="72"/>
        <v>0</v>
      </c>
      <c r="EB146" s="62">
        <f t="shared" si="72"/>
        <v>0</v>
      </c>
    </row>
    <row r="147" spans="1:132" x14ac:dyDescent="0.25">
      <c r="B147" s="32" t="s">
        <v>1226</v>
      </c>
      <c r="C147" s="168">
        <f>IF(Troupeau!D3="EQ",'Calcul éco'!D13+'Calcul éco'!D14,0)+IF(Troupeau!C3="EQ",'Calcul éco'!C13+'Calcul éco'!C14,0)</f>
        <v>0</v>
      </c>
      <c r="D147" s="260">
        <f t="shared" si="50"/>
        <v>0</v>
      </c>
      <c r="F147" s="14" t="s">
        <v>1227</v>
      </c>
      <c r="G147">
        <f>IF(Troupeau!B$3="BV",'Calcul éco'!B9,0)</f>
        <v>16.5</v>
      </c>
      <c r="AT147" s="40" t="s">
        <v>811</v>
      </c>
      <c r="AV147" s="183">
        <f>IF(AV146=0,0,HLOOKUP(AV146,[1]Trav!$C$39:$G$59,$AU$166))</f>
        <v>42</v>
      </c>
      <c r="AW147" s="183">
        <f>IF(AW146=0,0,HLOOKUP(AW146,[1]Trav!$C$39:$G$59,$AU$166))</f>
        <v>42</v>
      </c>
      <c r="AX147" s="183">
        <f>IF(AX146=0,0,HLOOKUP(AX146,[1]Trav!$C$39:$G$59,$AU$166))</f>
        <v>42</v>
      </c>
      <c r="AY147" s="183">
        <f>IF(AY146=0,0,HLOOKUP(AY146,[1]Trav!$C$39:$G$59,$AU$166))</f>
        <v>42</v>
      </c>
      <c r="AZ147" s="183">
        <f>IF(AZ146=0,0,HLOOKUP(AZ146,[1]Trav!$C$39:$G$59,$AU$166))</f>
        <v>42</v>
      </c>
      <c r="BA147" s="183">
        <f>IF(BA146=0,0,HLOOKUP(BA146,[1]Trav!$C$39:$G$59,$AU$166))</f>
        <v>42</v>
      </c>
      <c r="BB147" s="183">
        <f>IF(BB146=0,0,HLOOKUP(BB146,[1]Trav!$C$39:$G$59,$AU$166))</f>
        <v>42</v>
      </c>
      <c r="BC147" s="183">
        <f>IF(BC146=0,0,HLOOKUP(BC146,[1]Trav!$C$39:$G$59,$AU$166))</f>
        <v>42</v>
      </c>
      <c r="BD147" s="183">
        <f>IF(BD146=0,0,HLOOKUP(BD146,[1]Trav!$C$39:$G$59,$AU$166))</f>
        <v>42</v>
      </c>
      <c r="BE147" s="183">
        <f>IF(BE146=0,0,HLOOKUP(BE146,[1]Trav!$C$39:$G$59,$AU$166))</f>
        <v>42</v>
      </c>
      <c r="BF147" s="183">
        <f>IF(BF146=0,0,HLOOKUP(BF146,[1]Trav!$C$39:$G$59,$AU$166))</f>
        <v>42</v>
      </c>
      <c r="BG147" s="183">
        <f>IF(BG146=0,0,HLOOKUP(BG146,[1]Trav!$C$39:$G$59,$AU$166))</f>
        <v>42</v>
      </c>
      <c r="BH147" s="183">
        <f>IF(BH146=0,0,HLOOKUP(BH146,[1]Trav!$C$39:$G$59,$AU$166))</f>
        <v>42</v>
      </c>
      <c r="BI147" s="183">
        <f>IF(BI146=0,0,HLOOKUP(BI146,[1]Trav!$C$39:$G$59,$AU$166))</f>
        <v>42</v>
      </c>
      <c r="BJ147" s="183">
        <f>IF(BJ146=0,0,HLOOKUP(BJ146,[1]Trav!$C$39:$G$59,$AU$166))</f>
        <v>42</v>
      </c>
      <c r="BK147" s="183">
        <f>IF(BK146=0,0,HLOOKUP(BK146,[1]Trav!$C$39:$G$59,$AU$166))</f>
        <v>42</v>
      </c>
      <c r="BL147" s="183">
        <f>IF(BL146=0,0,HLOOKUP(BL146,[1]Trav!$C$39:$G$59,$AU$166))</f>
        <v>42</v>
      </c>
      <c r="BM147" s="183">
        <f>IF(BM146=0,0,HLOOKUP(BM146,[1]Trav!$C$39:$G$59,$AU$166))</f>
        <v>42</v>
      </c>
      <c r="BN147" s="183">
        <f>IF(BN146=0,0,HLOOKUP(BN146,[1]Trav!$C$39:$G$59,$AU$166))</f>
        <v>42</v>
      </c>
      <c r="BO147" s="183">
        <f>IF(BO146=0,0,HLOOKUP(BO146,[1]Trav!$C$39:$G$59,$AU$166))</f>
        <v>42</v>
      </c>
      <c r="BP147" s="183">
        <f>IF(BP146=0,0,HLOOKUP(BP146,[1]Trav!$C$39:$G$59,$AU$166))</f>
        <v>42</v>
      </c>
      <c r="BQ147" s="183">
        <f>IF(BQ146=0,0,HLOOKUP(BQ146,[1]Trav!$C$39:$G$59,$AU$166))</f>
        <v>42</v>
      </c>
      <c r="BR147" s="183">
        <f>IF(BR146=0,0,HLOOKUP(BR146,[1]Trav!$C$39:$G$59,$AU$166))</f>
        <v>42</v>
      </c>
      <c r="BS147" s="183">
        <f>IF(BS146=0,0,HLOOKUP(BS146,[1]Trav!$C$39:$G$59,$AU$166))</f>
        <v>42</v>
      </c>
      <c r="BZ147" s="40" t="s">
        <v>811</v>
      </c>
      <c r="CB147" s="183">
        <f>IF(CB146=0,0,HLOOKUP(CB146,[1]Trav!$C$39:$G$59,$AU$166))</f>
        <v>0</v>
      </c>
      <c r="CC147" s="183">
        <f>IF(CC146=0,0,HLOOKUP(CC146,[1]Trav!$C$39:$G$59,$AU$166))</f>
        <v>0</v>
      </c>
      <c r="CD147" s="183">
        <f>IF(CD146=0,0,HLOOKUP(CD146,[1]Trav!$C$39:$G$59,$AU$166))</f>
        <v>0</v>
      </c>
      <c r="CE147" s="183">
        <f>IF(CE146=0,0,HLOOKUP(CE146,[1]Trav!$C$39:$G$59,$AU$166))</f>
        <v>0</v>
      </c>
      <c r="CF147" s="183">
        <f>IF(CF146=0,0,HLOOKUP(CF146,[1]Trav!$C$39:$G$59,$AU$166))</f>
        <v>0</v>
      </c>
      <c r="CG147" s="183">
        <f>IF(CG146=0,0,HLOOKUP(CG146,[1]Trav!$C$39:$G$59,$AU$166))</f>
        <v>0</v>
      </c>
      <c r="CH147" s="183">
        <f>IF(CH146=0,0,HLOOKUP(CH146,[1]Trav!$C$39:$G$59,$AU$166))</f>
        <v>0</v>
      </c>
      <c r="CI147" s="183">
        <f>IF(CI146=0,0,HLOOKUP(CI146,[1]Trav!$C$39:$G$59,$AU$166))</f>
        <v>0</v>
      </c>
      <c r="CJ147" s="183">
        <f>IF(CJ146=0,0,HLOOKUP(CJ146,[1]Trav!$C$39:$G$59,$AU$166))</f>
        <v>0</v>
      </c>
      <c r="CK147" s="183">
        <f>IF(CK146=0,0,HLOOKUP(CK146,[1]Trav!$C$39:$G$59,$AU$166))</f>
        <v>0</v>
      </c>
      <c r="CL147" s="183">
        <f>IF(CL146=0,0,HLOOKUP(CL146,[1]Trav!$C$39:$G$59,$AU$166))</f>
        <v>0</v>
      </c>
      <c r="CM147" s="183">
        <f>IF(CM146=0,0,HLOOKUP(CM146,[1]Trav!$C$39:$G$59,$AU$166))</f>
        <v>0</v>
      </c>
      <c r="CN147" s="183">
        <f>IF(CN146=0,0,HLOOKUP(CN146,[1]Trav!$C$39:$G$59,$AU$166))</f>
        <v>0</v>
      </c>
      <c r="CO147" s="183">
        <f>IF(CO146=0,0,HLOOKUP(CO146,[1]Trav!$C$39:$G$59,$AU$166))</f>
        <v>0</v>
      </c>
      <c r="CP147" s="183">
        <f>IF(CP146=0,0,HLOOKUP(CP146,[1]Trav!$C$39:$G$59,$AU$166))</f>
        <v>0</v>
      </c>
      <c r="CQ147" s="183">
        <f>IF(CQ146=0,0,HLOOKUP(CQ146,[1]Trav!$C$39:$G$59,$AU$166))</f>
        <v>0</v>
      </c>
      <c r="CR147" s="183">
        <f>IF(CR146=0,0,HLOOKUP(CR146,[1]Trav!$C$39:$G$59,$AU$166))</f>
        <v>0</v>
      </c>
      <c r="CS147" s="183">
        <f>IF(CS146=0,0,HLOOKUP(CS146,[1]Trav!$C$39:$G$59,$AU$166))</f>
        <v>0</v>
      </c>
      <c r="CT147" s="183">
        <f>IF(CT146=0,0,HLOOKUP(CT146,[1]Trav!$C$39:$G$59,$AU$166))</f>
        <v>0</v>
      </c>
      <c r="CU147" s="183">
        <f>IF(CU146=0,0,HLOOKUP(CU146,[1]Trav!$C$39:$G$59,$AU$166))</f>
        <v>0</v>
      </c>
      <c r="CV147" s="183">
        <f>IF(CV146=0,0,HLOOKUP(CV146,[1]Trav!$C$39:$G$59,$AU$166))</f>
        <v>0</v>
      </c>
      <c r="CW147" s="183">
        <f>IF(CW146=0,0,HLOOKUP(CW146,[1]Trav!$C$39:$G$59,$AU$166))</f>
        <v>0</v>
      </c>
      <c r="CX147" s="183">
        <f>IF(CX146=0,0,HLOOKUP(CX146,[1]Trav!$C$39:$G$59,$AU$166))</f>
        <v>0</v>
      </c>
      <c r="CY147" s="183">
        <f>IF(CY146=0,0,HLOOKUP(CY146,[1]Trav!$C$39:$G$59,$AU$166))</f>
        <v>0</v>
      </c>
      <c r="DC147" s="40" t="s">
        <v>811</v>
      </c>
      <c r="DE147" s="183">
        <f>IF(DE146=0,0,HLOOKUP(DE146,[1]Trav!$C$39:$G$59,$AU$166))</f>
        <v>0</v>
      </c>
      <c r="DF147" s="183">
        <f>IF(DF146=0,0,HLOOKUP(DF146,[1]Trav!$C$39:$G$59,$AU$166))</f>
        <v>0</v>
      </c>
      <c r="DG147" s="183">
        <f>IF(DG146=0,0,HLOOKUP(DG146,[1]Trav!$C$39:$G$59,$AU$166))</f>
        <v>0</v>
      </c>
      <c r="DH147" s="183">
        <f>IF(DH146=0,0,HLOOKUP(DH146,[1]Trav!$C$39:$G$59,$AU$166))</f>
        <v>0</v>
      </c>
      <c r="DI147" s="183">
        <f>IF(DI146=0,0,HLOOKUP(DI146,[1]Trav!$C$39:$G$59,$AU$166))</f>
        <v>0</v>
      </c>
      <c r="DJ147" s="183">
        <f>IF(DJ146=0,0,HLOOKUP(DJ146,[1]Trav!$C$39:$G$59,$AU$166))</f>
        <v>0</v>
      </c>
      <c r="DK147" s="183">
        <f>IF(DK146=0,0,HLOOKUP(DK146,[1]Trav!$C$39:$G$59,$AU$166))</f>
        <v>0</v>
      </c>
      <c r="DL147" s="183">
        <f>IF(DL146=0,0,HLOOKUP(DL146,[1]Trav!$C$39:$G$59,$AU$166))</f>
        <v>0</v>
      </c>
      <c r="DM147" s="183">
        <f>IF(DM146=0,0,HLOOKUP(DM146,[1]Trav!$C$39:$G$59,$AU$166))</f>
        <v>0</v>
      </c>
      <c r="DN147" s="183">
        <f>IF(DN146=0,0,HLOOKUP(DN146,[1]Trav!$C$39:$G$59,$AU$166))</f>
        <v>0</v>
      </c>
      <c r="DO147" s="183">
        <f>IF(DO146=0,0,HLOOKUP(DO146,[1]Trav!$C$39:$G$59,$AU$166))</f>
        <v>0</v>
      </c>
      <c r="DP147" s="183">
        <f>IF(DP146=0,0,HLOOKUP(DP146,[1]Trav!$C$39:$G$59,$AU$166))</f>
        <v>0</v>
      </c>
      <c r="DQ147" s="183">
        <f>IF(DQ146=0,0,HLOOKUP(DQ146,[1]Trav!$C$39:$G$59,$AU$166))</f>
        <v>0</v>
      </c>
      <c r="DR147" s="183">
        <f>IF(DR146=0,0,HLOOKUP(DR146,[1]Trav!$C$39:$G$59,$AU$166))</f>
        <v>0</v>
      </c>
      <c r="DS147" s="183">
        <f>IF(DS146=0,0,HLOOKUP(DS146,[1]Trav!$C$39:$G$59,$AU$166))</f>
        <v>0</v>
      </c>
      <c r="DT147" s="183">
        <f>IF(DT146=0,0,HLOOKUP(DT146,[1]Trav!$C$39:$G$59,$AU$166))</f>
        <v>0</v>
      </c>
      <c r="DU147" s="183">
        <f>IF(DU146=0,0,HLOOKUP(DU146,[1]Trav!$C$39:$G$59,$AU$166))</f>
        <v>0</v>
      </c>
      <c r="DV147" s="183">
        <f>IF(DV146=0,0,HLOOKUP(DV146,[1]Trav!$C$39:$G$59,$AU$166))</f>
        <v>0</v>
      </c>
      <c r="DW147" s="183">
        <f>IF(DW146=0,0,HLOOKUP(DW146,[1]Trav!$C$39:$G$59,$AU$166))</f>
        <v>0</v>
      </c>
      <c r="DX147" s="183">
        <f>IF(DX146=0,0,HLOOKUP(DX146,[1]Trav!$C$39:$G$59,$AU$166))</f>
        <v>0</v>
      </c>
      <c r="DY147" s="183">
        <f>IF(DY146=0,0,HLOOKUP(DY146,[1]Trav!$C$39:$G$59,$AU$166))</f>
        <v>0</v>
      </c>
      <c r="DZ147" s="183">
        <f>IF(DZ146=0,0,HLOOKUP(DZ146,[1]Trav!$C$39:$G$59,$AU$166))</f>
        <v>0</v>
      </c>
      <c r="EA147" s="183">
        <f>IF(EA146=0,0,HLOOKUP(EA146,[1]Trav!$C$39:$G$59,$AU$166))</f>
        <v>0</v>
      </c>
      <c r="EB147" s="183">
        <f>IF(EB146=0,0,HLOOKUP(EB146,[1]Trav!$C$39:$G$59,$AU$166))</f>
        <v>0</v>
      </c>
    </row>
    <row r="148" spans="1:132" x14ac:dyDescent="0.25">
      <c r="A148" s="2" t="s">
        <v>1228</v>
      </c>
      <c r="B148" s="14" t="s">
        <v>1229</v>
      </c>
      <c r="C148" s="168">
        <f>IF(Troupeau!B3="OL",'Calcul éco'!B5,0)</f>
        <v>0</v>
      </c>
      <c r="D148" s="260">
        <f t="shared" si="50"/>
        <v>0</v>
      </c>
      <c r="F148" s="14" t="s">
        <v>1230</v>
      </c>
      <c r="G148">
        <f>IF(Troupeau!B$3="BV",'Calcul éco'!B10,0)</f>
        <v>10.5</v>
      </c>
      <c r="AT148" s="40" t="s">
        <v>812</v>
      </c>
      <c r="AV148" s="183">
        <f>IF(AV146=0,0,HLOOKUP(AV146,[1]Trav!$C$62:$G$82,$AU$166))</f>
        <v>2.3380000000000001</v>
      </c>
      <c r="AW148" s="183">
        <f>IF(AW146=0,0,HLOOKUP(AW146,[1]Trav!$C$62:$G$82,$AU$166))</f>
        <v>2.3380000000000001</v>
      </c>
      <c r="AX148" s="183">
        <f>IF(AX146=0,0,HLOOKUP(AX146,[1]Trav!$C$62:$G$82,$AU$166))</f>
        <v>2.3380000000000001</v>
      </c>
      <c r="AY148" s="183">
        <f>IF(AY146=0,0,HLOOKUP(AY146,[1]Trav!$C$62:$G$82,$AU$166))</f>
        <v>2.3380000000000001</v>
      </c>
      <c r="AZ148" s="183">
        <f>IF(AZ146=0,0,HLOOKUP(AZ146,[1]Trav!$C$62:$G$82,$AU$166))</f>
        <v>2.3380000000000001</v>
      </c>
      <c r="BA148" s="183">
        <f>IF(BA146=0,0,HLOOKUP(BA146,[1]Trav!$C$62:$G$82,$AU$166))</f>
        <v>2.3380000000000001</v>
      </c>
      <c r="BB148" s="183">
        <f>IF(BB146=0,0,HLOOKUP(BB146,[1]Trav!$C$62:$G$82,$AU$166))</f>
        <v>2.3380000000000001</v>
      </c>
      <c r="BC148" s="183">
        <f>IF(BC146=0,0,HLOOKUP(BC146,[1]Trav!$C$62:$G$82,$AU$166))</f>
        <v>2.3380000000000001</v>
      </c>
      <c r="BD148" s="183">
        <f>IF(BD146=0,0,HLOOKUP(BD146,[1]Trav!$C$62:$G$82,$AU$166))</f>
        <v>2.3380000000000001</v>
      </c>
      <c r="BE148" s="183">
        <f>IF(BE146=0,0,HLOOKUP(BE146,[1]Trav!$C$62:$G$82,$AU$166))</f>
        <v>2.3380000000000001</v>
      </c>
      <c r="BF148" s="183">
        <f>IF(BF146=0,0,HLOOKUP(BF146,[1]Trav!$C$62:$G$82,$AU$166))</f>
        <v>2.3380000000000001</v>
      </c>
      <c r="BG148" s="183">
        <f>IF(BG146=0,0,HLOOKUP(BG146,[1]Trav!$C$62:$G$82,$AU$166))</f>
        <v>2.3380000000000001</v>
      </c>
      <c r="BH148" s="183">
        <f>IF(BH146=0,0,HLOOKUP(BH146,[1]Trav!$C$62:$G$82,$AU$166))</f>
        <v>2.3380000000000001</v>
      </c>
      <c r="BI148" s="183">
        <f>IF(BI146=0,0,HLOOKUP(BI146,[1]Trav!$C$62:$G$82,$AU$166))</f>
        <v>2.3380000000000001</v>
      </c>
      <c r="BJ148" s="183">
        <f>IF(BJ146=0,0,HLOOKUP(BJ146,[1]Trav!$C$62:$G$82,$AU$166))</f>
        <v>2.3380000000000001</v>
      </c>
      <c r="BK148" s="183">
        <f>IF(BK146=0,0,HLOOKUP(BK146,[1]Trav!$C$62:$G$82,$AU$166))</f>
        <v>2.3380000000000001</v>
      </c>
      <c r="BL148" s="183">
        <f>IF(BL146=0,0,HLOOKUP(BL146,[1]Trav!$C$62:$G$82,$AU$166))</f>
        <v>2.3380000000000001</v>
      </c>
      <c r="BM148" s="183">
        <f>IF(BM146=0,0,HLOOKUP(BM146,[1]Trav!$C$62:$G$82,$AU$166))</f>
        <v>2.3380000000000001</v>
      </c>
      <c r="BN148" s="183">
        <f>IF(BN146=0,0,HLOOKUP(BN146,[1]Trav!$C$62:$G$82,$AU$166))</f>
        <v>2.3380000000000001</v>
      </c>
      <c r="BO148" s="183">
        <f>IF(BO146=0,0,HLOOKUP(BO146,[1]Trav!$C$62:$G$82,$AU$166))</f>
        <v>2.3380000000000001</v>
      </c>
      <c r="BP148" s="183">
        <f>IF(BP146=0,0,HLOOKUP(BP146,[1]Trav!$C$62:$G$82,$AU$166))</f>
        <v>2.3380000000000001</v>
      </c>
      <c r="BQ148" s="183">
        <f>IF(BQ146=0,0,HLOOKUP(BQ146,[1]Trav!$C$62:$G$82,$AU$166))</f>
        <v>2.3380000000000001</v>
      </c>
      <c r="BR148" s="183">
        <f>IF(BR146=0,0,HLOOKUP(BR146,[1]Trav!$C$62:$G$82,$AU$166))</f>
        <v>2.3380000000000001</v>
      </c>
      <c r="BS148" s="183">
        <f>IF(BS146=0,0,HLOOKUP(BS146,[1]Trav!$C$62:$G$82,$AU$166))</f>
        <v>2.3380000000000001</v>
      </c>
      <c r="BZ148" s="40" t="s">
        <v>812</v>
      </c>
      <c r="CB148" s="183">
        <f>IF(CB146=0,0,HLOOKUP(CB146,[1]Trav!$C$62:$G$82,$AU$166))</f>
        <v>0</v>
      </c>
      <c r="CC148" s="183">
        <f>IF(CC146=0,0,HLOOKUP(CC146,[1]Trav!$C$62:$G$82,$AU$166))</f>
        <v>0</v>
      </c>
      <c r="CD148" s="183">
        <f>IF(CD146=0,0,HLOOKUP(CD146,[1]Trav!$C$62:$G$82,$AU$166))</f>
        <v>0</v>
      </c>
      <c r="CE148" s="183">
        <f>IF(CE146=0,0,HLOOKUP(CE146,[1]Trav!$C$62:$G$82,$AU$166))</f>
        <v>0</v>
      </c>
      <c r="CF148" s="183">
        <f>IF(CF146=0,0,HLOOKUP(CF146,[1]Trav!$C$62:$G$82,$AU$166))</f>
        <v>0</v>
      </c>
      <c r="CG148" s="183">
        <f>IF(CG146=0,0,HLOOKUP(CG146,[1]Trav!$C$62:$G$82,$AU$166))</f>
        <v>0</v>
      </c>
      <c r="CH148" s="183">
        <f>IF(CH146=0,0,HLOOKUP(CH146,[1]Trav!$C$62:$G$82,$AU$166))</f>
        <v>0</v>
      </c>
      <c r="CI148" s="183">
        <f>IF(CI146=0,0,HLOOKUP(CI146,[1]Trav!$C$62:$G$82,$AU$166))</f>
        <v>0</v>
      </c>
      <c r="CJ148" s="183">
        <f>IF(CJ146=0,0,HLOOKUP(CJ146,[1]Trav!$C$62:$G$82,$AU$166))</f>
        <v>0</v>
      </c>
      <c r="CK148" s="183">
        <f>IF(CK146=0,0,HLOOKUP(CK146,[1]Trav!$C$62:$G$82,$AU$166))</f>
        <v>0</v>
      </c>
      <c r="CL148" s="183">
        <f>IF(CL146=0,0,HLOOKUP(CL146,[1]Trav!$C$62:$G$82,$AU$166))</f>
        <v>0</v>
      </c>
      <c r="CM148" s="183">
        <f>IF(CM146=0,0,HLOOKUP(CM146,[1]Trav!$C$62:$G$82,$AU$166))</f>
        <v>0</v>
      </c>
      <c r="CN148" s="183">
        <f>IF(CN146=0,0,HLOOKUP(CN146,[1]Trav!$C$62:$G$82,$AU$166))</f>
        <v>0</v>
      </c>
      <c r="CO148" s="183">
        <f>IF(CO146=0,0,HLOOKUP(CO146,[1]Trav!$C$62:$G$82,$AU$166))</f>
        <v>0</v>
      </c>
      <c r="CP148" s="183">
        <f>IF(CP146=0,0,HLOOKUP(CP146,[1]Trav!$C$62:$G$82,$AU$166))</f>
        <v>0</v>
      </c>
      <c r="CQ148" s="183">
        <f>IF(CQ146=0,0,HLOOKUP(CQ146,[1]Trav!$C$62:$G$82,$AU$166))</f>
        <v>0</v>
      </c>
      <c r="CR148" s="183">
        <f>IF(CR146=0,0,HLOOKUP(CR146,[1]Trav!$C$62:$G$82,$AU$166))</f>
        <v>0</v>
      </c>
      <c r="CS148" s="183">
        <f>IF(CS146=0,0,HLOOKUP(CS146,[1]Trav!$C$62:$G$82,$AU$166))</f>
        <v>0</v>
      </c>
      <c r="CT148" s="183">
        <f>IF(CT146=0,0,HLOOKUP(CT146,[1]Trav!$C$62:$G$82,$AU$166))</f>
        <v>0</v>
      </c>
      <c r="CU148" s="183">
        <f>IF(CU146=0,0,HLOOKUP(CU146,[1]Trav!$C$62:$G$82,$AU$166))</f>
        <v>0</v>
      </c>
      <c r="CV148" s="183">
        <f>IF(CV146=0,0,HLOOKUP(CV146,[1]Trav!$C$62:$G$82,$AU$166))</f>
        <v>0</v>
      </c>
      <c r="CW148" s="183">
        <f>IF(CW146=0,0,HLOOKUP(CW146,[1]Trav!$C$62:$G$82,$AU$166))</f>
        <v>0</v>
      </c>
      <c r="CX148" s="183">
        <f>IF(CX146=0,0,HLOOKUP(CX146,[1]Trav!$C$62:$G$82,$AU$166))</f>
        <v>0</v>
      </c>
      <c r="CY148" s="183">
        <f>IF(CY146=0,0,HLOOKUP(CY146,[1]Trav!$C$62:$G$82,$AU$166))</f>
        <v>0</v>
      </c>
      <c r="DC148" s="40" t="s">
        <v>812</v>
      </c>
      <c r="DE148" s="183">
        <f>IF(DE146=0,0,HLOOKUP(DE146,[1]Trav!$C$62:$G$82,$AU$166))</f>
        <v>0</v>
      </c>
      <c r="DF148" s="183">
        <f>IF(DF146=0,0,HLOOKUP(DF146,[1]Trav!$C$62:$G$82,$AU$166))</f>
        <v>0</v>
      </c>
      <c r="DG148" s="183">
        <f>IF(DG146=0,0,HLOOKUP(DG146,[1]Trav!$C$62:$G$82,$AU$166))</f>
        <v>0</v>
      </c>
      <c r="DH148" s="183">
        <f>IF(DH146=0,0,HLOOKUP(DH146,[1]Trav!$C$62:$G$82,$AU$166))</f>
        <v>0</v>
      </c>
      <c r="DI148" s="183">
        <f>IF(DI146=0,0,HLOOKUP(DI146,[1]Trav!$C$62:$G$82,$AU$166))</f>
        <v>0</v>
      </c>
      <c r="DJ148" s="183">
        <f>IF(DJ146=0,0,HLOOKUP(DJ146,[1]Trav!$C$62:$G$82,$AU$166))</f>
        <v>0</v>
      </c>
      <c r="DK148" s="183">
        <f>IF(DK146=0,0,HLOOKUP(DK146,[1]Trav!$C$62:$G$82,$AU$166))</f>
        <v>0</v>
      </c>
      <c r="DL148" s="183">
        <f>IF(DL146=0,0,HLOOKUP(DL146,[1]Trav!$C$62:$G$82,$AU$166))</f>
        <v>0</v>
      </c>
      <c r="DM148" s="183">
        <f>IF(DM146=0,0,HLOOKUP(DM146,[1]Trav!$C$62:$G$82,$AU$166))</f>
        <v>0</v>
      </c>
      <c r="DN148" s="183">
        <f>IF(DN146=0,0,HLOOKUP(DN146,[1]Trav!$C$62:$G$82,$AU$166))</f>
        <v>0</v>
      </c>
      <c r="DO148" s="183">
        <f>IF(DO146=0,0,HLOOKUP(DO146,[1]Trav!$C$62:$G$82,$AU$166))</f>
        <v>0</v>
      </c>
      <c r="DP148" s="183">
        <f>IF(DP146=0,0,HLOOKUP(DP146,[1]Trav!$C$62:$G$82,$AU$166))</f>
        <v>0</v>
      </c>
      <c r="DQ148" s="183">
        <f>IF(DQ146=0,0,HLOOKUP(DQ146,[1]Trav!$C$62:$G$82,$AU$166))</f>
        <v>0</v>
      </c>
      <c r="DR148" s="183">
        <f>IF(DR146=0,0,HLOOKUP(DR146,[1]Trav!$C$62:$G$82,$AU$166))</f>
        <v>0</v>
      </c>
      <c r="DS148" s="183">
        <f>IF(DS146=0,0,HLOOKUP(DS146,[1]Trav!$C$62:$G$82,$AU$166))</f>
        <v>0</v>
      </c>
      <c r="DT148" s="183">
        <f>IF(DT146=0,0,HLOOKUP(DT146,[1]Trav!$C$62:$G$82,$AU$166))</f>
        <v>0</v>
      </c>
      <c r="DU148" s="183">
        <f>IF(DU146=0,0,HLOOKUP(DU146,[1]Trav!$C$62:$G$82,$AU$166))</f>
        <v>0</v>
      </c>
      <c r="DV148" s="183">
        <f>IF(DV146=0,0,HLOOKUP(DV146,[1]Trav!$C$62:$G$82,$AU$166))</f>
        <v>0</v>
      </c>
      <c r="DW148" s="183">
        <f>IF(DW146=0,0,HLOOKUP(DW146,[1]Trav!$C$62:$G$82,$AU$166))</f>
        <v>0</v>
      </c>
      <c r="DX148" s="183">
        <f>IF(DX146=0,0,HLOOKUP(DX146,[1]Trav!$C$62:$G$82,$AU$166))</f>
        <v>0</v>
      </c>
      <c r="DY148" s="183">
        <f>IF(DY146=0,0,HLOOKUP(DY146,[1]Trav!$C$62:$G$82,$AU$166))</f>
        <v>0</v>
      </c>
      <c r="DZ148" s="183">
        <f>IF(DZ146=0,0,HLOOKUP(DZ146,[1]Trav!$C$62:$G$82,$AU$166))</f>
        <v>0</v>
      </c>
      <c r="EA148" s="183">
        <f>IF(EA146=0,0,HLOOKUP(EA146,[1]Trav!$C$62:$G$82,$AU$166))</f>
        <v>0</v>
      </c>
      <c r="EB148" s="183">
        <f>IF(EB146=0,0,HLOOKUP(EB146,[1]Trav!$C$62:$G$82,$AU$166))</f>
        <v>0</v>
      </c>
    </row>
    <row r="149" spans="1:132" x14ac:dyDescent="0.25">
      <c r="B149" s="14" t="s">
        <v>1231</v>
      </c>
      <c r="C149" s="168">
        <f>IF(Troupeau!B3="OL",'Calcul éco'!B6,0)</f>
        <v>0</v>
      </c>
      <c r="D149" s="260">
        <f t="shared" si="50"/>
        <v>0</v>
      </c>
      <c r="F149" s="14" t="s">
        <v>1232</v>
      </c>
      <c r="G149">
        <f>IF(Troupeau!C$3="BV",'Calcul éco'!C9,0)</f>
        <v>0</v>
      </c>
      <c r="AV149" s="268"/>
      <c r="AW149" s="268"/>
      <c r="AX149" s="268"/>
      <c r="AY149" s="268"/>
      <c r="AZ149" s="268"/>
      <c r="BA149" s="268"/>
      <c r="BB149" s="268"/>
      <c r="BC149" s="268"/>
      <c r="BD149" s="268"/>
      <c r="BE149" s="268"/>
      <c r="BF149" s="268"/>
      <c r="BG149" s="268"/>
      <c r="BH149" s="268"/>
      <c r="BI149" s="268"/>
      <c r="BJ149" s="268"/>
      <c r="BK149" s="268"/>
      <c r="BL149" s="268"/>
      <c r="BM149" s="268"/>
      <c r="BN149" s="268"/>
      <c r="BO149" s="268"/>
      <c r="BP149" s="268"/>
      <c r="BQ149" s="268"/>
      <c r="BR149" s="268"/>
      <c r="BS149" s="268"/>
      <c r="BY149" s="2"/>
      <c r="BZ149" s="40" t="s">
        <v>813</v>
      </c>
      <c r="CB149" s="268"/>
      <c r="CC149" s="268"/>
      <c r="CD149" s="268"/>
      <c r="CE149" s="268"/>
      <c r="CF149" s="268"/>
      <c r="CG149" s="268"/>
      <c r="CH149" s="268"/>
      <c r="CI149" s="268"/>
      <c r="CJ149" s="268"/>
      <c r="CK149" s="268"/>
      <c r="CL149" s="268"/>
      <c r="CM149" s="268"/>
      <c r="CN149" s="268"/>
      <c r="CO149" s="268"/>
      <c r="CP149" s="268"/>
      <c r="CQ149" s="268"/>
      <c r="CR149" s="268"/>
      <c r="CS149" s="268"/>
      <c r="CT149" s="268"/>
      <c r="CU149" s="268"/>
      <c r="CV149" s="268"/>
      <c r="CW149" s="268"/>
      <c r="CX149" s="268"/>
      <c r="CY149" s="268"/>
      <c r="DB149" s="2"/>
      <c r="DE149" s="268"/>
      <c r="DF149" s="268"/>
      <c r="DG149" s="268"/>
      <c r="DH149" s="268"/>
      <c r="DI149" s="268"/>
      <c r="DJ149" s="268"/>
      <c r="DK149" s="268"/>
      <c r="DL149" s="268"/>
      <c r="DM149" s="268"/>
      <c r="DN149" s="268"/>
      <c r="DO149" s="268"/>
      <c r="DP149" s="268"/>
      <c r="DQ149" s="268"/>
      <c r="DR149" s="268"/>
      <c r="DS149" s="268"/>
      <c r="DT149" s="268"/>
      <c r="DU149" s="268"/>
      <c r="DV149" s="268"/>
      <c r="DW149" s="268"/>
      <c r="DX149" s="268"/>
      <c r="DY149" s="268"/>
      <c r="DZ149" s="268"/>
      <c r="EA149" s="268"/>
      <c r="EB149" s="268"/>
    </row>
    <row r="150" spans="1:132" x14ac:dyDescent="0.25">
      <c r="B150" s="14" t="s">
        <v>1233</v>
      </c>
      <c r="C150" s="168">
        <f>IF(Troupeau!B3="BL",'Calcul éco'!B5,0)</f>
        <v>0</v>
      </c>
      <c r="D150" s="260">
        <f t="shared" si="50"/>
        <v>0</v>
      </c>
      <c r="F150" s="14" t="s">
        <v>1234</v>
      </c>
      <c r="G150">
        <f>IF(Troupeau!C$3="BV",'Calcul éco'!C10,0)</f>
        <v>0</v>
      </c>
      <c r="AT150" s="40" t="s">
        <v>813</v>
      </c>
      <c r="AV150" s="268"/>
      <c r="AW150" s="268"/>
      <c r="AX150" s="268"/>
      <c r="AY150" s="268"/>
      <c r="AZ150" s="268"/>
      <c r="BA150" s="268"/>
      <c r="BB150" s="268"/>
      <c r="BC150" s="268"/>
      <c r="BD150" s="268"/>
      <c r="BE150" s="268"/>
      <c r="BF150" s="268"/>
      <c r="BG150" s="268"/>
      <c r="BH150" s="268"/>
      <c r="BI150" s="268"/>
      <c r="BJ150" s="268"/>
      <c r="BK150" s="268"/>
      <c r="BL150" s="268"/>
      <c r="BM150" s="268"/>
      <c r="BN150" s="268"/>
      <c r="BO150" s="268"/>
      <c r="BP150" s="268"/>
      <c r="BQ150" s="268"/>
      <c r="BR150" s="268"/>
      <c r="BS150" s="268"/>
      <c r="BY150" s="2"/>
      <c r="BZ150" s="40"/>
      <c r="CB150" s="268"/>
      <c r="CC150" s="268"/>
      <c r="CD150" s="268"/>
      <c r="CE150" s="268"/>
      <c r="CF150" s="268"/>
      <c r="CG150" s="268"/>
      <c r="CH150" s="268"/>
      <c r="CI150" s="268"/>
      <c r="CJ150" s="268"/>
      <c r="CK150" s="268"/>
      <c r="CL150" s="268"/>
      <c r="CM150" s="268"/>
      <c r="CN150" s="268"/>
      <c r="CO150" s="268"/>
      <c r="CP150" s="268"/>
      <c r="CQ150" s="268"/>
      <c r="CR150" s="268"/>
      <c r="CS150" s="268"/>
      <c r="CT150" s="268"/>
      <c r="CU150" s="268"/>
      <c r="CV150" s="268"/>
      <c r="CW150" s="268"/>
      <c r="CX150" s="268"/>
      <c r="CY150" s="268"/>
      <c r="DB150" s="2"/>
      <c r="DC150" s="40" t="s">
        <v>813</v>
      </c>
      <c r="DE150" s="268"/>
      <c r="DF150" s="268"/>
      <c r="DG150" s="268"/>
      <c r="DH150" s="268"/>
      <c r="DI150" s="268"/>
      <c r="DJ150" s="268"/>
      <c r="DK150" s="268"/>
      <c r="DL150" s="268"/>
      <c r="DM150" s="268"/>
      <c r="DN150" s="268"/>
      <c r="DO150" s="268"/>
      <c r="DP150" s="268"/>
      <c r="DQ150" s="268"/>
      <c r="DR150" s="268"/>
      <c r="DS150" s="268"/>
      <c r="DT150" s="268"/>
      <c r="DU150" s="268"/>
      <c r="DV150" s="268"/>
      <c r="DW150" s="268"/>
      <c r="DX150" s="268"/>
      <c r="DY150" s="268"/>
      <c r="DZ150" s="268"/>
      <c r="EA150" s="268"/>
      <c r="EB150" s="268"/>
    </row>
    <row r="151" spans="1:132" x14ac:dyDescent="0.25">
      <c r="A151" s="2" t="s">
        <v>1235</v>
      </c>
      <c r="B151" s="14" t="s">
        <v>1236</v>
      </c>
      <c r="C151" s="168">
        <f>'Calcul éco'!C19</f>
        <v>0</v>
      </c>
      <c r="D151" s="260">
        <f t="shared" si="50"/>
        <v>0</v>
      </c>
      <c r="F151" s="14" t="s">
        <v>1237</v>
      </c>
      <c r="G151">
        <f>IF(Troupeau!B$3="BV",'Calcul éco'!B13,0)</f>
        <v>3</v>
      </c>
      <c r="AT151" s="182" t="str">
        <f t="shared" ref="AT151:AT154" si="73">AT87</f>
        <v xml:space="preserve">Vaches </v>
      </c>
      <c r="AV151" s="168">
        <f t="shared" ref="AV151:BS156" si="74">IF(AV98&gt;1,AV64,0)</f>
        <v>43.172649572649568</v>
      </c>
      <c r="AW151" s="168">
        <f t="shared" si="74"/>
        <v>43.172649572649568</v>
      </c>
      <c r="AX151" s="168">
        <f t="shared" si="74"/>
        <v>43.172649572649568</v>
      </c>
      <c r="AY151" s="168">
        <f t="shared" si="74"/>
        <v>43.172649572649568</v>
      </c>
      <c r="AZ151" s="168">
        <f t="shared" si="74"/>
        <v>0</v>
      </c>
      <c r="BA151" s="168">
        <f t="shared" si="74"/>
        <v>0</v>
      </c>
      <c r="BB151" s="168">
        <f t="shared" si="74"/>
        <v>0</v>
      </c>
      <c r="BC151" s="168">
        <f t="shared" si="74"/>
        <v>0</v>
      </c>
      <c r="BD151" s="168">
        <f t="shared" si="74"/>
        <v>0</v>
      </c>
      <c r="BE151" s="168">
        <f t="shared" si="74"/>
        <v>0</v>
      </c>
      <c r="BF151" s="168">
        <f t="shared" si="74"/>
        <v>0</v>
      </c>
      <c r="BG151" s="168">
        <f t="shared" si="74"/>
        <v>0</v>
      </c>
      <c r="BH151" s="168">
        <f t="shared" si="74"/>
        <v>0</v>
      </c>
      <c r="BI151" s="168">
        <f t="shared" si="74"/>
        <v>0</v>
      </c>
      <c r="BJ151" s="168">
        <f t="shared" si="74"/>
        <v>0</v>
      </c>
      <c r="BK151" s="168">
        <f t="shared" si="74"/>
        <v>0</v>
      </c>
      <c r="BL151" s="168">
        <f t="shared" si="74"/>
        <v>0</v>
      </c>
      <c r="BM151" s="168">
        <f t="shared" si="74"/>
        <v>0</v>
      </c>
      <c r="BN151" s="168">
        <f t="shared" si="74"/>
        <v>0</v>
      </c>
      <c r="BO151" s="168">
        <f t="shared" si="74"/>
        <v>0</v>
      </c>
      <c r="BP151" s="168">
        <f t="shared" si="74"/>
        <v>40.013675213675214</v>
      </c>
      <c r="BQ151" s="168">
        <f t="shared" si="74"/>
        <v>43.172649572649568</v>
      </c>
      <c r="BR151" s="168">
        <f t="shared" si="74"/>
        <v>43.172649572649568</v>
      </c>
      <c r="BS151" s="168">
        <f t="shared" si="74"/>
        <v>43.172649572649568</v>
      </c>
      <c r="BY151" s="2"/>
      <c r="BZ151" s="182" t="str">
        <f t="shared" ref="BZ151:BZ154" si="75">BZ87</f>
        <v>lot1</v>
      </c>
      <c r="CB151" s="168">
        <f t="shared" ref="CB151:CY156" si="76">IF(CB98&gt;1,CB64,0)</f>
        <v>0</v>
      </c>
      <c r="CC151" s="168">
        <f t="shared" si="76"/>
        <v>0</v>
      </c>
      <c r="CD151" s="168">
        <f t="shared" si="76"/>
        <v>0</v>
      </c>
      <c r="CE151" s="168">
        <f t="shared" si="76"/>
        <v>0</v>
      </c>
      <c r="CF151" s="168">
        <f t="shared" si="76"/>
        <v>0</v>
      </c>
      <c r="CG151" s="168">
        <f t="shared" si="76"/>
        <v>0</v>
      </c>
      <c r="CH151" s="168">
        <f t="shared" si="76"/>
        <v>0</v>
      </c>
      <c r="CI151" s="168">
        <f t="shared" si="76"/>
        <v>0</v>
      </c>
      <c r="CJ151" s="168">
        <f t="shared" si="76"/>
        <v>0</v>
      </c>
      <c r="CK151" s="168">
        <f t="shared" si="76"/>
        <v>0</v>
      </c>
      <c r="CL151" s="168">
        <f t="shared" si="76"/>
        <v>0</v>
      </c>
      <c r="CM151" s="168">
        <f t="shared" si="76"/>
        <v>0</v>
      </c>
      <c r="CN151" s="168">
        <f t="shared" si="76"/>
        <v>0</v>
      </c>
      <c r="CO151" s="168">
        <f t="shared" si="76"/>
        <v>0</v>
      </c>
      <c r="CP151" s="168">
        <f t="shared" si="76"/>
        <v>0</v>
      </c>
      <c r="CQ151" s="168">
        <f t="shared" si="76"/>
        <v>0</v>
      </c>
      <c r="CR151" s="168">
        <f t="shared" si="76"/>
        <v>0</v>
      </c>
      <c r="CS151" s="168">
        <f t="shared" si="76"/>
        <v>0</v>
      </c>
      <c r="CT151" s="168">
        <f t="shared" si="76"/>
        <v>0</v>
      </c>
      <c r="CU151" s="168">
        <f t="shared" si="76"/>
        <v>0</v>
      </c>
      <c r="CV151" s="168">
        <f t="shared" si="76"/>
        <v>0</v>
      </c>
      <c r="CW151" s="168">
        <f t="shared" si="76"/>
        <v>0</v>
      </c>
      <c r="CX151" s="168">
        <f t="shared" si="76"/>
        <v>0</v>
      </c>
      <c r="CY151" s="168">
        <f t="shared" si="76"/>
        <v>0</v>
      </c>
      <c r="DB151" s="2"/>
      <c r="DC151" s="182" t="str">
        <f t="shared" ref="DC151:DC154" si="77">DC87</f>
        <v>lot1</v>
      </c>
      <c r="DE151" s="168">
        <f t="shared" ref="DE151:EB156" si="78">IF(DE98&gt;1,DE64,0)</f>
        <v>0</v>
      </c>
      <c r="DF151" s="168">
        <f t="shared" si="78"/>
        <v>0</v>
      </c>
      <c r="DG151" s="168">
        <f t="shared" si="78"/>
        <v>0</v>
      </c>
      <c r="DH151" s="168">
        <f t="shared" si="78"/>
        <v>0</v>
      </c>
      <c r="DI151" s="168">
        <f t="shared" si="78"/>
        <v>0</v>
      </c>
      <c r="DJ151" s="168">
        <f t="shared" si="78"/>
        <v>0</v>
      </c>
      <c r="DK151" s="168">
        <f t="shared" si="78"/>
        <v>0</v>
      </c>
      <c r="DL151" s="168">
        <f t="shared" si="78"/>
        <v>0</v>
      </c>
      <c r="DM151" s="168">
        <f t="shared" si="78"/>
        <v>0</v>
      </c>
      <c r="DN151" s="168">
        <f t="shared" si="78"/>
        <v>0</v>
      </c>
      <c r="DO151" s="168">
        <f t="shared" si="78"/>
        <v>0</v>
      </c>
      <c r="DP151" s="168">
        <f t="shared" si="78"/>
        <v>0</v>
      </c>
      <c r="DQ151" s="168">
        <f t="shared" si="78"/>
        <v>0</v>
      </c>
      <c r="DR151" s="168">
        <f t="shared" si="78"/>
        <v>0</v>
      </c>
      <c r="DS151" s="168">
        <f t="shared" si="78"/>
        <v>0</v>
      </c>
      <c r="DT151" s="168">
        <f t="shared" si="78"/>
        <v>0</v>
      </c>
      <c r="DU151" s="168">
        <f t="shared" si="78"/>
        <v>0</v>
      </c>
      <c r="DV151" s="168">
        <f t="shared" si="78"/>
        <v>0</v>
      </c>
      <c r="DW151" s="168">
        <f t="shared" si="78"/>
        <v>0</v>
      </c>
      <c r="DX151" s="168">
        <f t="shared" si="78"/>
        <v>0</v>
      </c>
      <c r="DY151" s="168">
        <f t="shared" si="78"/>
        <v>0</v>
      </c>
      <c r="DZ151" s="168">
        <f t="shared" si="78"/>
        <v>0</v>
      </c>
      <c r="EA151" s="168">
        <f t="shared" si="78"/>
        <v>0</v>
      </c>
      <c r="EB151" s="168">
        <f t="shared" si="78"/>
        <v>0</v>
      </c>
    </row>
    <row r="152" spans="1:132" x14ac:dyDescent="0.25">
      <c r="B152" s="14" t="s">
        <v>1238</v>
      </c>
      <c r="C152" s="168">
        <f>'Calcul éco'!C20</f>
        <v>0</v>
      </c>
      <c r="D152" s="260">
        <f t="shared" si="50"/>
        <v>0</v>
      </c>
      <c r="F152" s="14" t="s">
        <v>1239</v>
      </c>
      <c r="G152">
        <f>IF(Troupeau!B$3="BV",'Calcul éco'!B14,0)</f>
        <v>3</v>
      </c>
      <c r="AT152" s="182" t="str">
        <f t="shared" si="73"/>
        <v>Génisses 24 mois</v>
      </c>
      <c r="AV152" s="168">
        <f t="shared" si="74"/>
        <v>12.635897435897435</v>
      </c>
      <c r="AW152" s="168">
        <f t="shared" si="74"/>
        <v>12.635897435897435</v>
      </c>
      <c r="AX152" s="168">
        <f t="shared" si="74"/>
        <v>12.635897435897435</v>
      </c>
      <c r="AY152" s="168">
        <f t="shared" si="74"/>
        <v>12.635897435897435</v>
      </c>
      <c r="AZ152" s="168">
        <f t="shared" si="74"/>
        <v>12.635897435897435</v>
      </c>
      <c r="BA152" s="168">
        <f t="shared" si="74"/>
        <v>12.635897435897435</v>
      </c>
      <c r="BB152" s="168">
        <f t="shared" si="74"/>
        <v>0</v>
      </c>
      <c r="BC152" s="168">
        <f t="shared" si="74"/>
        <v>0</v>
      </c>
      <c r="BD152" s="168">
        <f t="shared" si="74"/>
        <v>0</v>
      </c>
      <c r="BE152" s="168">
        <f t="shared" si="74"/>
        <v>0</v>
      </c>
      <c r="BF152" s="168">
        <f t="shared" si="74"/>
        <v>0</v>
      </c>
      <c r="BG152" s="168">
        <f t="shared" si="74"/>
        <v>0</v>
      </c>
      <c r="BH152" s="168">
        <f t="shared" si="74"/>
        <v>0</v>
      </c>
      <c r="BI152" s="168">
        <f t="shared" si="74"/>
        <v>0</v>
      </c>
      <c r="BJ152" s="168">
        <f t="shared" si="74"/>
        <v>0</v>
      </c>
      <c r="BK152" s="168">
        <f t="shared" si="74"/>
        <v>0</v>
      </c>
      <c r="BL152" s="168">
        <f t="shared" si="74"/>
        <v>0</v>
      </c>
      <c r="BM152" s="168">
        <f t="shared" si="74"/>
        <v>0</v>
      </c>
      <c r="BN152" s="168">
        <f t="shared" si="74"/>
        <v>0</v>
      </c>
      <c r="BO152" s="168">
        <f t="shared" si="74"/>
        <v>0</v>
      </c>
      <c r="BP152" s="168">
        <f t="shared" si="74"/>
        <v>12.635897435897435</v>
      </c>
      <c r="BQ152" s="168">
        <f t="shared" si="74"/>
        <v>12.635897435897435</v>
      </c>
      <c r="BR152" s="168">
        <f t="shared" si="74"/>
        <v>12.635897435897435</v>
      </c>
      <c r="BS152" s="168">
        <f t="shared" si="74"/>
        <v>12.635897435897435</v>
      </c>
      <c r="BY152" s="2"/>
      <c r="BZ152" s="182" t="str">
        <f t="shared" si="75"/>
        <v>lot2</v>
      </c>
      <c r="CB152" s="168">
        <f t="shared" si="76"/>
        <v>0</v>
      </c>
      <c r="CC152" s="168">
        <f t="shared" si="76"/>
        <v>0</v>
      </c>
      <c r="CD152" s="168">
        <f t="shared" si="76"/>
        <v>0</v>
      </c>
      <c r="CE152" s="168">
        <f t="shared" si="76"/>
        <v>0</v>
      </c>
      <c r="CF152" s="168">
        <f t="shared" si="76"/>
        <v>0</v>
      </c>
      <c r="CG152" s="168">
        <f t="shared" si="76"/>
        <v>0</v>
      </c>
      <c r="CH152" s="168">
        <f t="shared" si="76"/>
        <v>0</v>
      </c>
      <c r="CI152" s="168">
        <f t="shared" si="76"/>
        <v>0</v>
      </c>
      <c r="CJ152" s="168">
        <f t="shared" si="76"/>
        <v>0</v>
      </c>
      <c r="CK152" s="168">
        <f t="shared" si="76"/>
        <v>0</v>
      </c>
      <c r="CL152" s="168">
        <f t="shared" si="76"/>
        <v>0</v>
      </c>
      <c r="CM152" s="168">
        <f t="shared" si="76"/>
        <v>0</v>
      </c>
      <c r="CN152" s="168">
        <f t="shared" si="76"/>
        <v>0</v>
      </c>
      <c r="CO152" s="168">
        <f t="shared" si="76"/>
        <v>0</v>
      </c>
      <c r="CP152" s="168">
        <f t="shared" si="76"/>
        <v>0</v>
      </c>
      <c r="CQ152" s="168">
        <f t="shared" si="76"/>
        <v>0</v>
      </c>
      <c r="CR152" s="168">
        <f t="shared" si="76"/>
        <v>0</v>
      </c>
      <c r="CS152" s="168">
        <f t="shared" si="76"/>
        <v>0</v>
      </c>
      <c r="CT152" s="168">
        <f t="shared" si="76"/>
        <v>0</v>
      </c>
      <c r="CU152" s="168">
        <f t="shared" si="76"/>
        <v>0</v>
      </c>
      <c r="CV152" s="168">
        <f t="shared" si="76"/>
        <v>0</v>
      </c>
      <c r="CW152" s="168">
        <f t="shared" si="76"/>
        <v>0</v>
      </c>
      <c r="CX152" s="168">
        <f t="shared" si="76"/>
        <v>0</v>
      </c>
      <c r="CY152" s="168">
        <f t="shared" si="76"/>
        <v>0</v>
      </c>
      <c r="DB152" s="2"/>
      <c r="DC152" s="182" t="str">
        <f t="shared" si="77"/>
        <v>lot2</v>
      </c>
      <c r="DE152" s="168">
        <f t="shared" si="78"/>
        <v>0</v>
      </c>
      <c r="DF152" s="168">
        <f t="shared" si="78"/>
        <v>0</v>
      </c>
      <c r="DG152" s="168">
        <f t="shared" si="78"/>
        <v>0</v>
      </c>
      <c r="DH152" s="168">
        <f t="shared" si="78"/>
        <v>0</v>
      </c>
      <c r="DI152" s="168">
        <f t="shared" si="78"/>
        <v>0</v>
      </c>
      <c r="DJ152" s="168">
        <f t="shared" si="78"/>
        <v>0</v>
      </c>
      <c r="DK152" s="168">
        <f t="shared" si="78"/>
        <v>0</v>
      </c>
      <c r="DL152" s="168">
        <f t="shared" si="78"/>
        <v>0</v>
      </c>
      <c r="DM152" s="168">
        <f t="shared" si="78"/>
        <v>0</v>
      </c>
      <c r="DN152" s="168">
        <f t="shared" si="78"/>
        <v>0</v>
      </c>
      <c r="DO152" s="168">
        <f t="shared" si="78"/>
        <v>0</v>
      </c>
      <c r="DP152" s="168">
        <f t="shared" si="78"/>
        <v>0</v>
      </c>
      <c r="DQ152" s="168">
        <f t="shared" si="78"/>
        <v>0</v>
      </c>
      <c r="DR152" s="168">
        <f t="shared" si="78"/>
        <v>0</v>
      </c>
      <c r="DS152" s="168">
        <f t="shared" si="78"/>
        <v>0</v>
      </c>
      <c r="DT152" s="168">
        <f t="shared" si="78"/>
        <v>0</v>
      </c>
      <c r="DU152" s="168">
        <f t="shared" si="78"/>
        <v>0</v>
      </c>
      <c r="DV152" s="168">
        <f t="shared" si="78"/>
        <v>0</v>
      </c>
      <c r="DW152" s="168">
        <f t="shared" si="78"/>
        <v>0</v>
      </c>
      <c r="DX152" s="168">
        <f t="shared" si="78"/>
        <v>0</v>
      </c>
      <c r="DY152" s="168">
        <f t="shared" si="78"/>
        <v>0</v>
      </c>
      <c r="DZ152" s="168">
        <f t="shared" si="78"/>
        <v>0</v>
      </c>
      <c r="EA152" s="168">
        <f t="shared" si="78"/>
        <v>0</v>
      </c>
      <c r="EB152" s="168">
        <f t="shared" si="78"/>
        <v>0</v>
      </c>
    </row>
    <row r="153" spans="1:132" x14ac:dyDescent="0.25">
      <c r="B153" s="14" t="s">
        <v>1240</v>
      </c>
      <c r="C153" s="168">
        <f>'Calcul éco'!C21</f>
        <v>0</v>
      </c>
      <c r="D153" s="260">
        <f t="shared" si="50"/>
        <v>0</v>
      </c>
      <c r="F153" s="14" t="s">
        <v>1241</v>
      </c>
      <c r="G153">
        <f>IF(Troupeau!C$3="BV",'Calcul éco'!C13,0)</f>
        <v>0</v>
      </c>
      <c r="AT153" s="182" t="str">
        <f t="shared" si="73"/>
        <v>Génisses jeunes</v>
      </c>
      <c r="AV153" s="168">
        <f t="shared" si="74"/>
        <v>12.635897435897435</v>
      </c>
      <c r="AW153" s="168">
        <f t="shared" si="74"/>
        <v>12.635897435897435</v>
      </c>
      <c r="AX153" s="168">
        <f t="shared" si="74"/>
        <v>12.635897435897435</v>
      </c>
      <c r="AY153" s="168">
        <f t="shared" si="74"/>
        <v>12.635897435897435</v>
      </c>
      <c r="AZ153" s="168">
        <f t="shared" si="74"/>
        <v>12.635897435897435</v>
      </c>
      <c r="BA153" s="168">
        <f t="shared" si="74"/>
        <v>12.635897435897435</v>
      </c>
      <c r="BB153" s="168">
        <f t="shared" si="74"/>
        <v>12.635897435897435</v>
      </c>
      <c r="BC153" s="168">
        <f t="shared" si="74"/>
        <v>12.635897435897435</v>
      </c>
      <c r="BD153" s="168">
        <f t="shared" si="74"/>
        <v>12.635897435897435</v>
      </c>
      <c r="BE153" s="168">
        <f t="shared" si="74"/>
        <v>12.635897435897435</v>
      </c>
      <c r="BF153" s="168">
        <f t="shared" si="74"/>
        <v>12.635897435897435</v>
      </c>
      <c r="BG153" s="168">
        <f t="shared" si="74"/>
        <v>12.635897435897435</v>
      </c>
      <c r="BH153" s="168">
        <f t="shared" si="74"/>
        <v>12.635897435897435</v>
      </c>
      <c r="BI153" s="168">
        <f t="shared" si="74"/>
        <v>12.635897435897435</v>
      </c>
      <c r="BJ153" s="168">
        <f t="shared" si="74"/>
        <v>12.635897435897435</v>
      </c>
      <c r="BK153" s="168">
        <f t="shared" si="74"/>
        <v>12.635897435897435</v>
      </c>
      <c r="BL153" s="168">
        <f t="shared" si="74"/>
        <v>12.635897435897435</v>
      </c>
      <c r="BM153" s="168">
        <f t="shared" si="74"/>
        <v>12.635897435897435</v>
      </c>
      <c r="BN153" s="168">
        <f t="shared" si="74"/>
        <v>12.635897435897435</v>
      </c>
      <c r="BO153" s="168">
        <f t="shared" si="74"/>
        <v>12.635897435897435</v>
      </c>
      <c r="BP153" s="168">
        <f t="shared" si="74"/>
        <v>12.635897435897435</v>
      </c>
      <c r="BQ153" s="168">
        <f t="shared" si="74"/>
        <v>12.635897435897435</v>
      </c>
      <c r="BR153" s="168">
        <f t="shared" si="74"/>
        <v>12.635897435897435</v>
      </c>
      <c r="BS153" s="168">
        <f t="shared" si="74"/>
        <v>12.635897435897435</v>
      </c>
      <c r="BY153" s="2"/>
      <c r="BZ153" s="182" t="str">
        <f t="shared" si="75"/>
        <v>lot3</v>
      </c>
      <c r="CB153" s="168">
        <f t="shared" si="76"/>
        <v>0</v>
      </c>
      <c r="CC153" s="168">
        <f t="shared" si="76"/>
        <v>0</v>
      </c>
      <c r="CD153" s="168">
        <f t="shared" si="76"/>
        <v>0</v>
      </c>
      <c r="CE153" s="168">
        <f t="shared" si="76"/>
        <v>0</v>
      </c>
      <c r="CF153" s="168">
        <f t="shared" si="76"/>
        <v>0</v>
      </c>
      <c r="CG153" s="168">
        <f t="shared" si="76"/>
        <v>0</v>
      </c>
      <c r="CH153" s="168">
        <f t="shared" si="76"/>
        <v>0</v>
      </c>
      <c r="CI153" s="168">
        <f t="shared" si="76"/>
        <v>0</v>
      </c>
      <c r="CJ153" s="168">
        <f t="shared" si="76"/>
        <v>0</v>
      </c>
      <c r="CK153" s="168">
        <f t="shared" si="76"/>
        <v>0</v>
      </c>
      <c r="CL153" s="168">
        <f t="shared" si="76"/>
        <v>0</v>
      </c>
      <c r="CM153" s="168">
        <f t="shared" si="76"/>
        <v>0</v>
      </c>
      <c r="CN153" s="168">
        <f t="shared" si="76"/>
        <v>0</v>
      </c>
      <c r="CO153" s="168">
        <f t="shared" si="76"/>
        <v>0</v>
      </c>
      <c r="CP153" s="168">
        <f t="shared" si="76"/>
        <v>0</v>
      </c>
      <c r="CQ153" s="168">
        <f t="shared" si="76"/>
        <v>0</v>
      </c>
      <c r="CR153" s="168">
        <f t="shared" si="76"/>
        <v>0</v>
      </c>
      <c r="CS153" s="168">
        <f t="shared" si="76"/>
        <v>0</v>
      </c>
      <c r="CT153" s="168">
        <f t="shared" si="76"/>
        <v>0</v>
      </c>
      <c r="CU153" s="168">
        <f t="shared" si="76"/>
        <v>0</v>
      </c>
      <c r="CV153" s="168">
        <f t="shared" si="76"/>
        <v>0</v>
      </c>
      <c r="CW153" s="168">
        <f t="shared" si="76"/>
        <v>0</v>
      </c>
      <c r="CX153" s="168">
        <f t="shared" si="76"/>
        <v>0</v>
      </c>
      <c r="CY153" s="168">
        <f t="shared" si="76"/>
        <v>0</v>
      </c>
      <c r="DB153" s="2"/>
      <c r="DC153" s="182" t="str">
        <f t="shared" si="77"/>
        <v>lot3</v>
      </c>
      <c r="DE153" s="168">
        <f t="shared" si="78"/>
        <v>0</v>
      </c>
      <c r="DF153" s="168">
        <f t="shared" si="78"/>
        <v>0</v>
      </c>
      <c r="DG153" s="168">
        <f t="shared" si="78"/>
        <v>0</v>
      </c>
      <c r="DH153" s="168">
        <f t="shared" si="78"/>
        <v>0</v>
      </c>
      <c r="DI153" s="168">
        <f t="shared" si="78"/>
        <v>0</v>
      </c>
      <c r="DJ153" s="168">
        <f t="shared" si="78"/>
        <v>0</v>
      </c>
      <c r="DK153" s="168">
        <f t="shared" si="78"/>
        <v>0</v>
      </c>
      <c r="DL153" s="168">
        <f t="shared" si="78"/>
        <v>0</v>
      </c>
      <c r="DM153" s="168">
        <f t="shared" si="78"/>
        <v>0</v>
      </c>
      <c r="DN153" s="168">
        <f t="shared" si="78"/>
        <v>0</v>
      </c>
      <c r="DO153" s="168">
        <f t="shared" si="78"/>
        <v>0</v>
      </c>
      <c r="DP153" s="168">
        <f t="shared" si="78"/>
        <v>0</v>
      </c>
      <c r="DQ153" s="168">
        <f t="shared" si="78"/>
        <v>0</v>
      </c>
      <c r="DR153" s="168">
        <f t="shared" si="78"/>
        <v>0</v>
      </c>
      <c r="DS153" s="168">
        <f t="shared" si="78"/>
        <v>0</v>
      </c>
      <c r="DT153" s="168">
        <f t="shared" si="78"/>
        <v>0</v>
      </c>
      <c r="DU153" s="168">
        <f t="shared" si="78"/>
        <v>0</v>
      </c>
      <c r="DV153" s="168">
        <f t="shared" si="78"/>
        <v>0</v>
      </c>
      <c r="DW153" s="168">
        <f t="shared" si="78"/>
        <v>0</v>
      </c>
      <c r="DX153" s="168">
        <f t="shared" si="78"/>
        <v>0</v>
      </c>
      <c r="DY153" s="168">
        <f t="shared" si="78"/>
        <v>0</v>
      </c>
      <c r="DZ153" s="168">
        <f t="shared" si="78"/>
        <v>0</v>
      </c>
      <c r="EA153" s="168">
        <f t="shared" si="78"/>
        <v>0</v>
      </c>
      <c r="EB153" s="168">
        <f t="shared" si="78"/>
        <v>0</v>
      </c>
    </row>
    <row r="154" spans="1:132" x14ac:dyDescent="0.25">
      <c r="B154" s="14" t="s">
        <v>1242</v>
      </c>
      <c r="C154" s="168">
        <f>'Calcul éco'!D19</f>
        <v>0</v>
      </c>
      <c r="D154" s="260">
        <f t="shared" si="50"/>
        <v>0</v>
      </c>
      <c r="F154" s="14" t="s">
        <v>1243</v>
      </c>
      <c r="G154">
        <f>IF(Troupeau!C$3="BV",'Calcul éco'!C14,0)</f>
        <v>0</v>
      </c>
      <c r="AT154" s="182" t="str">
        <f t="shared" si="73"/>
        <v>broutards</v>
      </c>
      <c r="AV154" s="168">
        <f t="shared" si="74"/>
        <v>43.172649572649568</v>
      </c>
      <c r="AW154" s="168">
        <f t="shared" si="74"/>
        <v>43.172649572649568</v>
      </c>
      <c r="AX154" s="168">
        <f t="shared" si="74"/>
        <v>43.172649572649568</v>
      </c>
      <c r="AY154" s="168">
        <f t="shared" si="74"/>
        <v>43.172649572649568</v>
      </c>
      <c r="AZ154" s="168">
        <f t="shared" si="74"/>
        <v>43.172649572649568</v>
      </c>
      <c r="BA154" s="168">
        <f t="shared" si="74"/>
        <v>43.172649572649568</v>
      </c>
      <c r="BB154" s="168">
        <f t="shared" si="74"/>
        <v>0</v>
      </c>
      <c r="BC154" s="168">
        <f t="shared" si="74"/>
        <v>0</v>
      </c>
      <c r="BD154" s="168">
        <f t="shared" si="74"/>
        <v>0</v>
      </c>
      <c r="BE154" s="168">
        <f t="shared" si="74"/>
        <v>0</v>
      </c>
      <c r="BF154" s="168">
        <f t="shared" si="74"/>
        <v>0</v>
      </c>
      <c r="BG154" s="168">
        <f t="shared" si="74"/>
        <v>0</v>
      </c>
      <c r="BH154" s="168">
        <f t="shared" si="74"/>
        <v>0</v>
      </c>
      <c r="BI154" s="168">
        <f t="shared" si="74"/>
        <v>0</v>
      </c>
      <c r="BJ154" s="168">
        <f t="shared" si="74"/>
        <v>0</v>
      </c>
      <c r="BK154" s="168">
        <f t="shared" si="74"/>
        <v>0</v>
      </c>
      <c r="BL154" s="168">
        <f t="shared" si="74"/>
        <v>0</v>
      </c>
      <c r="BM154" s="168">
        <f t="shared" si="74"/>
        <v>0</v>
      </c>
      <c r="BN154" s="168">
        <f t="shared" si="74"/>
        <v>0</v>
      </c>
      <c r="BO154" s="168">
        <f t="shared" si="74"/>
        <v>38.960683760683764</v>
      </c>
      <c r="BP154" s="168">
        <f t="shared" si="74"/>
        <v>40.013675213675214</v>
      </c>
      <c r="BQ154" s="168">
        <f t="shared" si="74"/>
        <v>43.172649572649568</v>
      </c>
      <c r="BR154" s="168">
        <f t="shared" si="74"/>
        <v>43.172649572649568</v>
      </c>
      <c r="BS154" s="168">
        <f t="shared" si="74"/>
        <v>43.172649572649568</v>
      </c>
      <c r="BY154" s="2"/>
      <c r="BZ154" s="182" t="str">
        <f t="shared" si="75"/>
        <v>lot4</v>
      </c>
      <c r="CB154" s="168">
        <f t="shared" si="76"/>
        <v>0</v>
      </c>
      <c r="CC154" s="168">
        <f t="shared" si="76"/>
        <v>0</v>
      </c>
      <c r="CD154" s="168">
        <f t="shared" si="76"/>
        <v>0</v>
      </c>
      <c r="CE154" s="168">
        <f t="shared" si="76"/>
        <v>0</v>
      </c>
      <c r="CF154" s="168">
        <f t="shared" si="76"/>
        <v>0</v>
      </c>
      <c r="CG154" s="168">
        <f t="shared" si="76"/>
        <v>0</v>
      </c>
      <c r="CH154" s="168">
        <f t="shared" si="76"/>
        <v>0</v>
      </c>
      <c r="CI154" s="168">
        <f t="shared" si="76"/>
        <v>0</v>
      </c>
      <c r="CJ154" s="168">
        <f t="shared" si="76"/>
        <v>0</v>
      </c>
      <c r="CK154" s="168">
        <f t="shared" si="76"/>
        <v>0</v>
      </c>
      <c r="CL154" s="168">
        <f t="shared" si="76"/>
        <v>0</v>
      </c>
      <c r="CM154" s="168">
        <f t="shared" si="76"/>
        <v>0</v>
      </c>
      <c r="CN154" s="168">
        <f t="shared" si="76"/>
        <v>0</v>
      </c>
      <c r="CO154" s="168">
        <f t="shared" si="76"/>
        <v>0</v>
      </c>
      <c r="CP154" s="168">
        <f t="shared" si="76"/>
        <v>0</v>
      </c>
      <c r="CQ154" s="168">
        <f t="shared" si="76"/>
        <v>0</v>
      </c>
      <c r="CR154" s="168">
        <f t="shared" si="76"/>
        <v>0</v>
      </c>
      <c r="CS154" s="168">
        <f t="shared" si="76"/>
        <v>0</v>
      </c>
      <c r="CT154" s="168">
        <f t="shared" si="76"/>
        <v>0</v>
      </c>
      <c r="CU154" s="168">
        <f t="shared" si="76"/>
        <v>0</v>
      </c>
      <c r="CV154" s="168">
        <f t="shared" si="76"/>
        <v>0</v>
      </c>
      <c r="CW154" s="168">
        <f t="shared" si="76"/>
        <v>0</v>
      </c>
      <c r="CX154" s="168">
        <f t="shared" si="76"/>
        <v>0</v>
      </c>
      <c r="CY154" s="168">
        <f t="shared" si="76"/>
        <v>0</v>
      </c>
      <c r="DB154" s="2"/>
      <c r="DC154" s="182" t="str">
        <f t="shared" si="77"/>
        <v>lot4</v>
      </c>
      <c r="DE154" s="168">
        <f t="shared" si="78"/>
        <v>0</v>
      </c>
      <c r="DF154" s="168">
        <f t="shared" si="78"/>
        <v>0</v>
      </c>
      <c r="DG154" s="168">
        <f t="shared" si="78"/>
        <v>0</v>
      </c>
      <c r="DH154" s="168">
        <f t="shared" si="78"/>
        <v>0</v>
      </c>
      <c r="DI154" s="168">
        <f t="shared" si="78"/>
        <v>0</v>
      </c>
      <c r="DJ154" s="168">
        <f t="shared" si="78"/>
        <v>0</v>
      </c>
      <c r="DK154" s="168">
        <f t="shared" si="78"/>
        <v>0</v>
      </c>
      <c r="DL154" s="168">
        <f t="shared" si="78"/>
        <v>0</v>
      </c>
      <c r="DM154" s="168">
        <f t="shared" si="78"/>
        <v>0</v>
      </c>
      <c r="DN154" s="168">
        <f t="shared" si="78"/>
        <v>0</v>
      </c>
      <c r="DO154" s="168">
        <f t="shared" si="78"/>
        <v>0</v>
      </c>
      <c r="DP154" s="168">
        <f t="shared" si="78"/>
        <v>0</v>
      </c>
      <c r="DQ154" s="168">
        <f t="shared" si="78"/>
        <v>0</v>
      </c>
      <c r="DR154" s="168">
        <f t="shared" si="78"/>
        <v>0</v>
      </c>
      <c r="DS154" s="168">
        <f t="shared" si="78"/>
        <v>0</v>
      </c>
      <c r="DT154" s="168">
        <f t="shared" si="78"/>
        <v>0</v>
      </c>
      <c r="DU154" s="168">
        <f t="shared" si="78"/>
        <v>0</v>
      </c>
      <c r="DV154" s="168">
        <f t="shared" si="78"/>
        <v>0</v>
      </c>
      <c r="DW154" s="168">
        <f t="shared" si="78"/>
        <v>0</v>
      </c>
      <c r="DX154" s="168">
        <f t="shared" si="78"/>
        <v>0</v>
      </c>
      <c r="DY154" s="168">
        <f t="shared" si="78"/>
        <v>0</v>
      </c>
      <c r="DZ154" s="168">
        <f t="shared" si="78"/>
        <v>0</v>
      </c>
      <c r="EA154" s="168">
        <f t="shared" si="78"/>
        <v>0</v>
      </c>
      <c r="EB154" s="168">
        <f t="shared" si="78"/>
        <v>0</v>
      </c>
    </row>
    <row r="155" spans="1:132" x14ac:dyDescent="0.25">
      <c r="B155" s="14" t="s">
        <v>1244</v>
      </c>
      <c r="C155" s="168">
        <f>'Calcul éco'!D20</f>
        <v>0</v>
      </c>
      <c r="D155" s="260">
        <f t="shared" si="50"/>
        <v>0</v>
      </c>
      <c r="F155" s="14" t="s">
        <v>1245</v>
      </c>
      <c r="G155">
        <f>IF(Troupeau!B$3="BV",('Calcul éco'!B$11+'Calcul éco'!B$12),0)</f>
        <v>0</v>
      </c>
      <c r="AT155" s="182" t="str">
        <f>AT91</f>
        <v>génisses &lt; 1 an</v>
      </c>
      <c r="AV155" s="168">
        <f t="shared" si="74"/>
        <v>0</v>
      </c>
      <c r="AW155" s="168">
        <f t="shared" si="74"/>
        <v>0</v>
      </c>
      <c r="AX155" s="168">
        <f t="shared" si="74"/>
        <v>2.1059829059829056</v>
      </c>
      <c r="AY155" s="168">
        <f t="shared" si="74"/>
        <v>3.1589743589743593</v>
      </c>
      <c r="AZ155" s="168">
        <f t="shared" si="74"/>
        <v>5.2649572649572649</v>
      </c>
      <c r="BA155" s="168">
        <f t="shared" si="74"/>
        <v>8.4239316239316242</v>
      </c>
      <c r="BB155" s="168">
        <f t="shared" si="74"/>
        <v>9.4769230769230788</v>
      </c>
      <c r="BC155" s="168">
        <f t="shared" si="74"/>
        <v>11.582905982905981</v>
      </c>
      <c r="BD155" s="168">
        <f t="shared" si="74"/>
        <v>12.635897435897435</v>
      </c>
      <c r="BE155" s="168">
        <f t="shared" si="74"/>
        <v>12.635897435897435</v>
      </c>
      <c r="BF155" s="168">
        <f t="shared" si="74"/>
        <v>12.635897435897435</v>
      </c>
      <c r="BG155" s="168">
        <f t="shared" si="74"/>
        <v>12.635897435897435</v>
      </c>
      <c r="BH155" s="168">
        <f t="shared" si="74"/>
        <v>12.635897435897435</v>
      </c>
      <c r="BI155" s="168">
        <f t="shared" si="74"/>
        <v>12.635897435897435</v>
      </c>
      <c r="BJ155" s="168">
        <f t="shared" si="74"/>
        <v>12.635897435897435</v>
      </c>
      <c r="BK155" s="168">
        <f t="shared" si="74"/>
        <v>12.635897435897435</v>
      </c>
      <c r="BL155" s="168">
        <f t="shared" si="74"/>
        <v>12.635897435897435</v>
      </c>
      <c r="BM155" s="168">
        <f t="shared" si="74"/>
        <v>12.635897435897435</v>
      </c>
      <c r="BN155" s="168">
        <f t="shared" si="74"/>
        <v>9.4769230769230788</v>
      </c>
      <c r="BO155" s="168">
        <f t="shared" si="74"/>
        <v>6.3179487179487186</v>
      </c>
      <c r="BP155" s="168">
        <f t="shared" si="74"/>
        <v>3.1589743589743593</v>
      </c>
      <c r="BQ155" s="168">
        <f t="shared" si="74"/>
        <v>0</v>
      </c>
      <c r="BR155" s="168">
        <f t="shared" si="74"/>
        <v>0</v>
      </c>
      <c r="BS155" s="168">
        <f t="shared" si="74"/>
        <v>0</v>
      </c>
      <c r="BZ155" s="182" t="str">
        <f>BZ91</f>
        <v>lot5</v>
      </c>
      <c r="CB155" s="168">
        <f t="shared" si="76"/>
        <v>0</v>
      </c>
      <c r="CC155" s="168">
        <f t="shared" si="76"/>
        <v>0</v>
      </c>
      <c r="CD155" s="168">
        <f t="shared" si="76"/>
        <v>0</v>
      </c>
      <c r="CE155" s="168">
        <f t="shared" si="76"/>
        <v>0</v>
      </c>
      <c r="CF155" s="168">
        <f t="shared" si="76"/>
        <v>0</v>
      </c>
      <c r="CG155" s="168">
        <f t="shared" si="76"/>
        <v>0</v>
      </c>
      <c r="CH155" s="168">
        <f t="shared" si="76"/>
        <v>0</v>
      </c>
      <c r="CI155" s="168">
        <f t="shared" si="76"/>
        <v>0</v>
      </c>
      <c r="CJ155" s="168">
        <f t="shared" si="76"/>
        <v>0</v>
      </c>
      <c r="CK155" s="168">
        <f t="shared" si="76"/>
        <v>0</v>
      </c>
      <c r="CL155" s="168">
        <f t="shared" si="76"/>
        <v>0</v>
      </c>
      <c r="CM155" s="168">
        <f t="shared" si="76"/>
        <v>0</v>
      </c>
      <c r="CN155" s="168">
        <f t="shared" si="76"/>
        <v>0</v>
      </c>
      <c r="CO155" s="168">
        <f t="shared" si="76"/>
        <v>0</v>
      </c>
      <c r="CP155" s="168">
        <f t="shared" si="76"/>
        <v>0</v>
      </c>
      <c r="CQ155" s="168">
        <f t="shared" si="76"/>
        <v>0</v>
      </c>
      <c r="CR155" s="168">
        <f t="shared" si="76"/>
        <v>0</v>
      </c>
      <c r="CS155" s="168">
        <f t="shared" si="76"/>
        <v>0</v>
      </c>
      <c r="CT155" s="168">
        <f t="shared" si="76"/>
        <v>0</v>
      </c>
      <c r="CU155" s="168">
        <f t="shared" si="76"/>
        <v>0</v>
      </c>
      <c r="CV155" s="168">
        <f t="shared" si="76"/>
        <v>0</v>
      </c>
      <c r="CW155" s="168">
        <f t="shared" si="76"/>
        <v>0</v>
      </c>
      <c r="CX155" s="168">
        <f t="shared" si="76"/>
        <v>0</v>
      </c>
      <c r="CY155" s="168">
        <f t="shared" si="76"/>
        <v>0</v>
      </c>
      <c r="DC155" s="182" t="str">
        <f>DC91</f>
        <v>lot5</v>
      </c>
      <c r="DE155" s="168">
        <f t="shared" si="78"/>
        <v>0</v>
      </c>
      <c r="DF155" s="168">
        <f t="shared" si="78"/>
        <v>0</v>
      </c>
      <c r="DG155" s="168">
        <f t="shared" si="78"/>
        <v>0</v>
      </c>
      <c r="DH155" s="168">
        <f t="shared" si="78"/>
        <v>0</v>
      </c>
      <c r="DI155" s="168">
        <f t="shared" si="78"/>
        <v>0</v>
      </c>
      <c r="DJ155" s="168">
        <f t="shared" si="78"/>
        <v>0</v>
      </c>
      <c r="DK155" s="168">
        <f t="shared" si="78"/>
        <v>0</v>
      </c>
      <c r="DL155" s="168">
        <f t="shared" si="78"/>
        <v>0</v>
      </c>
      <c r="DM155" s="168">
        <f t="shared" si="78"/>
        <v>0</v>
      </c>
      <c r="DN155" s="168">
        <f t="shared" si="78"/>
        <v>0</v>
      </c>
      <c r="DO155" s="168">
        <f t="shared" si="78"/>
        <v>0</v>
      </c>
      <c r="DP155" s="168">
        <f t="shared" si="78"/>
        <v>0</v>
      </c>
      <c r="DQ155" s="168">
        <f t="shared" si="78"/>
        <v>0</v>
      </c>
      <c r="DR155" s="168">
        <f t="shared" si="78"/>
        <v>0</v>
      </c>
      <c r="DS155" s="168">
        <f t="shared" si="78"/>
        <v>0</v>
      </c>
      <c r="DT155" s="168">
        <f t="shared" si="78"/>
        <v>0</v>
      </c>
      <c r="DU155" s="168">
        <f t="shared" si="78"/>
        <v>0</v>
      </c>
      <c r="DV155" s="168">
        <f t="shared" si="78"/>
        <v>0</v>
      </c>
      <c r="DW155" s="168">
        <f t="shared" si="78"/>
        <v>0</v>
      </c>
      <c r="DX155" s="168">
        <f t="shared" si="78"/>
        <v>0</v>
      </c>
      <c r="DY155" s="168">
        <f t="shared" si="78"/>
        <v>0</v>
      </c>
      <c r="DZ155" s="168">
        <f t="shared" si="78"/>
        <v>0</v>
      </c>
      <c r="EA155" s="168">
        <f t="shared" si="78"/>
        <v>0</v>
      </c>
      <c r="EB155" s="168">
        <f t="shared" si="78"/>
        <v>0</v>
      </c>
    </row>
    <row r="156" spans="1:132" x14ac:dyDescent="0.25">
      <c r="B156" s="14" t="s">
        <v>1246</v>
      </c>
      <c r="C156" s="168">
        <f>'Calcul éco'!D21</f>
        <v>0</v>
      </c>
      <c r="D156" s="260">
        <f t="shared" si="50"/>
        <v>0</v>
      </c>
      <c r="F156" s="14" t="s">
        <v>1247</v>
      </c>
      <c r="G156">
        <f>IF(Troupeau!C$3="BV",('Calcul éco'!C$11+'Calcul éco'!C$12),0)</f>
        <v>0</v>
      </c>
      <c r="AT156" s="182" t="str">
        <f>AT92</f>
        <v>lot6</v>
      </c>
      <c r="AV156" s="168">
        <f t="shared" si="74"/>
        <v>0</v>
      </c>
      <c r="AW156" s="168">
        <f t="shared" si="74"/>
        <v>0</v>
      </c>
      <c r="AX156" s="168">
        <f t="shared" si="74"/>
        <v>0</v>
      </c>
      <c r="AY156" s="168">
        <f t="shared" si="74"/>
        <v>0</v>
      </c>
      <c r="AZ156" s="168">
        <f t="shared" si="74"/>
        <v>0</v>
      </c>
      <c r="BA156" s="168">
        <f t="shared" si="74"/>
        <v>0</v>
      </c>
      <c r="BB156" s="168">
        <f t="shared" si="74"/>
        <v>0</v>
      </c>
      <c r="BC156" s="168">
        <f t="shared" si="74"/>
        <v>0</v>
      </c>
      <c r="BD156" s="168">
        <f t="shared" si="74"/>
        <v>0</v>
      </c>
      <c r="BE156" s="168">
        <f t="shared" si="74"/>
        <v>0</v>
      </c>
      <c r="BF156" s="168">
        <f t="shared" si="74"/>
        <v>0</v>
      </c>
      <c r="BG156" s="168">
        <f t="shared" si="74"/>
        <v>0</v>
      </c>
      <c r="BH156" s="168">
        <f t="shared" si="74"/>
        <v>0</v>
      </c>
      <c r="BI156" s="168">
        <f t="shared" si="74"/>
        <v>0</v>
      </c>
      <c r="BJ156" s="168">
        <f t="shared" si="74"/>
        <v>0</v>
      </c>
      <c r="BK156" s="168">
        <f t="shared" si="74"/>
        <v>0</v>
      </c>
      <c r="BL156" s="168">
        <f t="shared" si="74"/>
        <v>0</v>
      </c>
      <c r="BM156" s="168">
        <f t="shared" si="74"/>
        <v>0</v>
      </c>
      <c r="BN156" s="168">
        <f t="shared" si="74"/>
        <v>0</v>
      </c>
      <c r="BO156" s="168">
        <f t="shared" si="74"/>
        <v>0</v>
      </c>
      <c r="BP156" s="168">
        <f t="shared" si="74"/>
        <v>0</v>
      </c>
      <c r="BQ156" s="168">
        <f t="shared" si="74"/>
        <v>0</v>
      </c>
      <c r="BR156" s="168">
        <f t="shared" si="74"/>
        <v>0</v>
      </c>
      <c r="BS156" s="168">
        <f t="shared" si="74"/>
        <v>0</v>
      </c>
      <c r="BZ156" s="182" t="str">
        <f>BZ92</f>
        <v>lot6</v>
      </c>
      <c r="CB156" s="168">
        <f t="shared" si="76"/>
        <v>0</v>
      </c>
      <c r="CC156" s="168">
        <f t="shared" si="76"/>
        <v>0</v>
      </c>
      <c r="CD156" s="168">
        <f t="shared" si="76"/>
        <v>0</v>
      </c>
      <c r="CE156" s="168">
        <f t="shared" si="76"/>
        <v>0</v>
      </c>
      <c r="CF156" s="168">
        <f t="shared" si="76"/>
        <v>0</v>
      </c>
      <c r="CG156" s="168">
        <f t="shared" si="76"/>
        <v>0</v>
      </c>
      <c r="CH156" s="168">
        <f t="shared" si="76"/>
        <v>0</v>
      </c>
      <c r="CI156" s="168">
        <f t="shared" si="76"/>
        <v>0</v>
      </c>
      <c r="CJ156" s="168">
        <f t="shared" si="76"/>
        <v>0</v>
      </c>
      <c r="CK156" s="168">
        <f t="shared" si="76"/>
        <v>0</v>
      </c>
      <c r="CL156" s="168">
        <f t="shared" si="76"/>
        <v>0</v>
      </c>
      <c r="CM156" s="168">
        <f t="shared" si="76"/>
        <v>0</v>
      </c>
      <c r="CN156" s="168">
        <f t="shared" si="76"/>
        <v>0</v>
      </c>
      <c r="CO156" s="168">
        <f t="shared" si="76"/>
        <v>0</v>
      </c>
      <c r="CP156" s="168">
        <f t="shared" si="76"/>
        <v>0</v>
      </c>
      <c r="CQ156" s="168">
        <f t="shared" si="76"/>
        <v>0</v>
      </c>
      <c r="CR156" s="168">
        <f t="shared" si="76"/>
        <v>0</v>
      </c>
      <c r="CS156" s="168">
        <f t="shared" si="76"/>
        <v>0</v>
      </c>
      <c r="CT156" s="168">
        <f t="shared" si="76"/>
        <v>0</v>
      </c>
      <c r="CU156" s="168">
        <f t="shared" si="76"/>
        <v>0</v>
      </c>
      <c r="CV156" s="168">
        <f t="shared" si="76"/>
        <v>0</v>
      </c>
      <c r="CW156" s="168">
        <f t="shared" si="76"/>
        <v>0</v>
      </c>
      <c r="CX156" s="168">
        <f t="shared" si="76"/>
        <v>0</v>
      </c>
      <c r="CY156" s="168">
        <f t="shared" si="76"/>
        <v>0</v>
      </c>
      <c r="DC156" s="182" t="str">
        <f>DC92</f>
        <v>lot6</v>
      </c>
      <c r="DE156" s="168">
        <f t="shared" si="78"/>
        <v>0</v>
      </c>
      <c r="DF156" s="168">
        <f t="shared" si="78"/>
        <v>0</v>
      </c>
      <c r="DG156" s="168">
        <f t="shared" si="78"/>
        <v>0</v>
      </c>
      <c r="DH156" s="168">
        <f t="shared" si="78"/>
        <v>0</v>
      </c>
      <c r="DI156" s="168">
        <f t="shared" si="78"/>
        <v>0</v>
      </c>
      <c r="DJ156" s="168">
        <f t="shared" si="78"/>
        <v>0</v>
      </c>
      <c r="DK156" s="168">
        <f t="shared" si="78"/>
        <v>0</v>
      </c>
      <c r="DL156" s="168">
        <f t="shared" si="78"/>
        <v>0</v>
      </c>
      <c r="DM156" s="168">
        <f t="shared" si="78"/>
        <v>0</v>
      </c>
      <c r="DN156" s="168">
        <f t="shared" si="78"/>
        <v>0</v>
      </c>
      <c r="DO156" s="168">
        <f t="shared" si="78"/>
        <v>0</v>
      </c>
      <c r="DP156" s="168">
        <f t="shared" si="78"/>
        <v>0</v>
      </c>
      <c r="DQ156" s="168">
        <f t="shared" si="78"/>
        <v>0</v>
      </c>
      <c r="DR156" s="168">
        <f t="shared" si="78"/>
        <v>0</v>
      </c>
      <c r="DS156" s="168">
        <f t="shared" si="78"/>
        <v>0</v>
      </c>
      <c r="DT156" s="168">
        <f t="shared" si="78"/>
        <v>0</v>
      </c>
      <c r="DU156" s="168">
        <f t="shared" si="78"/>
        <v>0</v>
      </c>
      <c r="DV156" s="168">
        <f t="shared" si="78"/>
        <v>0</v>
      </c>
      <c r="DW156" s="168">
        <f t="shared" si="78"/>
        <v>0</v>
      </c>
      <c r="DX156" s="168">
        <f t="shared" si="78"/>
        <v>0</v>
      </c>
      <c r="DY156" s="168">
        <f t="shared" si="78"/>
        <v>0</v>
      </c>
      <c r="DZ156" s="168">
        <f t="shared" si="78"/>
        <v>0</v>
      </c>
      <c r="EA156" s="168">
        <f t="shared" si="78"/>
        <v>0</v>
      </c>
      <c r="EB156" s="168">
        <f t="shared" si="78"/>
        <v>0</v>
      </c>
    </row>
    <row r="157" spans="1:132" x14ac:dyDescent="0.25">
      <c r="B157" s="14" t="s">
        <v>1248</v>
      </c>
      <c r="C157" s="168">
        <f>C151+C154</f>
        <v>0</v>
      </c>
      <c r="D157" s="260">
        <f t="shared" si="50"/>
        <v>0</v>
      </c>
      <c r="F157" s="14"/>
      <c r="AT157" s="182" t="str">
        <f>AT94</f>
        <v>lot8</v>
      </c>
      <c r="AV157" s="168">
        <f t="shared" ref="AV157:BS159" si="79">IF(AV105&gt;1,AV71,0)</f>
        <v>0</v>
      </c>
      <c r="AW157" s="168">
        <f t="shared" si="79"/>
        <v>0</v>
      </c>
      <c r="AX157" s="168">
        <f t="shared" si="79"/>
        <v>0</v>
      </c>
      <c r="AY157" s="168">
        <f t="shared" si="79"/>
        <v>0</v>
      </c>
      <c r="AZ157" s="168">
        <f t="shared" si="79"/>
        <v>0</v>
      </c>
      <c r="BA157" s="168">
        <f t="shared" si="79"/>
        <v>0</v>
      </c>
      <c r="BB157" s="168">
        <f t="shared" si="79"/>
        <v>0</v>
      </c>
      <c r="BC157" s="168">
        <f t="shared" si="79"/>
        <v>0</v>
      </c>
      <c r="BD157" s="168">
        <f t="shared" si="79"/>
        <v>0</v>
      </c>
      <c r="BE157" s="168">
        <f t="shared" si="79"/>
        <v>0</v>
      </c>
      <c r="BF157" s="168">
        <f t="shared" si="79"/>
        <v>0</v>
      </c>
      <c r="BG157" s="168">
        <f t="shared" si="79"/>
        <v>0</v>
      </c>
      <c r="BH157" s="168">
        <f t="shared" si="79"/>
        <v>0</v>
      </c>
      <c r="BI157" s="168">
        <f t="shared" si="79"/>
        <v>0</v>
      </c>
      <c r="BJ157" s="168">
        <f t="shared" si="79"/>
        <v>0</v>
      </c>
      <c r="BK157" s="168">
        <f t="shared" si="79"/>
        <v>0</v>
      </c>
      <c r="BL157" s="168">
        <f t="shared" si="79"/>
        <v>0</v>
      </c>
      <c r="BM157" s="168">
        <f t="shared" si="79"/>
        <v>0</v>
      </c>
      <c r="BN157" s="168">
        <f t="shared" si="79"/>
        <v>0</v>
      </c>
      <c r="BO157" s="168">
        <f t="shared" si="79"/>
        <v>0</v>
      </c>
      <c r="BP157" s="168">
        <f t="shared" si="79"/>
        <v>0</v>
      </c>
      <c r="BQ157" s="168">
        <f t="shared" si="79"/>
        <v>0</v>
      </c>
      <c r="BR157" s="168">
        <f t="shared" si="79"/>
        <v>0</v>
      </c>
      <c r="BS157" s="168">
        <f t="shared" si="79"/>
        <v>0</v>
      </c>
      <c r="BZ157" s="182" t="str">
        <f>BZ94</f>
        <v>lot8</v>
      </c>
      <c r="CB157" s="168">
        <f t="shared" ref="CB157:CY159" si="80">IF(CB105&gt;1,CB71,0)</f>
        <v>0</v>
      </c>
      <c r="CC157" s="168">
        <f t="shared" si="80"/>
        <v>0</v>
      </c>
      <c r="CD157" s="168">
        <f t="shared" si="80"/>
        <v>0</v>
      </c>
      <c r="CE157" s="168">
        <f t="shared" si="80"/>
        <v>0</v>
      </c>
      <c r="CF157" s="168">
        <f t="shared" si="80"/>
        <v>0</v>
      </c>
      <c r="CG157" s="168">
        <f t="shared" si="80"/>
        <v>0</v>
      </c>
      <c r="CH157" s="168">
        <f t="shared" si="80"/>
        <v>0</v>
      </c>
      <c r="CI157" s="168">
        <f t="shared" si="80"/>
        <v>0</v>
      </c>
      <c r="CJ157" s="168">
        <f t="shared" si="80"/>
        <v>0</v>
      </c>
      <c r="CK157" s="168">
        <f t="shared" si="80"/>
        <v>0</v>
      </c>
      <c r="CL157" s="168">
        <f t="shared" si="80"/>
        <v>0</v>
      </c>
      <c r="CM157" s="168">
        <f t="shared" si="80"/>
        <v>0</v>
      </c>
      <c r="CN157" s="168">
        <f t="shared" si="80"/>
        <v>0</v>
      </c>
      <c r="CO157" s="168">
        <f t="shared" si="80"/>
        <v>0</v>
      </c>
      <c r="CP157" s="168">
        <f t="shared" si="80"/>
        <v>0</v>
      </c>
      <c r="CQ157" s="168">
        <f t="shared" si="80"/>
        <v>0</v>
      </c>
      <c r="CR157" s="168">
        <f t="shared" si="80"/>
        <v>0</v>
      </c>
      <c r="CS157" s="168">
        <f t="shared" si="80"/>
        <v>0</v>
      </c>
      <c r="CT157" s="168">
        <f t="shared" si="80"/>
        <v>0</v>
      </c>
      <c r="CU157" s="168">
        <f t="shared" si="80"/>
        <v>0</v>
      </c>
      <c r="CV157" s="168">
        <f t="shared" si="80"/>
        <v>0</v>
      </c>
      <c r="CW157" s="168">
        <f t="shared" si="80"/>
        <v>0</v>
      </c>
      <c r="CX157" s="168">
        <f t="shared" si="80"/>
        <v>0</v>
      </c>
      <c r="CY157" s="168">
        <f t="shared" si="80"/>
        <v>0</v>
      </c>
      <c r="DC157" s="182" t="str">
        <f>DC94</f>
        <v>lot8</v>
      </c>
      <c r="DE157" s="168">
        <f t="shared" ref="DE157:EB159" si="81">IF(DE105&gt;1,DE71,0)</f>
        <v>0</v>
      </c>
      <c r="DF157" s="168">
        <f t="shared" si="81"/>
        <v>0</v>
      </c>
      <c r="DG157" s="168">
        <f t="shared" si="81"/>
        <v>0</v>
      </c>
      <c r="DH157" s="168">
        <f t="shared" si="81"/>
        <v>0</v>
      </c>
      <c r="DI157" s="168">
        <f t="shared" si="81"/>
        <v>0</v>
      </c>
      <c r="DJ157" s="168">
        <f t="shared" si="81"/>
        <v>0</v>
      </c>
      <c r="DK157" s="168">
        <f t="shared" si="81"/>
        <v>0</v>
      </c>
      <c r="DL157" s="168">
        <f t="shared" si="81"/>
        <v>0</v>
      </c>
      <c r="DM157" s="168">
        <f t="shared" si="81"/>
        <v>0</v>
      </c>
      <c r="DN157" s="168">
        <f t="shared" si="81"/>
        <v>0</v>
      </c>
      <c r="DO157" s="168">
        <f t="shared" si="81"/>
        <v>0</v>
      </c>
      <c r="DP157" s="168">
        <f t="shared" si="81"/>
        <v>0</v>
      </c>
      <c r="DQ157" s="168">
        <f t="shared" si="81"/>
        <v>0</v>
      </c>
      <c r="DR157" s="168">
        <f t="shared" si="81"/>
        <v>0</v>
      </c>
      <c r="DS157" s="168">
        <f t="shared" si="81"/>
        <v>0</v>
      </c>
      <c r="DT157" s="168">
        <f t="shared" si="81"/>
        <v>0</v>
      </c>
      <c r="DU157" s="168">
        <f t="shared" si="81"/>
        <v>0</v>
      </c>
      <c r="DV157" s="168">
        <f t="shared" si="81"/>
        <v>0</v>
      </c>
      <c r="DW157" s="168">
        <f t="shared" si="81"/>
        <v>0</v>
      </c>
      <c r="DX157" s="168">
        <f t="shared" si="81"/>
        <v>0</v>
      </c>
      <c r="DY157" s="168">
        <f t="shared" si="81"/>
        <v>0</v>
      </c>
      <c r="DZ157" s="168">
        <f t="shared" si="81"/>
        <v>0</v>
      </c>
      <c r="EA157" s="168">
        <f t="shared" si="81"/>
        <v>0</v>
      </c>
      <c r="EB157" s="168">
        <f t="shared" si="81"/>
        <v>0</v>
      </c>
    </row>
    <row r="158" spans="1:132" x14ac:dyDescent="0.25">
      <c r="B158" s="14" t="s">
        <v>1249</v>
      </c>
      <c r="C158" s="168">
        <f t="shared" ref="C158:C159" si="82">C152+C155</f>
        <v>0</v>
      </c>
      <c r="D158" s="260">
        <f t="shared" si="50"/>
        <v>0</v>
      </c>
      <c r="AT158" s="182" t="str">
        <f>AT95</f>
        <v>lot9</v>
      </c>
      <c r="AV158" s="168">
        <f t="shared" si="79"/>
        <v>0</v>
      </c>
      <c r="AW158" s="168">
        <f t="shared" si="79"/>
        <v>0</v>
      </c>
      <c r="AX158" s="168">
        <f t="shared" si="79"/>
        <v>0</v>
      </c>
      <c r="AY158" s="168">
        <f t="shared" si="79"/>
        <v>0</v>
      </c>
      <c r="AZ158" s="168">
        <f t="shared" si="79"/>
        <v>0</v>
      </c>
      <c r="BA158" s="168">
        <f t="shared" si="79"/>
        <v>0</v>
      </c>
      <c r="BB158" s="168">
        <f t="shared" si="79"/>
        <v>0</v>
      </c>
      <c r="BC158" s="168">
        <f t="shared" si="79"/>
        <v>0</v>
      </c>
      <c r="BD158" s="168">
        <f t="shared" si="79"/>
        <v>0</v>
      </c>
      <c r="BE158" s="168">
        <f t="shared" si="79"/>
        <v>0</v>
      </c>
      <c r="BF158" s="168">
        <f t="shared" si="79"/>
        <v>0</v>
      </c>
      <c r="BG158" s="168">
        <f t="shared" si="79"/>
        <v>0</v>
      </c>
      <c r="BH158" s="168">
        <f t="shared" si="79"/>
        <v>0</v>
      </c>
      <c r="BI158" s="168">
        <f t="shared" si="79"/>
        <v>0</v>
      </c>
      <c r="BJ158" s="168">
        <f t="shared" si="79"/>
        <v>0</v>
      </c>
      <c r="BK158" s="168">
        <f t="shared" si="79"/>
        <v>0</v>
      </c>
      <c r="BL158" s="168">
        <f t="shared" si="79"/>
        <v>0</v>
      </c>
      <c r="BM158" s="168">
        <f t="shared" si="79"/>
        <v>0</v>
      </c>
      <c r="BN158" s="168">
        <f t="shared" si="79"/>
        <v>0</v>
      </c>
      <c r="BO158" s="168">
        <f t="shared" si="79"/>
        <v>0</v>
      </c>
      <c r="BP158" s="168">
        <f t="shared" si="79"/>
        <v>0</v>
      </c>
      <c r="BQ158" s="168">
        <f t="shared" si="79"/>
        <v>0</v>
      </c>
      <c r="BR158" s="168">
        <f t="shared" si="79"/>
        <v>0</v>
      </c>
      <c r="BS158" s="168">
        <f t="shared" si="79"/>
        <v>0</v>
      </c>
      <c r="BZ158" s="182" t="str">
        <f>BZ95</f>
        <v>lot9</v>
      </c>
      <c r="CB158" s="168">
        <f t="shared" si="80"/>
        <v>0</v>
      </c>
      <c r="CC158" s="168">
        <f t="shared" si="80"/>
        <v>0</v>
      </c>
      <c r="CD158" s="168">
        <f t="shared" si="80"/>
        <v>0</v>
      </c>
      <c r="CE158" s="168">
        <f t="shared" si="80"/>
        <v>0</v>
      </c>
      <c r="CF158" s="168">
        <f t="shared" si="80"/>
        <v>0</v>
      </c>
      <c r="CG158" s="168">
        <f t="shared" si="80"/>
        <v>0</v>
      </c>
      <c r="CH158" s="168">
        <f t="shared" si="80"/>
        <v>0</v>
      </c>
      <c r="CI158" s="168">
        <f t="shared" si="80"/>
        <v>0</v>
      </c>
      <c r="CJ158" s="168">
        <f t="shared" si="80"/>
        <v>0</v>
      </c>
      <c r="CK158" s="168">
        <f t="shared" si="80"/>
        <v>0</v>
      </c>
      <c r="CL158" s="168">
        <f t="shared" si="80"/>
        <v>0</v>
      </c>
      <c r="CM158" s="168">
        <f t="shared" si="80"/>
        <v>0</v>
      </c>
      <c r="CN158" s="168">
        <f t="shared" si="80"/>
        <v>0</v>
      </c>
      <c r="CO158" s="168">
        <f t="shared" si="80"/>
        <v>0</v>
      </c>
      <c r="CP158" s="168">
        <f t="shared" si="80"/>
        <v>0</v>
      </c>
      <c r="CQ158" s="168">
        <f t="shared" si="80"/>
        <v>0</v>
      </c>
      <c r="CR158" s="168">
        <f t="shared" si="80"/>
        <v>0</v>
      </c>
      <c r="CS158" s="168">
        <f t="shared" si="80"/>
        <v>0</v>
      </c>
      <c r="CT158" s="168">
        <f t="shared" si="80"/>
        <v>0</v>
      </c>
      <c r="CU158" s="168">
        <f t="shared" si="80"/>
        <v>0</v>
      </c>
      <c r="CV158" s="168">
        <f t="shared" si="80"/>
        <v>0</v>
      </c>
      <c r="CW158" s="168">
        <f t="shared" si="80"/>
        <v>0</v>
      </c>
      <c r="CX158" s="168">
        <f t="shared" si="80"/>
        <v>0</v>
      </c>
      <c r="CY158" s="168">
        <f t="shared" si="80"/>
        <v>0</v>
      </c>
      <c r="DC158" s="182" t="str">
        <f>DC95</f>
        <v>lot9</v>
      </c>
      <c r="DE158" s="168">
        <f t="shared" si="81"/>
        <v>0</v>
      </c>
      <c r="DF158" s="168">
        <f t="shared" si="81"/>
        <v>0</v>
      </c>
      <c r="DG158" s="168">
        <f t="shared" si="81"/>
        <v>0</v>
      </c>
      <c r="DH158" s="168">
        <f t="shared" si="81"/>
        <v>0</v>
      </c>
      <c r="DI158" s="168">
        <f t="shared" si="81"/>
        <v>0</v>
      </c>
      <c r="DJ158" s="168">
        <f t="shared" si="81"/>
        <v>0</v>
      </c>
      <c r="DK158" s="168">
        <f t="shared" si="81"/>
        <v>0</v>
      </c>
      <c r="DL158" s="168">
        <f t="shared" si="81"/>
        <v>0</v>
      </c>
      <c r="DM158" s="168">
        <f t="shared" si="81"/>
        <v>0</v>
      </c>
      <c r="DN158" s="168">
        <f t="shared" si="81"/>
        <v>0</v>
      </c>
      <c r="DO158" s="168">
        <f t="shared" si="81"/>
        <v>0</v>
      </c>
      <c r="DP158" s="168">
        <f t="shared" si="81"/>
        <v>0</v>
      </c>
      <c r="DQ158" s="168">
        <f t="shared" si="81"/>
        <v>0</v>
      </c>
      <c r="DR158" s="168">
        <f t="shared" si="81"/>
        <v>0</v>
      </c>
      <c r="DS158" s="168">
        <f t="shared" si="81"/>
        <v>0</v>
      </c>
      <c r="DT158" s="168">
        <f t="shared" si="81"/>
        <v>0</v>
      </c>
      <c r="DU158" s="168">
        <f t="shared" si="81"/>
        <v>0</v>
      </c>
      <c r="DV158" s="168">
        <f t="shared" si="81"/>
        <v>0</v>
      </c>
      <c r="DW158" s="168">
        <f t="shared" si="81"/>
        <v>0</v>
      </c>
      <c r="DX158" s="168">
        <f t="shared" si="81"/>
        <v>0</v>
      </c>
      <c r="DY158" s="168">
        <f t="shared" si="81"/>
        <v>0</v>
      </c>
      <c r="DZ158" s="168">
        <f t="shared" si="81"/>
        <v>0</v>
      </c>
      <c r="EA158" s="168">
        <f t="shared" si="81"/>
        <v>0</v>
      </c>
      <c r="EB158" s="168">
        <f t="shared" si="81"/>
        <v>0</v>
      </c>
    </row>
    <row r="159" spans="1:132" x14ac:dyDescent="0.25">
      <c r="B159" s="14" t="s">
        <v>1250</v>
      </c>
      <c r="C159" s="168">
        <f t="shared" si="82"/>
        <v>0</v>
      </c>
      <c r="D159" s="260">
        <f t="shared" si="50"/>
        <v>0</v>
      </c>
      <c r="AT159" s="182" t="str">
        <f>AT96</f>
        <v>lot10</v>
      </c>
      <c r="AV159" s="168">
        <f t="shared" si="79"/>
        <v>0</v>
      </c>
      <c r="AW159" s="168">
        <f t="shared" si="79"/>
        <v>0</v>
      </c>
      <c r="AX159" s="168">
        <f t="shared" si="79"/>
        <v>0</v>
      </c>
      <c r="AY159" s="168">
        <f t="shared" si="79"/>
        <v>0</v>
      </c>
      <c r="AZ159" s="168">
        <f t="shared" si="79"/>
        <v>0</v>
      </c>
      <c r="BA159" s="168">
        <f t="shared" si="79"/>
        <v>0</v>
      </c>
      <c r="BB159" s="168">
        <f t="shared" si="79"/>
        <v>0</v>
      </c>
      <c r="BC159" s="168">
        <f t="shared" si="79"/>
        <v>0</v>
      </c>
      <c r="BD159" s="168">
        <f t="shared" si="79"/>
        <v>0</v>
      </c>
      <c r="BE159" s="168">
        <f t="shared" si="79"/>
        <v>0</v>
      </c>
      <c r="BF159" s="168">
        <f t="shared" si="79"/>
        <v>0</v>
      </c>
      <c r="BG159" s="168">
        <f t="shared" si="79"/>
        <v>0</v>
      </c>
      <c r="BH159" s="168">
        <f t="shared" si="79"/>
        <v>0</v>
      </c>
      <c r="BI159" s="168">
        <f t="shared" si="79"/>
        <v>0</v>
      </c>
      <c r="BJ159" s="168">
        <f t="shared" si="79"/>
        <v>0</v>
      </c>
      <c r="BK159" s="168">
        <f t="shared" si="79"/>
        <v>0</v>
      </c>
      <c r="BL159" s="168">
        <f t="shared" si="79"/>
        <v>0</v>
      </c>
      <c r="BM159" s="168">
        <f t="shared" si="79"/>
        <v>0</v>
      </c>
      <c r="BN159" s="168">
        <f t="shared" si="79"/>
        <v>0</v>
      </c>
      <c r="BO159" s="168">
        <f t="shared" si="79"/>
        <v>0</v>
      </c>
      <c r="BP159" s="168">
        <f t="shared" si="79"/>
        <v>0</v>
      </c>
      <c r="BQ159" s="168">
        <f t="shared" si="79"/>
        <v>0</v>
      </c>
      <c r="BR159" s="168">
        <f t="shared" si="79"/>
        <v>0</v>
      </c>
      <c r="BS159" s="168">
        <f t="shared" si="79"/>
        <v>0</v>
      </c>
      <c r="BZ159" s="182" t="str">
        <f>BZ96</f>
        <v>lot10</v>
      </c>
      <c r="CB159" s="168">
        <f t="shared" si="80"/>
        <v>0</v>
      </c>
      <c r="CC159" s="168">
        <f t="shared" si="80"/>
        <v>0</v>
      </c>
      <c r="CD159" s="168">
        <f t="shared" si="80"/>
        <v>0</v>
      </c>
      <c r="CE159" s="168">
        <f t="shared" si="80"/>
        <v>0</v>
      </c>
      <c r="CF159" s="168">
        <f t="shared" si="80"/>
        <v>0</v>
      </c>
      <c r="CG159" s="168">
        <f t="shared" si="80"/>
        <v>0</v>
      </c>
      <c r="CH159" s="168">
        <f t="shared" si="80"/>
        <v>0</v>
      </c>
      <c r="CI159" s="168">
        <f t="shared" si="80"/>
        <v>0</v>
      </c>
      <c r="CJ159" s="168">
        <f t="shared" si="80"/>
        <v>0</v>
      </c>
      <c r="CK159" s="168">
        <f t="shared" si="80"/>
        <v>0</v>
      </c>
      <c r="CL159" s="168">
        <f t="shared" si="80"/>
        <v>0</v>
      </c>
      <c r="CM159" s="168">
        <f t="shared" si="80"/>
        <v>0</v>
      </c>
      <c r="CN159" s="168">
        <f t="shared" si="80"/>
        <v>0</v>
      </c>
      <c r="CO159" s="168">
        <f t="shared" si="80"/>
        <v>0</v>
      </c>
      <c r="CP159" s="168">
        <f t="shared" si="80"/>
        <v>0</v>
      </c>
      <c r="CQ159" s="168">
        <f t="shared" si="80"/>
        <v>0</v>
      </c>
      <c r="CR159" s="168">
        <f t="shared" si="80"/>
        <v>0</v>
      </c>
      <c r="CS159" s="168">
        <f t="shared" si="80"/>
        <v>0</v>
      </c>
      <c r="CT159" s="168">
        <f t="shared" si="80"/>
        <v>0</v>
      </c>
      <c r="CU159" s="168">
        <f t="shared" si="80"/>
        <v>0</v>
      </c>
      <c r="CV159" s="168">
        <f t="shared" si="80"/>
        <v>0</v>
      </c>
      <c r="CW159" s="168">
        <f t="shared" si="80"/>
        <v>0</v>
      </c>
      <c r="CX159" s="168">
        <f t="shared" si="80"/>
        <v>0</v>
      </c>
      <c r="CY159" s="168">
        <f t="shared" si="80"/>
        <v>0</v>
      </c>
      <c r="DC159" s="182" t="str">
        <f>DC96</f>
        <v>lot10</v>
      </c>
      <c r="DE159" s="168">
        <f t="shared" si="81"/>
        <v>0</v>
      </c>
      <c r="DF159" s="168">
        <f t="shared" si="81"/>
        <v>0</v>
      </c>
      <c r="DG159" s="168">
        <f t="shared" si="81"/>
        <v>0</v>
      </c>
      <c r="DH159" s="168">
        <f t="shared" si="81"/>
        <v>0</v>
      </c>
      <c r="DI159" s="168">
        <f t="shared" si="81"/>
        <v>0</v>
      </c>
      <c r="DJ159" s="168">
        <f t="shared" si="81"/>
        <v>0</v>
      </c>
      <c r="DK159" s="168">
        <f t="shared" si="81"/>
        <v>0</v>
      </c>
      <c r="DL159" s="168">
        <f t="shared" si="81"/>
        <v>0</v>
      </c>
      <c r="DM159" s="168">
        <f t="shared" si="81"/>
        <v>0</v>
      </c>
      <c r="DN159" s="168">
        <f t="shared" si="81"/>
        <v>0</v>
      </c>
      <c r="DO159" s="168">
        <f t="shared" si="81"/>
        <v>0</v>
      </c>
      <c r="DP159" s="168">
        <f t="shared" si="81"/>
        <v>0</v>
      </c>
      <c r="DQ159" s="168">
        <f t="shared" si="81"/>
        <v>0</v>
      </c>
      <c r="DR159" s="168">
        <f t="shared" si="81"/>
        <v>0</v>
      </c>
      <c r="DS159" s="168">
        <f t="shared" si="81"/>
        <v>0</v>
      </c>
      <c r="DT159" s="168">
        <f t="shared" si="81"/>
        <v>0</v>
      </c>
      <c r="DU159" s="168">
        <f t="shared" si="81"/>
        <v>0</v>
      </c>
      <c r="DV159" s="168">
        <f t="shared" si="81"/>
        <v>0</v>
      </c>
      <c r="DW159" s="168">
        <f t="shared" si="81"/>
        <v>0</v>
      </c>
      <c r="DX159" s="168">
        <f t="shared" si="81"/>
        <v>0</v>
      </c>
      <c r="DY159" s="168">
        <f t="shared" si="81"/>
        <v>0</v>
      </c>
      <c r="DZ159" s="168">
        <f t="shared" si="81"/>
        <v>0</v>
      </c>
      <c r="EA159" s="168">
        <f t="shared" si="81"/>
        <v>0</v>
      </c>
      <c r="EB159" s="168">
        <f t="shared" si="81"/>
        <v>0</v>
      </c>
    </row>
    <row r="160" spans="1:132" x14ac:dyDescent="0.25">
      <c r="B160" s="14" t="s">
        <v>1251</v>
      </c>
      <c r="C160" s="168">
        <f>'Calcul éco'!C30</f>
        <v>3.1539180000000044</v>
      </c>
      <c r="D160" s="260">
        <f t="shared" si="50"/>
        <v>4.1513108717948777</v>
      </c>
      <c r="AT160" s="197" t="s">
        <v>13</v>
      </c>
      <c r="AV160" s="62">
        <f>SUM(AV151:AV159)</f>
        <v>111.61709401709402</v>
      </c>
      <c r="AW160" s="62">
        <f t="shared" ref="AW160:BS160" si="83">SUM(AW151:AW159)</f>
        <v>111.61709401709402</v>
      </c>
      <c r="AX160" s="62">
        <f t="shared" si="83"/>
        <v>113.72307692307692</v>
      </c>
      <c r="AY160" s="62">
        <f t="shared" si="83"/>
        <v>114.77606837606838</v>
      </c>
      <c r="AZ160" s="62">
        <f t="shared" si="83"/>
        <v>73.709401709401703</v>
      </c>
      <c r="BA160" s="62">
        <f t="shared" si="83"/>
        <v>76.868376068376065</v>
      </c>
      <c r="BB160" s="62">
        <f t="shared" si="83"/>
        <v>22.112820512820512</v>
      </c>
      <c r="BC160" s="62">
        <f t="shared" si="83"/>
        <v>24.218803418803418</v>
      </c>
      <c r="BD160" s="62">
        <f t="shared" si="83"/>
        <v>25.271794871794871</v>
      </c>
      <c r="BE160" s="62">
        <f t="shared" si="83"/>
        <v>25.271794871794871</v>
      </c>
      <c r="BF160" s="62">
        <f t="shared" si="83"/>
        <v>25.271794871794871</v>
      </c>
      <c r="BG160" s="62">
        <f t="shared" si="83"/>
        <v>25.271794871794871</v>
      </c>
      <c r="BH160" s="62">
        <f t="shared" si="83"/>
        <v>25.271794871794871</v>
      </c>
      <c r="BI160" s="62">
        <f t="shared" si="83"/>
        <v>25.271794871794871</v>
      </c>
      <c r="BJ160" s="62">
        <f t="shared" si="83"/>
        <v>25.271794871794871</v>
      </c>
      <c r="BK160" s="62">
        <f t="shared" si="83"/>
        <v>25.271794871794871</v>
      </c>
      <c r="BL160" s="62">
        <f t="shared" si="83"/>
        <v>25.271794871794871</v>
      </c>
      <c r="BM160" s="62">
        <f t="shared" si="83"/>
        <v>25.271794871794871</v>
      </c>
      <c r="BN160" s="62">
        <f t="shared" si="83"/>
        <v>22.112820512820512</v>
      </c>
      <c r="BO160" s="62">
        <f t="shared" si="83"/>
        <v>57.914529914529915</v>
      </c>
      <c r="BP160" s="62">
        <f t="shared" si="83"/>
        <v>108.45811965811966</v>
      </c>
      <c r="BQ160" s="62">
        <f t="shared" si="83"/>
        <v>111.61709401709402</v>
      </c>
      <c r="BR160" s="62">
        <f t="shared" si="83"/>
        <v>111.61709401709402</v>
      </c>
      <c r="BS160" s="62">
        <f t="shared" si="83"/>
        <v>111.61709401709402</v>
      </c>
      <c r="BZ160" s="37" t="s">
        <v>13</v>
      </c>
      <c r="CB160" s="62">
        <f t="shared" ref="CB160:CY160" si="84">SUM(CB155:CB159)</f>
        <v>0</v>
      </c>
      <c r="CC160" s="62">
        <f t="shared" si="84"/>
        <v>0</v>
      </c>
      <c r="CD160" s="62">
        <f t="shared" si="84"/>
        <v>0</v>
      </c>
      <c r="CE160" s="62">
        <f t="shared" si="84"/>
        <v>0</v>
      </c>
      <c r="CF160" s="62">
        <f t="shared" si="84"/>
        <v>0</v>
      </c>
      <c r="CG160" s="62">
        <f t="shared" si="84"/>
        <v>0</v>
      </c>
      <c r="CH160" s="62">
        <f t="shared" si="84"/>
        <v>0</v>
      </c>
      <c r="CI160" s="62">
        <f t="shared" si="84"/>
        <v>0</v>
      </c>
      <c r="CJ160" s="62">
        <f t="shared" si="84"/>
        <v>0</v>
      </c>
      <c r="CK160" s="62">
        <f t="shared" si="84"/>
        <v>0</v>
      </c>
      <c r="CL160" s="62">
        <f t="shared" si="84"/>
        <v>0</v>
      </c>
      <c r="CM160" s="62">
        <f t="shared" si="84"/>
        <v>0</v>
      </c>
      <c r="CN160" s="62">
        <f t="shared" si="84"/>
        <v>0</v>
      </c>
      <c r="CO160" s="62">
        <f t="shared" si="84"/>
        <v>0</v>
      </c>
      <c r="CP160" s="62">
        <f t="shared" si="84"/>
        <v>0</v>
      </c>
      <c r="CQ160" s="62">
        <f t="shared" si="84"/>
        <v>0</v>
      </c>
      <c r="CR160" s="62">
        <f t="shared" si="84"/>
        <v>0</v>
      </c>
      <c r="CS160" s="62">
        <f t="shared" si="84"/>
        <v>0</v>
      </c>
      <c r="CT160" s="62">
        <f t="shared" si="84"/>
        <v>0</v>
      </c>
      <c r="CU160" s="62">
        <f t="shared" si="84"/>
        <v>0</v>
      </c>
      <c r="CV160" s="62">
        <f t="shared" si="84"/>
        <v>0</v>
      </c>
      <c r="CW160" s="62">
        <f t="shared" si="84"/>
        <v>0</v>
      </c>
      <c r="CX160" s="62">
        <f t="shared" si="84"/>
        <v>0</v>
      </c>
      <c r="CY160" s="62">
        <f t="shared" si="84"/>
        <v>0</v>
      </c>
      <c r="DC160" s="37" t="s">
        <v>13</v>
      </c>
      <c r="DE160" s="62">
        <f t="shared" ref="DE160:EB160" si="85">SUM(DE155:DE159)</f>
        <v>0</v>
      </c>
      <c r="DF160" s="62">
        <f t="shared" si="85"/>
        <v>0</v>
      </c>
      <c r="DG160" s="62">
        <f t="shared" si="85"/>
        <v>0</v>
      </c>
      <c r="DH160" s="62">
        <f t="shared" si="85"/>
        <v>0</v>
      </c>
      <c r="DI160" s="62">
        <f t="shared" si="85"/>
        <v>0</v>
      </c>
      <c r="DJ160" s="62">
        <f t="shared" si="85"/>
        <v>0</v>
      </c>
      <c r="DK160" s="62">
        <f t="shared" si="85"/>
        <v>0</v>
      </c>
      <c r="DL160" s="62">
        <f t="shared" si="85"/>
        <v>0</v>
      </c>
      <c r="DM160" s="62">
        <f t="shared" si="85"/>
        <v>0</v>
      </c>
      <c r="DN160" s="62">
        <f t="shared" si="85"/>
        <v>0</v>
      </c>
      <c r="DO160" s="62">
        <f t="shared" si="85"/>
        <v>0</v>
      </c>
      <c r="DP160" s="62">
        <f t="shared" si="85"/>
        <v>0</v>
      </c>
      <c r="DQ160" s="62">
        <f t="shared" si="85"/>
        <v>0</v>
      </c>
      <c r="DR160" s="62">
        <f t="shared" si="85"/>
        <v>0</v>
      </c>
      <c r="DS160" s="62">
        <f t="shared" si="85"/>
        <v>0</v>
      </c>
      <c r="DT160" s="62">
        <f t="shared" si="85"/>
        <v>0</v>
      </c>
      <c r="DU160" s="62">
        <f t="shared" si="85"/>
        <v>0</v>
      </c>
      <c r="DV160" s="62">
        <f t="shared" si="85"/>
        <v>0</v>
      </c>
      <c r="DW160" s="62">
        <f t="shared" si="85"/>
        <v>0</v>
      </c>
      <c r="DX160" s="62">
        <f t="shared" si="85"/>
        <v>0</v>
      </c>
      <c r="DY160" s="62">
        <f t="shared" si="85"/>
        <v>0</v>
      </c>
      <c r="DZ160" s="62">
        <f t="shared" si="85"/>
        <v>0</v>
      </c>
      <c r="EA160" s="62">
        <f t="shared" si="85"/>
        <v>0</v>
      </c>
      <c r="EB160" s="62">
        <f t="shared" si="85"/>
        <v>0</v>
      </c>
    </row>
    <row r="161" spans="1:132" x14ac:dyDescent="0.25">
      <c r="A161" s="2" t="s">
        <v>1252</v>
      </c>
      <c r="B161" s="14" t="s">
        <v>1253</v>
      </c>
      <c r="C161" s="259">
        <f>IF(Troupeau!$B$3="OL",CdTrp1!$AA$159,0)</f>
        <v>0</v>
      </c>
      <c r="D161" s="260">
        <f t="shared" si="50"/>
        <v>0</v>
      </c>
      <c r="AT161" s="182" t="s">
        <v>827</v>
      </c>
      <c r="AV161" s="168">
        <f>IF($AT$62="OL",AV160/50,AV160/10)</f>
        <v>11.161709401709402</v>
      </c>
      <c r="AW161" s="168">
        <f t="shared" ref="AW161:BS161" si="86">IF($AT$62="OL",AW160/50,AW160/10)</f>
        <v>11.161709401709402</v>
      </c>
      <c r="AX161" s="168">
        <f t="shared" si="86"/>
        <v>11.372307692307691</v>
      </c>
      <c r="AY161" s="168">
        <f t="shared" si="86"/>
        <v>11.477606837606839</v>
      </c>
      <c r="AZ161" s="168">
        <f t="shared" si="86"/>
        <v>7.3709401709401705</v>
      </c>
      <c r="BA161" s="168">
        <f t="shared" si="86"/>
        <v>7.6868376068376065</v>
      </c>
      <c r="BB161" s="168">
        <f t="shared" si="86"/>
        <v>2.2112820512820512</v>
      </c>
      <c r="BC161" s="168">
        <f t="shared" si="86"/>
        <v>2.4218803418803416</v>
      </c>
      <c r="BD161" s="168">
        <f t="shared" si="86"/>
        <v>2.5271794871794873</v>
      </c>
      <c r="BE161" s="168">
        <f t="shared" si="86"/>
        <v>2.5271794871794873</v>
      </c>
      <c r="BF161" s="168">
        <f t="shared" si="86"/>
        <v>2.5271794871794873</v>
      </c>
      <c r="BG161" s="168">
        <f t="shared" si="86"/>
        <v>2.5271794871794873</v>
      </c>
      <c r="BH161" s="168">
        <f t="shared" si="86"/>
        <v>2.5271794871794873</v>
      </c>
      <c r="BI161" s="168">
        <f t="shared" si="86"/>
        <v>2.5271794871794873</v>
      </c>
      <c r="BJ161" s="168">
        <f t="shared" si="86"/>
        <v>2.5271794871794873</v>
      </c>
      <c r="BK161" s="168">
        <f t="shared" si="86"/>
        <v>2.5271794871794873</v>
      </c>
      <c r="BL161" s="168">
        <f t="shared" si="86"/>
        <v>2.5271794871794873</v>
      </c>
      <c r="BM161" s="168">
        <f t="shared" si="86"/>
        <v>2.5271794871794873</v>
      </c>
      <c r="BN161" s="168">
        <f t="shared" si="86"/>
        <v>2.2112820512820512</v>
      </c>
      <c r="BO161" s="168">
        <f t="shared" si="86"/>
        <v>5.7914529914529913</v>
      </c>
      <c r="BP161" s="168">
        <f t="shared" si="86"/>
        <v>10.845811965811965</v>
      </c>
      <c r="BQ161" s="168">
        <f t="shared" si="86"/>
        <v>11.161709401709402</v>
      </c>
      <c r="BR161" s="168">
        <f t="shared" si="86"/>
        <v>11.161709401709402</v>
      </c>
      <c r="BS161" s="168">
        <f t="shared" si="86"/>
        <v>11.161709401709402</v>
      </c>
      <c r="BZ161" s="32" t="s">
        <v>827</v>
      </c>
      <c r="CB161" s="168">
        <f>IF($AT$62="OL",CB160/50,CB160/10)</f>
        <v>0</v>
      </c>
      <c r="CC161" s="168">
        <f t="shared" ref="CC161:CY161" si="87">IF($AT$62="OL",CC160/50,CC160/10)</f>
        <v>0</v>
      </c>
      <c r="CD161" s="168">
        <f t="shared" si="87"/>
        <v>0</v>
      </c>
      <c r="CE161" s="168">
        <f t="shared" si="87"/>
        <v>0</v>
      </c>
      <c r="CF161" s="168">
        <f t="shared" si="87"/>
        <v>0</v>
      </c>
      <c r="CG161" s="168">
        <f t="shared" si="87"/>
        <v>0</v>
      </c>
      <c r="CH161" s="168">
        <f t="shared" si="87"/>
        <v>0</v>
      </c>
      <c r="CI161" s="168">
        <f t="shared" si="87"/>
        <v>0</v>
      </c>
      <c r="CJ161" s="168">
        <f t="shared" si="87"/>
        <v>0</v>
      </c>
      <c r="CK161" s="168">
        <f t="shared" si="87"/>
        <v>0</v>
      </c>
      <c r="CL161" s="168">
        <f t="shared" si="87"/>
        <v>0</v>
      </c>
      <c r="CM161" s="168">
        <f t="shared" si="87"/>
        <v>0</v>
      </c>
      <c r="CN161" s="168">
        <f t="shared" si="87"/>
        <v>0</v>
      </c>
      <c r="CO161" s="168">
        <f t="shared" si="87"/>
        <v>0</v>
      </c>
      <c r="CP161" s="168">
        <f t="shared" si="87"/>
        <v>0</v>
      </c>
      <c r="CQ161" s="168">
        <f t="shared" si="87"/>
        <v>0</v>
      </c>
      <c r="CR161" s="168">
        <f t="shared" si="87"/>
        <v>0</v>
      </c>
      <c r="CS161" s="168">
        <f t="shared" si="87"/>
        <v>0</v>
      </c>
      <c r="CT161" s="168">
        <f t="shared" si="87"/>
        <v>0</v>
      </c>
      <c r="CU161" s="168">
        <f t="shared" si="87"/>
        <v>0</v>
      </c>
      <c r="CV161" s="168">
        <f t="shared" si="87"/>
        <v>0</v>
      </c>
      <c r="CW161" s="168">
        <f t="shared" si="87"/>
        <v>0</v>
      </c>
      <c r="CX161" s="168">
        <f t="shared" si="87"/>
        <v>0</v>
      </c>
      <c r="CY161" s="168">
        <f t="shared" si="87"/>
        <v>0</v>
      </c>
      <c r="DC161" s="32" t="s">
        <v>827</v>
      </c>
      <c r="DE161" s="168">
        <f>IF($AT$62="OL",DE160/50,DE160/10)</f>
        <v>0</v>
      </c>
      <c r="DF161" s="168">
        <f t="shared" ref="DF161:EB161" si="88">IF($AT$62="OL",DF160/50,DF160/10)</f>
        <v>0</v>
      </c>
      <c r="DG161" s="168">
        <f t="shared" si="88"/>
        <v>0</v>
      </c>
      <c r="DH161" s="168">
        <f t="shared" si="88"/>
        <v>0</v>
      </c>
      <c r="DI161" s="168">
        <f t="shared" si="88"/>
        <v>0</v>
      </c>
      <c r="DJ161" s="168">
        <f t="shared" si="88"/>
        <v>0</v>
      </c>
      <c r="DK161" s="168">
        <f t="shared" si="88"/>
        <v>0</v>
      </c>
      <c r="DL161" s="168">
        <f t="shared" si="88"/>
        <v>0</v>
      </c>
      <c r="DM161" s="168">
        <f t="shared" si="88"/>
        <v>0</v>
      </c>
      <c r="DN161" s="168">
        <f t="shared" si="88"/>
        <v>0</v>
      </c>
      <c r="DO161" s="168">
        <f t="shared" si="88"/>
        <v>0</v>
      </c>
      <c r="DP161" s="168">
        <f t="shared" si="88"/>
        <v>0</v>
      </c>
      <c r="DQ161" s="168">
        <f t="shared" si="88"/>
        <v>0</v>
      </c>
      <c r="DR161" s="168">
        <f t="shared" si="88"/>
        <v>0</v>
      </c>
      <c r="DS161" s="168">
        <f t="shared" si="88"/>
        <v>0</v>
      </c>
      <c r="DT161" s="168">
        <f t="shared" si="88"/>
        <v>0</v>
      </c>
      <c r="DU161" s="168">
        <f t="shared" si="88"/>
        <v>0</v>
      </c>
      <c r="DV161" s="168">
        <f t="shared" si="88"/>
        <v>0</v>
      </c>
      <c r="DW161" s="168">
        <f t="shared" si="88"/>
        <v>0</v>
      </c>
      <c r="DX161" s="168">
        <f t="shared" si="88"/>
        <v>0</v>
      </c>
      <c r="DY161" s="168">
        <f t="shared" si="88"/>
        <v>0</v>
      </c>
      <c r="DZ161" s="168">
        <f t="shared" si="88"/>
        <v>0</v>
      </c>
      <c r="EA161" s="168">
        <f t="shared" si="88"/>
        <v>0</v>
      </c>
      <c r="EB161" s="168">
        <f t="shared" si="88"/>
        <v>0</v>
      </c>
    </row>
    <row r="162" spans="1:132" x14ac:dyDescent="0.25">
      <c r="A162" t="s">
        <v>1254</v>
      </c>
      <c r="B162" s="14" t="s">
        <v>1255</v>
      </c>
      <c r="C162" s="259">
        <f>IF(Troupeau!$B$3="OL",CdTrp1!$AA$147,0)</f>
        <v>0</v>
      </c>
      <c r="D162" s="260">
        <f t="shared" si="50"/>
        <v>0</v>
      </c>
      <c r="AT162" s="182" t="s">
        <v>829</v>
      </c>
      <c r="AV162" s="168">
        <f>IF(AV161&gt;1,AV161-1,0)</f>
        <v>10.161709401709402</v>
      </c>
      <c r="AW162" s="168">
        <f t="shared" ref="AW162:BS162" si="89">IF(AW161&gt;1,AW161-1,0)</f>
        <v>10.161709401709402</v>
      </c>
      <c r="AX162" s="168">
        <f t="shared" si="89"/>
        <v>10.372307692307691</v>
      </c>
      <c r="AY162" s="168">
        <f t="shared" si="89"/>
        <v>10.477606837606839</v>
      </c>
      <c r="AZ162" s="168">
        <f t="shared" si="89"/>
        <v>6.3709401709401705</v>
      </c>
      <c r="BA162" s="168">
        <f t="shared" si="89"/>
        <v>6.6868376068376065</v>
      </c>
      <c r="BB162" s="168">
        <f t="shared" si="89"/>
        <v>1.2112820512820512</v>
      </c>
      <c r="BC162" s="168">
        <f t="shared" si="89"/>
        <v>1.4218803418803416</v>
      </c>
      <c r="BD162" s="168">
        <f t="shared" si="89"/>
        <v>1.5271794871794873</v>
      </c>
      <c r="BE162" s="168">
        <f t="shared" si="89"/>
        <v>1.5271794871794873</v>
      </c>
      <c r="BF162" s="168">
        <f t="shared" si="89"/>
        <v>1.5271794871794873</v>
      </c>
      <c r="BG162" s="168">
        <f t="shared" si="89"/>
        <v>1.5271794871794873</v>
      </c>
      <c r="BH162" s="168">
        <f t="shared" si="89"/>
        <v>1.5271794871794873</v>
      </c>
      <c r="BI162" s="168">
        <f t="shared" si="89"/>
        <v>1.5271794871794873</v>
      </c>
      <c r="BJ162" s="168">
        <f t="shared" si="89"/>
        <v>1.5271794871794873</v>
      </c>
      <c r="BK162" s="168">
        <f t="shared" si="89"/>
        <v>1.5271794871794873</v>
      </c>
      <c r="BL162" s="168">
        <f t="shared" si="89"/>
        <v>1.5271794871794873</v>
      </c>
      <c r="BM162" s="168">
        <f t="shared" si="89"/>
        <v>1.5271794871794873</v>
      </c>
      <c r="BN162" s="168">
        <f t="shared" si="89"/>
        <v>1.2112820512820512</v>
      </c>
      <c r="BO162" s="168">
        <f t="shared" si="89"/>
        <v>4.7914529914529913</v>
      </c>
      <c r="BP162" s="168">
        <f t="shared" si="89"/>
        <v>9.8458119658119649</v>
      </c>
      <c r="BQ162" s="168">
        <f t="shared" si="89"/>
        <v>10.161709401709402</v>
      </c>
      <c r="BR162" s="168">
        <f t="shared" si="89"/>
        <v>10.161709401709402</v>
      </c>
      <c r="BS162" s="168">
        <f t="shared" si="89"/>
        <v>10.161709401709402</v>
      </c>
      <c r="BZ162" s="32" t="s">
        <v>829</v>
      </c>
      <c r="CB162" s="168">
        <f>IF(CB161&gt;1,CB161-1,0)</f>
        <v>0</v>
      </c>
      <c r="CC162" s="168">
        <f t="shared" ref="CC162:CY162" si="90">IF(CC161&gt;1,CC161-1,0)</f>
        <v>0</v>
      </c>
      <c r="CD162" s="168">
        <f t="shared" si="90"/>
        <v>0</v>
      </c>
      <c r="CE162" s="168">
        <f t="shared" si="90"/>
        <v>0</v>
      </c>
      <c r="CF162" s="168">
        <f t="shared" si="90"/>
        <v>0</v>
      </c>
      <c r="CG162" s="168">
        <f t="shared" si="90"/>
        <v>0</v>
      </c>
      <c r="CH162" s="168">
        <f t="shared" si="90"/>
        <v>0</v>
      </c>
      <c r="CI162" s="168">
        <f t="shared" si="90"/>
        <v>0</v>
      </c>
      <c r="CJ162" s="168">
        <f t="shared" si="90"/>
        <v>0</v>
      </c>
      <c r="CK162" s="168">
        <f t="shared" si="90"/>
        <v>0</v>
      </c>
      <c r="CL162" s="168">
        <f t="shared" si="90"/>
        <v>0</v>
      </c>
      <c r="CM162" s="168">
        <f t="shared" si="90"/>
        <v>0</v>
      </c>
      <c r="CN162" s="168">
        <f t="shared" si="90"/>
        <v>0</v>
      </c>
      <c r="CO162" s="168">
        <f t="shared" si="90"/>
        <v>0</v>
      </c>
      <c r="CP162" s="168">
        <f t="shared" si="90"/>
        <v>0</v>
      </c>
      <c r="CQ162" s="168">
        <f t="shared" si="90"/>
        <v>0</v>
      </c>
      <c r="CR162" s="168">
        <f t="shared" si="90"/>
        <v>0</v>
      </c>
      <c r="CS162" s="168">
        <f t="shared" si="90"/>
        <v>0</v>
      </c>
      <c r="CT162" s="168">
        <f t="shared" si="90"/>
        <v>0</v>
      </c>
      <c r="CU162" s="168">
        <f t="shared" si="90"/>
        <v>0</v>
      </c>
      <c r="CV162" s="168">
        <f t="shared" si="90"/>
        <v>0</v>
      </c>
      <c r="CW162" s="168">
        <f t="shared" si="90"/>
        <v>0</v>
      </c>
      <c r="CX162" s="168">
        <f t="shared" si="90"/>
        <v>0</v>
      </c>
      <c r="CY162" s="168">
        <f t="shared" si="90"/>
        <v>0</v>
      </c>
      <c r="DC162" s="32" t="s">
        <v>829</v>
      </c>
      <c r="DE162" s="168">
        <f>IF(DE161&gt;1,DE161-1,0)</f>
        <v>0</v>
      </c>
      <c r="DF162" s="168">
        <f t="shared" ref="DF162:EB162" si="91">IF(DF161&gt;1,DF161-1,0)</f>
        <v>0</v>
      </c>
      <c r="DG162" s="168">
        <f t="shared" si="91"/>
        <v>0</v>
      </c>
      <c r="DH162" s="168">
        <f t="shared" si="91"/>
        <v>0</v>
      </c>
      <c r="DI162" s="168">
        <f t="shared" si="91"/>
        <v>0</v>
      </c>
      <c r="DJ162" s="168">
        <f t="shared" si="91"/>
        <v>0</v>
      </c>
      <c r="DK162" s="168">
        <f t="shared" si="91"/>
        <v>0</v>
      </c>
      <c r="DL162" s="168">
        <f t="shared" si="91"/>
        <v>0</v>
      </c>
      <c r="DM162" s="168">
        <f t="shared" si="91"/>
        <v>0</v>
      </c>
      <c r="DN162" s="168">
        <f t="shared" si="91"/>
        <v>0</v>
      </c>
      <c r="DO162" s="168">
        <f t="shared" si="91"/>
        <v>0</v>
      </c>
      <c r="DP162" s="168">
        <f t="shared" si="91"/>
        <v>0</v>
      </c>
      <c r="DQ162" s="168">
        <f t="shared" si="91"/>
        <v>0</v>
      </c>
      <c r="DR162" s="168">
        <f t="shared" si="91"/>
        <v>0</v>
      </c>
      <c r="DS162" s="168">
        <f t="shared" si="91"/>
        <v>0</v>
      </c>
      <c r="DT162" s="168">
        <f t="shared" si="91"/>
        <v>0</v>
      </c>
      <c r="DU162" s="168">
        <f t="shared" si="91"/>
        <v>0</v>
      </c>
      <c r="DV162" s="168">
        <f t="shared" si="91"/>
        <v>0</v>
      </c>
      <c r="DW162" s="168">
        <f t="shared" si="91"/>
        <v>0</v>
      </c>
      <c r="DX162" s="168">
        <f t="shared" si="91"/>
        <v>0</v>
      </c>
      <c r="DY162" s="168">
        <f t="shared" si="91"/>
        <v>0</v>
      </c>
      <c r="DZ162" s="168">
        <f t="shared" si="91"/>
        <v>0</v>
      </c>
      <c r="EA162" s="168">
        <f t="shared" si="91"/>
        <v>0</v>
      </c>
      <c r="EB162" s="168">
        <f t="shared" si="91"/>
        <v>0</v>
      </c>
    </row>
    <row r="163" spans="1:132" x14ac:dyDescent="0.25">
      <c r="B163" s="14" t="s">
        <v>1256</v>
      </c>
      <c r="C163" s="259">
        <f>IF(Troupeau!$B$3="BL",CdTrp1!$AA$159,0)</f>
        <v>0</v>
      </c>
      <c r="D163" s="260">
        <f t="shared" si="50"/>
        <v>0</v>
      </c>
      <c r="AT163" s="40" t="s">
        <v>831</v>
      </c>
      <c r="AV163" s="62">
        <f>AV147+AV148*AV162</f>
        <v>65.758076581196576</v>
      </c>
      <c r="AW163" s="62">
        <f t="shared" ref="AW163:BS163" si="92">AW147+AW148*AW162</f>
        <v>65.758076581196576</v>
      </c>
      <c r="AX163" s="62">
        <f t="shared" si="92"/>
        <v>66.250455384615378</v>
      </c>
      <c r="AY163" s="62">
        <f t="shared" si="92"/>
        <v>66.496644786324794</v>
      </c>
      <c r="AZ163" s="62">
        <f t="shared" si="92"/>
        <v>56.895258119658124</v>
      </c>
      <c r="BA163" s="62">
        <f t="shared" si="92"/>
        <v>57.633826324786327</v>
      </c>
      <c r="BB163" s="62">
        <f t="shared" si="92"/>
        <v>44.831977435897436</v>
      </c>
      <c r="BC163" s="62">
        <f t="shared" si="92"/>
        <v>45.324356239316238</v>
      </c>
      <c r="BD163" s="62">
        <f t="shared" si="92"/>
        <v>45.570545641025639</v>
      </c>
      <c r="BE163" s="62">
        <f t="shared" si="92"/>
        <v>45.570545641025639</v>
      </c>
      <c r="BF163" s="62">
        <f t="shared" si="92"/>
        <v>45.570545641025639</v>
      </c>
      <c r="BG163" s="62">
        <f t="shared" si="92"/>
        <v>45.570545641025639</v>
      </c>
      <c r="BH163" s="62">
        <f t="shared" si="92"/>
        <v>45.570545641025639</v>
      </c>
      <c r="BI163" s="62">
        <f t="shared" si="92"/>
        <v>45.570545641025639</v>
      </c>
      <c r="BJ163" s="62">
        <f t="shared" si="92"/>
        <v>45.570545641025639</v>
      </c>
      <c r="BK163" s="62">
        <f t="shared" si="92"/>
        <v>45.570545641025639</v>
      </c>
      <c r="BL163" s="62">
        <f t="shared" si="92"/>
        <v>45.570545641025639</v>
      </c>
      <c r="BM163" s="62">
        <f t="shared" si="92"/>
        <v>45.570545641025639</v>
      </c>
      <c r="BN163" s="62">
        <f t="shared" si="92"/>
        <v>44.831977435897436</v>
      </c>
      <c r="BO163" s="62">
        <f t="shared" si="92"/>
        <v>53.202417094017093</v>
      </c>
      <c r="BP163" s="62">
        <f t="shared" si="92"/>
        <v>65.019508376068373</v>
      </c>
      <c r="BQ163" s="62">
        <f t="shared" si="92"/>
        <v>65.758076581196576</v>
      </c>
      <c r="BR163" s="62">
        <f t="shared" si="92"/>
        <v>65.758076581196576</v>
      </c>
      <c r="BS163" s="62">
        <f t="shared" si="92"/>
        <v>65.758076581196576</v>
      </c>
      <c r="BZ163" s="40" t="s">
        <v>831</v>
      </c>
      <c r="CB163" s="62">
        <f>CB147+CB148*CB162</f>
        <v>0</v>
      </c>
      <c r="CC163" s="62">
        <f t="shared" ref="CC163:CY163" si="93">CC147+CC148*CC162</f>
        <v>0</v>
      </c>
      <c r="CD163" s="62">
        <f t="shared" si="93"/>
        <v>0</v>
      </c>
      <c r="CE163" s="62">
        <f t="shared" si="93"/>
        <v>0</v>
      </c>
      <c r="CF163" s="62">
        <f t="shared" si="93"/>
        <v>0</v>
      </c>
      <c r="CG163" s="62">
        <f t="shared" si="93"/>
        <v>0</v>
      </c>
      <c r="CH163" s="62">
        <f t="shared" si="93"/>
        <v>0</v>
      </c>
      <c r="CI163" s="62">
        <f t="shared" si="93"/>
        <v>0</v>
      </c>
      <c r="CJ163" s="62">
        <f t="shared" si="93"/>
        <v>0</v>
      </c>
      <c r="CK163" s="62">
        <f t="shared" si="93"/>
        <v>0</v>
      </c>
      <c r="CL163" s="62">
        <f t="shared" si="93"/>
        <v>0</v>
      </c>
      <c r="CM163" s="62">
        <f t="shared" si="93"/>
        <v>0</v>
      </c>
      <c r="CN163" s="62">
        <f t="shared" si="93"/>
        <v>0</v>
      </c>
      <c r="CO163" s="62">
        <f t="shared" si="93"/>
        <v>0</v>
      </c>
      <c r="CP163" s="62">
        <f t="shared" si="93"/>
        <v>0</v>
      </c>
      <c r="CQ163" s="62">
        <f t="shared" si="93"/>
        <v>0</v>
      </c>
      <c r="CR163" s="62">
        <f t="shared" si="93"/>
        <v>0</v>
      </c>
      <c r="CS163" s="62">
        <f t="shared" si="93"/>
        <v>0</v>
      </c>
      <c r="CT163" s="62">
        <f t="shared" si="93"/>
        <v>0</v>
      </c>
      <c r="CU163" s="62">
        <f t="shared" si="93"/>
        <v>0</v>
      </c>
      <c r="CV163" s="62">
        <f t="shared" si="93"/>
        <v>0</v>
      </c>
      <c r="CW163" s="62">
        <f t="shared" si="93"/>
        <v>0</v>
      </c>
      <c r="CX163" s="62">
        <f t="shared" si="93"/>
        <v>0</v>
      </c>
      <c r="CY163" s="62">
        <f t="shared" si="93"/>
        <v>0</v>
      </c>
      <c r="DC163" s="40" t="s">
        <v>831</v>
      </c>
      <c r="DE163" s="62">
        <f>DE147+DE148*DE162</f>
        <v>0</v>
      </c>
      <c r="DF163" s="62">
        <f t="shared" ref="DF163:EB163" si="94">DF147+DF148*DF162</f>
        <v>0</v>
      </c>
      <c r="DG163" s="62">
        <f t="shared" si="94"/>
        <v>0</v>
      </c>
      <c r="DH163" s="62">
        <f t="shared" si="94"/>
        <v>0</v>
      </c>
      <c r="DI163" s="62">
        <f t="shared" si="94"/>
        <v>0</v>
      </c>
      <c r="DJ163" s="62">
        <f t="shared" si="94"/>
        <v>0</v>
      </c>
      <c r="DK163" s="62">
        <f t="shared" si="94"/>
        <v>0</v>
      </c>
      <c r="DL163" s="62">
        <f t="shared" si="94"/>
        <v>0</v>
      </c>
      <c r="DM163" s="62">
        <f t="shared" si="94"/>
        <v>0</v>
      </c>
      <c r="DN163" s="62">
        <f t="shared" si="94"/>
        <v>0</v>
      </c>
      <c r="DO163" s="62">
        <f t="shared" si="94"/>
        <v>0</v>
      </c>
      <c r="DP163" s="62">
        <f t="shared" si="94"/>
        <v>0</v>
      </c>
      <c r="DQ163" s="62">
        <f t="shared" si="94"/>
        <v>0</v>
      </c>
      <c r="DR163" s="62">
        <f t="shared" si="94"/>
        <v>0</v>
      </c>
      <c r="DS163" s="62">
        <f t="shared" si="94"/>
        <v>0</v>
      </c>
      <c r="DT163" s="62">
        <f t="shared" si="94"/>
        <v>0</v>
      </c>
      <c r="DU163" s="62">
        <f t="shared" si="94"/>
        <v>0</v>
      </c>
      <c r="DV163" s="62">
        <f t="shared" si="94"/>
        <v>0</v>
      </c>
      <c r="DW163" s="62">
        <f t="shared" si="94"/>
        <v>0</v>
      </c>
      <c r="DX163" s="62">
        <f t="shared" si="94"/>
        <v>0</v>
      </c>
      <c r="DY163" s="62">
        <f t="shared" si="94"/>
        <v>0</v>
      </c>
      <c r="DZ163" s="62">
        <f t="shared" si="94"/>
        <v>0</v>
      </c>
      <c r="EA163" s="62">
        <f t="shared" si="94"/>
        <v>0</v>
      </c>
      <c r="EB163" s="62">
        <f t="shared" si="94"/>
        <v>0</v>
      </c>
    </row>
    <row r="164" spans="1:132" x14ac:dyDescent="0.25">
      <c r="B164" s="14" t="s">
        <v>1257</v>
      </c>
      <c r="C164" s="259">
        <f>IF(Troupeau!$B$3="BL",ROUND(CdTrp1!$AA$147,0),0)</f>
        <v>0</v>
      </c>
      <c r="D164" s="260">
        <f t="shared" si="50"/>
        <v>0</v>
      </c>
      <c r="AS164" s="2"/>
      <c r="AV164" s="268"/>
      <c r="AW164" s="268"/>
      <c r="AX164" s="268"/>
      <c r="AY164" s="268"/>
      <c r="AZ164" s="268"/>
      <c r="BA164" s="268"/>
      <c r="BB164" s="268"/>
      <c r="BC164" s="268"/>
      <c r="BD164" s="268"/>
      <c r="BE164" s="268"/>
      <c r="BF164" s="268"/>
      <c r="BG164" s="268"/>
      <c r="BH164" s="268"/>
      <c r="BI164" s="268"/>
      <c r="BJ164" s="268"/>
      <c r="BK164" s="268"/>
      <c r="BL164" s="268"/>
      <c r="BM164" s="268"/>
      <c r="BN164" s="268"/>
      <c r="BO164" s="268"/>
      <c r="BP164" s="268"/>
      <c r="BQ164" s="268"/>
      <c r="BR164" s="268"/>
      <c r="BS164" s="268"/>
      <c r="CB164" s="268"/>
      <c r="CC164" s="268"/>
      <c r="CD164" s="268"/>
      <c r="CE164" s="268"/>
      <c r="CF164" s="268"/>
      <c r="CG164" s="268"/>
      <c r="CH164" s="268"/>
      <c r="CI164" s="268"/>
      <c r="CJ164" s="268"/>
      <c r="CK164" s="268"/>
      <c r="CL164" s="268"/>
      <c r="CM164" s="268"/>
      <c r="CN164" s="268"/>
      <c r="CO164" s="268"/>
      <c r="CP164" s="268"/>
      <c r="CQ164" s="268"/>
      <c r="CR164" s="268"/>
      <c r="CS164" s="268"/>
      <c r="CT164" s="268"/>
      <c r="CU164" s="268"/>
      <c r="CV164" s="268"/>
      <c r="CW164" s="268"/>
      <c r="CX164" s="268"/>
      <c r="CY164" s="268"/>
      <c r="DE164" s="268"/>
      <c r="DF164" s="268"/>
      <c r="DG164" s="268"/>
      <c r="DH164" s="268"/>
      <c r="DI164" s="268"/>
      <c r="DJ164" s="268"/>
      <c r="DK164" s="268"/>
      <c r="DL164" s="268"/>
      <c r="DM164" s="268"/>
      <c r="DN164" s="268"/>
      <c r="DO164" s="268"/>
      <c r="DP164" s="268"/>
      <c r="DQ164" s="268"/>
      <c r="DR164" s="268"/>
      <c r="DS164" s="268"/>
      <c r="DT164" s="268"/>
      <c r="DU164" s="268"/>
      <c r="DV164" s="268"/>
      <c r="DW164" s="268"/>
      <c r="DX164" s="268"/>
      <c r="DY164" s="268"/>
      <c r="DZ164" s="268"/>
      <c r="EA164" s="268"/>
      <c r="EB164" s="268"/>
    </row>
    <row r="165" spans="1:132" x14ac:dyDescent="0.25">
      <c r="B165" s="14" t="s">
        <v>1258</v>
      </c>
      <c r="C165" s="259">
        <f>IF(Troupeau!$B$3="BV",CdTrp1!$AA$159,0)+IF(Troupeau!$C$3="BV",CdTrp2!$AA$159,0)</f>
        <v>108.02710800000007</v>
      </c>
      <c r="D165" s="260">
        <f t="shared" si="50"/>
        <v>142.18952676923087</v>
      </c>
      <c r="AT165" s="40" t="s">
        <v>834</v>
      </c>
      <c r="AV165" s="268"/>
      <c r="AW165" s="268"/>
      <c r="AX165" s="268"/>
      <c r="AY165" s="268"/>
      <c r="AZ165" s="268"/>
      <c r="BA165" s="268"/>
      <c r="BB165" s="268"/>
      <c r="BC165" s="268"/>
      <c r="BD165" s="268"/>
      <c r="BE165" s="268"/>
      <c r="BF165" s="268"/>
      <c r="BG165" s="268"/>
      <c r="BH165" s="268"/>
      <c r="BI165" s="268"/>
      <c r="BJ165" s="268"/>
      <c r="BK165" s="268"/>
      <c r="BL165" s="268"/>
      <c r="BM165" s="268"/>
      <c r="BN165" s="268"/>
      <c r="BO165" s="268"/>
      <c r="BP165" s="268"/>
      <c r="BQ165" s="268"/>
      <c r="BR165" s="268"/>
      <c r="BS165" s="268"/>
      <c r="CB165" s="268"/>
      <c r="CC165" s="268"/>
      <c r="CD165" s="268"/>
      <c r="CE165" s="268"/>
      <c r="CF165" s="268"/>
      <c r="CG165" s="268"/>
      <c r="CH165" s="268"/>
      <c r="CI165" s="268"/>
      <c r="CJ165" s="268"/>
      <c r="CK165" s="268"/>
      <c r="CL165" s="268"/>
      <c r="CM165" s="268"/>
      <c r="CN165" s="268"/>
      <c r="CO165" s="268"/>
      <c r="CP165" s="268"/>
      <c r="CQ165" s="268"/>
      <c r="CR165" s="268"/>
      <c r="CS165" s="268"/>
      <c r="CT165" s="268"/>
      <c r="CU165" s="268"/>
      <c r="CV165" s="268"/>
      <c r="CW165" s="268"/>
      <c r="CX165" s="268"/>
      <c r="CY165" s="268"/>
      <c r="DE165" s="268"/>
      <c r="DF165" s="268"/>
      <c r="DG165" s="268"/>
      <c r="DH165" s="268"/>
      <c r="DI165" s="268"/>
      <c r="DJ165" s="268"/>
      <c r="DK165" s="268"/>
      <c r="DL165" s="268"/>
      <c r="DM165" s="268"/>
      <c r="DN165" s="268"/>
      <c r="DO165" s="268"/>
      <c r="DP165" s="268"/>
      <c r="DQ165" s="268"/>
      <c r="DR165" s="268"/>
      <c r="DS165" s="268"/>
      <c r="DT165" s="268"/>
      <c r="DU165" s="268"/>
      <c r="DV165" s="268"/>
      <c r="DW165" s="268"/>
      <c r="DX165" s="268"/>
      <c r="DY165" s="268"/>
      <c r="DZ165" s="268"/>
      <c r="EA165" s="268"/>
      <c r="EB165" s="268"/>
    </row>
    <row r="166" spans="1:132" x14ac:dyDescent="0.25">
      <c r="B166" s="14" t="s">
        <v>1259</v>
      </c>
      <c r="C166" s="259">
        <f>IF(Troupeau!$B$3="BV",CdTrp1!$AA$147,0)+IF(Troupeau!$C$3="BV",CdTrp2!$AA$147,0)</f>
        <v>104.34341169999999</v>
      </c>
      <c r="D166" s="260">
        <f t="shared" si="50"/>
        <v>137.34090087008545</v>
      </c>
      <c r="AT166" s="147" t="s">
        <v>836</v>
      </c>
      <c r="AU166" s="17">
        <f>VLOOKUP(AU120,[1]Trav!$B$12:$C$31,2)</f>
        <v>3</v>
      </c>
      <c r="AV166" s="268"/>
      <c r="AW166" s="268"/>
      <c r="AX166" s="268"/>
      <c r="AY166" s="268"/>
      <c r="AZ166" s="268"/>
      <c r="BA166" s="268"/>
      <c r="BB166" s="268"/>
      <c r="BC166" s="268"/>
      <c r="BD166" s="268"/>
      <c r="BE166" s="268"/>
      <c r="BF166" s="268"/>
      <c r="BG166" s="268"/>
      <c r="BH166" s="268"/>
      <c r="BI166" s="268"/>
      <c r="BJ166" s="268"/>
      <c r="BK166" s="268"/>
      <c r="BL166" s="268"/>
      <c r="BM166" s="268"/>
      <c r="BN166" s="268"/>
      <c r="BO166" s="268"/>
      <c r="BP166" s="268"/>
      <c r="BQ166" s="268"/>
      <c r="BR166" s="268"/>
      <c r="BS166" s="268"/>
      <c r="BZ166" s="147" t="s">
        <v>836</v>
      </c>
      <c r="CA166" s="17" t="e">
        <f>VLOOKUP(CA120,[1]Trav!$B$12:$C$31,2)</f>
        <v>#N/A</v>
      </c>
      <c r="CB166" s="268"/>
      <c r="CC166" s="268"/>
      <c r="CD166" s="268"/>
      <c r="CE166" s="268"/>
      <c r="CF166" s="268"/>
      <c r="CG166" s="268"/>
      <c r="CH166" s="268"/>
      <c r="CI166" s="268"/>
      <c r="CJ166" s="268"/>
      <c r="CK166" s="268"/>
      <c r="CL166" s="268"/>
      <c r="CM166" s="268"/>
      <c r="CN166" s="268"/>
      <c r="CO166" s="268"/>
      <c r="CP166" s="268"/>
      <c r="CQ166" s="268"/>
      <c r="CR166" s="268"/>
      <c r="CS166" s="268"/>
      <c r="CT166" s="268"/>
      <c r="CU166" s="268"/>
      <c r="CV166" s="268"/>
      <c r="CW166" s="268"/>
      <c r="CX166" s="268"/>
      <c r="CY166" s="268"/>
      <c r="DC166" s="147" t="s">
        <v>836</v>
      </c>
      <c r="DD166" s="17" t="e">
        <f>VLOOKUP(DD120,[1]Trav!$B$12:$C$31,2)</f>
        <v>#N/A</v>
      </c>
      <c r="DE166" s="268"/>
      <c r="DF166" s="268"/>
      <c r="DG166" s="268"/>
      <c r="DH166" s="268"/>
      <c r="DI166" s="268"/>
      <c r="DJ166" s="268"/>
      <c r="DK166" s="268"/>
      <c r="DL166" s="268"/>
      <c r="DM166" s="268"/>
      <c r="DN166" s="268"/>
      <c r="DO166" s="268"/>
      <c r="DP166" s="268"/>
      <c r="DQ166" s="268"/>
      <c r="DR166" s="268"/>
      <c r="DS166" s="268"/>
      <c r="DT166" s="268"/>
      <c r="DU166" s="268"/>
      <c r="DV166" s="268"/>
      <c r="DW166" s="268"/>
      <c r="DX166" s="268"/>
      <c r="DY166" s="268"/>
      <c r="DZ166" s="268"/>
      <c r="EA166" s="268"/>
      <c r="EB166" s="268"/>
    </row>
    <row r="167" spans="1:132" x14ac:dyDescent="0.25">
      <c r="B167" s="14" t="s">
        <v>1260</v>
      </c>
      <c r="C167" s="259">
        <f>IF(Troupeau!$D$3="EQ",CdTrp3!$AA$159,0)+IF(Troupeau!$C$3="EQ",CdTrp2!$AA$159,0)</f>
        <v>0</v>
      </c>
      <c r="D167" s="260">
        <f t="shared" si="50"/>
        <v>0</v>
      </c>
      <c r="AT167" s="182" t="str">
        <f t="shared" ref="AT167:AT176" si="95">AT121</f>
        <v xml:space="preserve">Vaches </v>
      </c>
      <c r="AV167" s="183">
        <f>IF(AV121&gt;0,HLOOKUP(AV121,[1]Trav!$C$11:$O$31,$AU$166),0)</f>
        <v>0</v>
      </c>
      <c r="AW167" s="183">
        <f>IF(AW121&gt;0,HLOOKUP(AW121,[1]Trav!$C$11:$O$31,$AU$166),0)</f>
        <v>0</v>
      </c>
      <c r="AX167" s="183">
        <f>IF(AX121&gt;0,HLOOKUP(AX121,[1]Trav!$C$11:$O$31,$AU$166),0)</f>
        <v>0</v>
      </c>
      <c r="AY167" s="183">
        <f>IF(AY121&gt;0,HLOOKUP(AY121,[1]Trav!$C$11:$O$31,$AU$166),0)</f>
        <v>0</v>
      </c>
      <c r="AZ167" s="183">
        <f>IF(AZ121&gt;0,HLOOKUP(AZ121,[1]Trav!$C$11:$O$31,$AU$166),0)</f>
        <v>3.5</v>
      </c>
      <c r="BA167" s="183">
        <f>IF(BA121&gt;0,HLOOKUP(BA121,[1]Trav!$C$11:$O$31,$AU$166),0)</f>
        <v>3.5</v>
      </c>
      <c r="BB167" s="183">
        <f>IF(BB121&gt;0,HLOOKUP(BB121,[1]Trav!$C$11:$O$31,$AU$166),0)</f>
        <v>3.5</v>
      </c>
      <c r="BC167" s="183">
        <f>IF(BC121&gt;0,HLOOKUP(BC121,[1]Trav!$C$11:$O$31,$AU$166),0)</f>
        <v>3.5</v>
      </c>
      <c r="BD167" s="183">
        <f>IF(BD121&gt;0,HLOOKUP(BD121,[1]Trav!$C$11:$O$31,$AU$166),0)</f>
        <v>3.5</v>
      </c>
      <c r="BE167" s="183">
        <f>IF(BE121&gt;0,HLOOKUP(BE121,[1]Trav!$C$11:$O$31,$AU$166),0)</f>
        <v>3.5</v>
      </c>
      <c r="BF167" s="183">
        <f>IF(BF121&gt;0,HLOOKUP(BF121,[1]Trav!$C$11:$O$31,$AU$166),0)</f>
        <v>3.5</v>
      </c>
      <c r="BG167" s="183">
        <f>IF(BG121&gt;0,HLOOKUP(BG121,[1]Trav!$C$11:$O$31,$AU$166),0)</f>
        <v>3.5</v>
      </c>
      <c r="BH167" s="183">
        <f>IF(BH121&gt;0,HLOOKUP(BH121,[1]Trav!$C$11:$O$31,$AU$166),0)</f>
        <v>3.5</v>
      </c>
      <c r="BI167" s="183">
        <f>IF(BI121&gt;0,HLOOKUP(BI121,[1]Trav!$C$11:$O$31,$AU$166),0)</f>
        <v>3.5</v>
      </c>
      <c r="BJ167" s="183">
        <f>IF(BJ121&gt;0,HLOOKUP(BJ121,[1]Trav!$C$11:$O$31,$AU$166),0)</f>
        <v>3.5</v>
      </c>
      <c r="BK167" s="183">
        <f>IF(BK121&gt;0,HLOOKUP(BK121,[1]Trav!$C$11:$O$31,$AU$166),0)</f>
        <v>3.5</v>
      </c>
      <c r="BL167" s="183">
        <f>IF(BL121&gt;0,HLOOKUP(BL121,[1]Trav!$C$11:$O$31,$AU$166),0)</f>
        <v>3.5</v>
      </c>
      <c r="BM167" s="183">
        <f>IF(BM121&gt;0,HLOOKUP(BM121,[1]Trav!$C$11:$O$31,$AU$166),0)</f>
        <v>3.5</v>
      </c>
      <c r="BN167" s="183">
        <f>IF(BN121&gt;0,HLOOKUP(BN121,[1]Trav!$C$11:$O$31,$AU$166),0)</f>
        <v>3.5</v>
      </c>
      <c r="BO167" s="183">
        <f>IF(BO121&gt;0,HLOOKUP(BO121,[1]Trav!$C$11:$O$31,$AU$166),0)</f>
        <v>3.5</v>
      </c>
      <c r="BP167" s="183">
        <f>IF(BP121&gt;0,HLOOKUP(BP121,[1]Trav!$C$11:$O$31,$AU$166),0)</f>
        <v>0</v>
      </c>
      <c r="BQ167" s="183">
        <f>IF(BQ121&gt;0,HLOOKUP(BQ121,[1]Trav!$C$11:$O$31,$AU$166),0)</f>
        <v>0</v>
      </c>
      <c r="BR167" s="183">
        <f>IF(BR121&gt;0,HLOOKUP(BR121,[1]Trav!$C$11:$O$31,$AU$166),0)</f>
        <v>0</v>
      </c>
      <c r="BS167" s="183">
        <f>IF(BS121&gt;0,HLOOKUP(BS121,[1]Trav!$C$11:$O$31,$AU$166),0)</f>
        <v>0</v>
      </c>
      <c r="BZ167" s="182" t="str">
        <f t="shared" ref="BZ167:BZ176" si="96">BZ121</f>
        <v>lot1</v>
      </c>
      <c r="CB167" s="183">
        <f>IF(CB121&gt;0,HLOOKUP(CB121,[1]Trav!$C$11:$O$31,$AU$166),0)</f>
        <v>0</v>
      </c>
      <c r="CC167" s="183">
        <f>IF(CC121&gt;0,HLOOKUP(CC121,[1]Trav!$C$11:$O$31,$AU$166),0)</f>
        <v>0</v>
      </c>
      <c r="CD167" s="183">
        <f>IF(CD121&gt;0,HLOOKUP(CD121,[1]Trav!$C$11:$O$31,$AU$166),0)</f>
        <v>0</v>
      </c>
      <c r="CE167" s="183">
        <f>IF(CE121&gt;0,HLOOKUP(CE121,[1]Trav!$C$11:$O$31,$AU$166),0)</f>
        <v>0</v>
      </c>
      <c r="CF167" s="183">
        <f>IF(CF121&gt;0,HLOOKUP(CF121,[1]Trav!$C$11:$O$31,$AU$166),0)</f>
        <v>0</v>
      </c>
      <c r="CG167" s="183">
        <f>IF(CG121&gt;0,HLOOKUP(CG121,[1]Trav!$C$11:$O$31,$AU$166),0)</f>
        <v>0</v>
      </c>
      <c r="CH167" s="183">
        <f>IF(CH121&gt;0,HLOOKUP(CH121,[1]Trav!$C$11:$O$31,$AU$166),0)</f>
        <v>0</v>
      </c>
      <c r="CI167" s="183">
        <f>IF(CI121&gt;0,HLOOKUP(CI121,[1]Trav!$C$11:$O$31,$AU$166),0)</f>
        <v>0</v>
      </c>
      <c r="CJ167" s="183">
        <f>IF(CJ121&gt;0,HLOOKUP(CJ121,[1]Trav!$C$11:$O$31,$AU$166),0)</f>
        <v>0</v>
      </c>
      <c r="CK167" s="183">
        <f>IF(CK121&gt;0,HLOOKUP(CK121,[1]Trav!$C$11:$O$31,$AU$166),0)</f>
        <v>0</v>
      </c>
      <c r="CL167" s="183">
        <f>IF(CL121&gt;0,HLOOKUP(CL121,[1]Trav!$C$11:$O$31,$AU$166),0)</f>
        <v>0</v>
      </c>
      <c r="CM167" s="183">
        <f>IF(CM121&gt;0,HLOOKUP(CM121,[1]Trav!$C$11:$O$31,$AU$166),0)</f>
        <v>0</v>
      </c>
      <c r="CN167" s="183">
        <f>IF(CN121&gt;0,HLOOKUP(CN121,[1]Trav!$C$11:$O$31,$AU$166),0)</f>
        <v>0</v>
      </c>
      <c r="CO167" s="183">
        <f>IF(CO121&gt;0,HLOOKUP(CO121,[1]Trav!$C$11:$O$31,$AU$166),0)</f>
        <v>0</v>
      </c>
      <c r="CP167" s="183">
        <f>IF(CP121&gt;0,HLOOKUP(CP121,[1]Trav!$C$11:$O$31,$AU$166),0)</f>
        <v>0</v>
      </c>
      <c r="CQ167" s="183">
        <f>IF(CQ121&gt;0,HLOOKUP(CQ121,[1]Trav!$C$11:$O$31,$AU$166),0)</f>
        <v>0</v>
      </c>
      <c r="CR167" s="183">
        <f>IF(CR121&gt;0,HLOOKUP(CR121,[1]Trav!$C$11:$O$31,$AU$166),0)</f>
        <v>0</v>
      </c>
      <c r="CS167" s="183">
        <f>IF(CS121&gt;0,HLOOKUP(CS121,[1]Trav!$C$11:$O$31,$AU$166),0)</f>
        <v>0</v>
      </c>
      <c r="CT167" s="183">
        <f>IF(CT121&gt;0,HLOOKUP(CT121,[1]Trav!$C$11:$O$31,$AU$166),0)</f>
        <v>0</v>
      </c>
      <c r="CU167" s="183">
        <f>IF(CU121&gt;0,HLOOKUP(CU121,[1]Trav!$C$11:$O$31,$AU$166),0)</f>
        <v>0</v>
      </c>
      <c r="CV167" s="183">
        <f>IF(CV121&gt;0,HLOOKUP(CV121,[1]Trav!$C$11:$O$31,$AU$166),0)</f>
        <v>0</v>
      </c>
      <c r="CW167" s="183">
        <f>IF(CW121&gt;0,HLOOKUP(CW121,[1]Trav!$C$11:$O$31,$AU$166),0)</f>
        <v>0</v>
      </c>
      <c r="CX167" s="183">
        <f>IF(CX121&gt;0,HLOOKUP(CX121,[1]Trav!$C$11:$O$31,$AU$166),0)</f>
        <v>0</v>
      </c>
      <c r="CY167" s="183">
        <f>IF(CY121&gt;0,HLOOKUP(CY121,[1]Trav!$C$11:$O$31,$AU$166),0)</f>
        <v>0</v>
      </c>
      <c r="DC167" s="182" t="str">
        <f t="shared" ref="DC167:DC176" si="97">DC121</f>
        <v>lot1</v>
      </c>
      <c r="DE167" s="183">
        <f>IF(DE121&gt;0,HLOOKUP(DE121,[1]Trav!$C$11:$O$31,$AU$166),0)</f>
        <v>0</v>
      </c>
      <c r="DF167" s="183">
        <f>IF(DF121&gt;0,HLOOKUP(DF121,[1]Trav!$C$11:$O$31,$AU$166),0)</f>
        <v>0</v>
      </c>
      <c r="DG167" s="183">
        <f>IF(DG121&gt;0,HLOOKUP(DG121,[1]Trav!$C$11:$O$31,$AU$166),0)</f>
        <v>0</v>
      </c>
      <c r="DH167" s="183">
        <f>IF(DH121&gt;0,HLOOKUP(DH121,[1]Trav!$C$11:$O$31,$AU$166),0)</f>
        <v>0</v>
      </c>
      <c r="DI167" s="183">
        <f>IF(DI121&gt;0,HLOOKUP(DI121,[1]Trav!$C$11:$O$31,$AU$166),0)</f>
        <v>0</v>
      </c>
      <c r="DJ167" s="183">
        <f>IF(DJ121&gt;0,HLOOKUP(DJ121,[1]Trav!$C$11:$O$31,$AU$166),0)</f>
        <v>0</v>
      </c>
      <c r="DK167" s="183">
        <f>IF(DK121&gt;0,HLOOKUP(DK121,[1]Trav!$C$11:$O$31,$AU$166),0)</f>
        <v>0</v>
      </c>
      <c r="DL167" s="183">
        <f>IF(DL121&gt;0,HLOOKUP(DL121,[1]Trav!$C$11:$O$31,$AU$166),0)</f>
        <v>0</v>
      </c>
      <c r="DM167" s="183">
        <f>IF(DM121&gt;0,HLOOKUP(DM121,[1]Trav!$C$11:$O$31,$AU$166),0)</f>
        <v>0</v>
      </c>
      <c r="DN167" s="183">
        <f>IF(DN121&gt;0,HLOOKUP(DN121,[1]Trav!$C$11:$O$31,$AU$166),0)</f>
        <v>0</v>
      </c>
      <c r="DO167" s="183">
        <f>IF(DO121&gt;0,HLOOKUP(DO121,[1]Trav!$C$11:$O$31,$AU$166),0)</f>
        <v>0</v>
      </c>
      <c r="DP167" s="183">
        <f>IF(DP121&gt;0,HLOOKUP(DP121,[1]Trav!$C$11:$O$31,$AU$166),0)</f>
        <v>0</v>
      </c>
      <c r="DQ167" s="183">
        <f>IF(DQ121&gt;0,HLOOKUP(DQ121,[1]Trav!$C$11:$O$31,$AU$166),0)</f>
        <v>0</v>
      </c>
      <c r="DR167" s="183">
        <f>IF(DR121&gt;0,HLOOKUP(DR121,[1]Trav!$C$11:$O$31,$AU$166),0)</f>
        <v>0</v>
      </c>
      <c r="DS167" s="183">
        <f>IF(DS121&gt;0,HLOOKUP(DS121,[1]Trav!$C$11:$O$31,$AU$166),0)</f>
        <v>0</v>
      </c>
      <c r="DT167" s="183">
        <f>IF(DT121&gt;0,HLOOKUP(DT121,[1]Trav!$C$11:$O$31,$AU$166),0)</f>
        <v>0</v>
      </c>
      <c r="DU167" s="183">
        <f>IF(DU121&gt;0,HLOOKUP(DU121,[1]Trav!$C$11:$O$31,$AU$166),0)</f>
        <v>0</v>
      </c>
      <c r="DV167" s="183">
        <f>IF(DV121&gt;0,HLOOKUP(DV121,[1]Trav!$C$11:$O$31,$AU$166),0)</f>
        <v>0</v>
      </c>
      <c r="DW167" s="183">
        <f>IF(DW121&gt;0,HLOOKUP(DW121,[1]Trav!$C$11:$O$31,$AU$166),0)</f>
        <v>0</v>
      </c>
      <c r="DX167" s="183">
        <f>IF(DX121&gt;0,HLOOKUP(DX121,[1]Trav!$C$11:$O$31,$AU$166),0)</f>
        <v>0</v>
      </c>
      <c r="DY167" s="183">
        <f>IF(DY121&gt;0,HLOOKUP(DY121,[1]Trav!$C$11:$O$31,$AU$166),0)</f>
        <v>0</v>
      </c>
      <c r="DZ167" s="183">
        <f>IF(DZ121&gt;0,HLOOKUP(DZ121,[1]Trav!$C$11:$O$31,$AU$166),0)</f>
        <v>0</v>
      </c>
      <c r="EA167" s="183">
        <f>IF(EA121&gt;0,HLOOKUP(EA121,[1]Trav!$C$11:$O$31,$AU$166),0)</f>
        <v>0</v>
      </c>
      <c r="EB167" s="183">
        <f>IF(EB121&gt;0,HLOOKUP(EB121,[1]Trav!$C$11:$O$31,$AU$166),0)</f>
        <v>0</v>
      </c>
    </row>
    <row r="168" spans="1:132" x14ac:dyDescent="0.25">
      <c r="B168" s="14" t="s">
        <v>1261</v>
      </c>
      <c r="C168" s="259">
        <f>IF(Troupeau!$D$3="EQ",CdTrp3!$AA$147,0)+IF(Troupeau!$C$3="EQ",CdTrp2!$AA$147,0)</f>
        <v>0</v>
      </c>
      <c r="D168" s="260">
        <f t="shared" si="50"/>
        <v>0</v>
      </c>
      <c r="AT168" s="182" t="str">
        <f t="shared" si="95"/>
        <v>Génisses 24 mois</v>
      </c>
      <c r="AV168" s="183">
        <f>IF(AV122&gt;0,HLOOKUP(AV122,[1]Trav!$C$11:$O$31,$AU$166),0)</f>
        <v>0</v>
      </c>
      <c r="AW168" s="183">
        <f>IF(AW122&gt;0,HLOOKUP(AW122,[1]Trav!$C$11:$O$31,$AU$166),0)</f>
        <v>0</v>
      </c>
      <c r="AX168" s="183">
        <f>IF(AX122&gt;0,HLOOKUP(AX122,[1]Trav!$C$11:$O$31,$AU$166),0)</f>
        <v>0</v>
      </c>
      <c r="AY168" s="183">
        <f>IF(AY122&gt;0,HLOOKUP(AY122,[1]Trav!$C$11:$O$31,$AU$166),0)</f>
        <v>0</v>
      </c>
      <c r="AZ168" s="183">
        <f>IF(AZ122&gt;0,HLOOKUP(AZ122,[1]Trav!$C$11:$O$31,$AU$166),0)</f>
        <v>10.5</v>
      </c>
      <c r="BA168" s="183">
        <f>IF(BA122&gt;0,HLOOKUP(BA122,[1]Trav!$C$11:$O$31,$AU$166),0)</f>
        <v>10.5</v>
      </c>
      <c r="BB168" s="183">
        <f>IF(BB122&gt;0,HLOOKUP(BB122,[1]Trav!$C$11:$O$31,$AU$166),0)</f>
        <v>3.5</v>
      </c>
      <c r="BC168" s="183">
        <f>IF(BC122&gt;0,HLOOKUP(BC122,[1]Trav!$C$11:$O$31,$AU$166),0)</f>
        <v>3.5</v>
      </c>
      <c r="BD168" s="183">
        <f>IF(BD122&gt;0,HLOOKUP(BD122,[1]Trav!$C$11:$O$31,$AU$166),0)</f>
        <v>3.5</v>
      </c>
      <c r="BE168" s="183">
        <f>IF(BE122&gt;0,HLOOKUP(BE122,[1]Trav!$C$11:$O$31,$AU$166),0)</f>
        <v>3.5</v>
      </c>
      <c r="BF168" s="183">
        <f>IF(BF122&gt;0,HLOOKUP(BF122,[1]Trav!$C$11:$O$31,$AU$166),0)</f>
        <v>3.5</v>
      </c>
      <c r="BG168" s="183">
        <f>IF(BG122&gt;0,HLOOKUP(BG122,[1]Trav!$C$11:$O$31,$AU$166),0)</f>
        <v>3.5</v>
      </c>
      <c r="BH168" s="183">
        <f>IF(BH122&gt;0,HLOOKUP(BH122,[1]Trav!$C$11:$O$31,$AU$166),0)</f>
        <v>3.5</v>
      </c>
      <c r="BI168" s="183">
        <f>IF(BI122&gt;0,HLOOKUP(BI122,[1]Trav!$C$11:$O$31,$AU$166),0)</f>
        <v>3.5</v>
      </c>
      <c r="BJ168" s="183">
        <f>IF(BJ122&gt;0,HLOOKUP(BJ122,[1]Trav!$C$11:$O$31,$AU$166),0)</f>
        <v>3.5</v>
      </c>
      <c r="BK168" s="183">
        <f>IF(BK122&gt;0,HLOOKUP(BK122,[1]Trav!$C$11:$O$31,$AU$166),0)</f>
        <v>3.5</v>
      </c>
      <c r="BL168" s="183">
        <f>IF(BL122&gt;0,HLOOKUP(BL122,[1]Trav!$C$11:$O$31,$AU$166),0)</f>
        <v>3.5</v>
      </c>
      <c r="BM168" s="183">
        <f>IF(BM122&gt;0,HLOOKUP(BM122,[1]Trav!$C$11:$O$31,$AU$166),0)</f>
        <v>3.5</v>
      </c>
      <c r="BN168" s="183">
        <f>IF(BN122&gt;0,HLOOKUP(BN122,[1]Trav!$C$11:$O$31,$AU$166),0)</f>
        <v>3.5</v>
      </c>
      <c r="BO168" s="183">
        <f>IF(BO122&gt;0,HLOOKUP(BO122,[1]Trav!$C$11:$O$31,$AU$166),0)</f>
        <v>3.5</v>
      </c>
      <c r="BP168" s="183">
        <f>IF(BP122&gt;0,HLOOKUP(BP122,[1]Trav!$C$11:$O$31,$AU$166),0)</f>
        <v>10.5</v>
      </c>
      <c r="BQ168" s="183">
        <f>IF(BQ122&gt;0,HLOOKUP(BQ122,[1]Trav!$C$11:$O$31,$AU$166),0)</f>
        <v>0</v>
      </c>
      <c r="BR168" s="183">
        <f>IF(BR122&gt;0,HLOOKUP(BR122,[1]Trav!$C$11:$O$31,$AU$166),0)</f>
        <v>0</v>
      </c>
      <c r="BS168" s="183">
        <f>IF(BS122&gt;0,HLOOKUP(BS122,[1]Trav!$C$11:$O$31,$AU$166),0)</f>
        <v>0</v>
      </c>
      <c r="BZ168" s="182" t="str">
        <f t="shared" si="96"/>
        <v>lot2</v>
      </c>
      <c r="CB168" s="183">
        <f>IF(CB122&gt;0,HLOOKUP(CB122,[1]Trav!$C$11:$O$31,$AU$166),0)</f>
        <v>0</v>
      </c>
      <c r="CC168" s="183">
        <f>IF(CC122&gt;0,HLOOKUP(CC122,[1]Trav!$C$11:$O$31,$AU$166),0)</f>
        <v>0</v>
      </c>
      <c r="CD168" s="183">
        <f>IF(CD122&gt;0,HLOOKUP(CD122,[1]Trav!$C$11:$O$31,$AU$166),0)</f>
        <v>0</v>
      </c>
      <c r="CE168" s="183">
        <f>IF(CE122&gt;0,HLOOKUP(CE122,[1]Trav!$C$11:$O$31,$AU$166),0)</f>
        <v>0</v>
      </c>
      <c r="CF168" s="183">
        <f>IF(CF122&gt;0,HLOOKUP(CF122,[1]Trav!$C$11:$O$31,$AU$166),0)</f>
        <v>0</v>
      </c>
      <c r="CG168" s="183">
        <f>IF(CG122&gt;0,HLOOKUP(CG122,[1]Trav!$C$11:$O$31,$AU$166),0)</f>
        <v>0</v>
      </c>
      <c r="CH168" s="183">
        <f>IF(CH122&gt;0,HLOOKUP(CH122,[1]Trav!$C$11:$O$31,$AU$166),0)</f>
        <v>0</v>
      </c>
      <c r="CI168" s="183">
        <f>IF(CI122&gt;0,HLOOKUP(CI122,[1]Trav!$C$11:$O$31,$AU$166),0)</f>
        <v>0</v>
      </c>
      <c r="CJ168" s="183">
        <f>IF(CJ122&gt;0,HLOOKUP(CJ122,[1]Trav!$C$11:$O$31,$AU$166),0)</f>
        <v>0</v>
      </c>
      <c r="CK168" s="183">
        <f>IF(CK122&gt;0,HLOOKUP(CK122,[1]Trav!$C$11:$O$31,$AU$166),0)</f>
        <v>0</v>
      </c>
      <c r="CL168" s="183">
        <f>IF(CL122&gt;0,HLOOKUP(CL122,[1]Trav!$C$11:$O$31,$AU$166),0)</f>
        <v>0</v>
      </c>
      <c r="CM168" s="183">
        <f>IF(CM122&gt;0,HLOOKUP(CM122,[1]Trav!$C$11:$O$31,$AU$166),0)</f>
        <v>0</v>
      </c>
      <c r="CN168" s="183">
        <f>IF(CN122&gt;0,HLOOKUP(CN122,[1]Trav!$C$11:$O$31,$AU$166),0)</f>
        <v>0</v>
      </c>
      <c r="CO168" s="183">
        <f>IF(CO122&gt;0,HLOOKUP(CO122,[1]Trav!$C$11:$O$31,$AU$166),0)</f>
        <v>0</v>
      </c>
      <c r="CP168" s="183">
        <f>IF(CP122&gt;0,HLOOKUP(CP122,[1]Trav!$C$11:$O$31,$AU$166),0)</f>
        <v>0</v>
      </c>
      <c r="CQ168" s="183">
        <f>IF(CQ122&gt;0,HLOOKUP(CQ122,[1]Trav!$C$11:$O$31,$AU$166),0)</f>
        <v>0</v>
      </c>
      <c r="CR168" s="183">
        <f>IF(CR122&gt;0,HLOOKUP(CR122,[1]Trav!$C$11:$O$31,$AU$166),0)</f>
        <v>0</v>
      </c>
      <c r="CS168" s="183">
        <f>IF(CS122&gt;0,HLOOKUP(CS122,[1]Trav!$C$11:$O$31,$AU$166),0)</f>
        <v>0</v>
      </c>
      <c r="CT168" s="183">
        <f>IF(CT122&gt;0,HLOOKUP(CT122,[1]Trav!$C$11:$O$31,$AU$166),0)</f>
        <v>0</v>
      </c>
      <c r="CU168" s="183">
        <f>IF(CU122&gt;0,HLOOKUP(CU122,[1]Trav!$C$11:$O$31,$AU$166),0)</f>
        <v>0</v>
      </c>
      <c r="CV168" s="183">
        <f>IF(CV122&gt;0,HLOOKUP(CV122,[1]Trav!$C$11:$O$31,$AU$166),0)</f>
        <v>0</v>
      </c>
      <c r="CW168" s="183">
        <f>IF(CW122&gt;0,HLOOKUP(CW122,[1]Trav!$C$11:$O$31,$AU$166),0)</f>
        <v>0</v>
      </c>
      <c r="CX168" s="183">
        <f>IF(CX122&gt;0,HLOOKUP(CX122,[1]Trav!$C$11:$O$31,$AU$166),0)</f>
        <v>0</v>
      </c>
      <c r="CY168" s="183">
        <f>IF(CY122&gt;0,HLOOKUP(CY122,[1]Trav!$C$11:$O$31,$AU$166),0)</f>
        <v>0</v>
      </c>
      <c r="DC168" s="182" t="str">
        <f t="shared" si="97"/>
        <v>lot2</v>
      </c>
      <c r="DE168" s="183">
        <f>IF(DE122&gt;0,HLOOKUP(DE122,[1]Trav!$C$11:$O$31,$AU$166),0)</f>
        <v>0</v>
      </c>
      <c r="DF168" s="183">
        <f>IF(DF122&gt;0,HLOOKUP(DF122,[1]Trav!$C$11:$O$31,$AU$166),0)</f>
        <v>0</v>
      </c>
      <c r="DG168" s="183">
        <f>IF(DG122&gt;0,HLOOKUP(DG122,[1]Trav!$C$11:$O$31,$AU$166),0)</f>
        <v>0</v>
      </c>
      <c r="DH168" s="183">
        <f>IF(DH122&gt;0,HLOOKUP(DH122,[1]Trav!$C$11:$O$31,$AU$166),0)</f>
        <v>0</v>
      </c>
      <c r="DI168" s="183">
        <f>IF(DI122&gt;0,HLOOKUP(DI122,[1]Trav!$C$11:$O$31,$AU$166),0)</f>
        <v>0</v>
      </c>
      <c r="DJ168" s="183">
        <f>IF(DJ122&gt;0,HLOOKUP(DJ122,[1]Trav!$C$11:$O$31,$AU$166),0)</f>
        <v>0</v>
      </c>
      <c r="DK168" s="183">
        <f>IF(DK122&gt;0,HLOOKUP(DK122,[1]Trav!$C$11:$O$31,$AU$166),0)</f>
        <v>0</v>
      </c>
      <c r="DL168" s="183">
        <f>IF(DL122&gt;0,HLOOKUP(DL122,[1]Trav!$C$11:$O$31,$AU$166),0)</f>
        <v>0</v>
      </c>
      <c r="DM168" s="183">
        <f>IF(DM122&gt;0,HLOOKUP(DM122,[1]Trav!$C$11:$O$31,$AU$166),0)</f>
        <v>0</v>
      </c>
      <c r="DN168" s="183">
        <f>IF(DN122&gt;0,HLOOKUP(DN122,[1]Trav!$C$11:$O$31,$AU$166),0)</f>
        <v>0</v>
      </c>
      <c r="DO168" s="183">
        <f>IF(DO122&gt;0,HLOOKUP(DO122,[1]Trav!$C$11:$O$31,$AU$166),0)</f>
        <v>0</v>
      </c>
      <c r="DP168" s="183">
        <f>IF(DP122&gt;0,HLOOKUP(DP122,[1]Trav!$C$11:$O$31,$AU$166),0)</f>
        <v>0</v>
      </c>
      <c r="DQ168" s="183">
        <f>IF(DQ122&gt;0,HLOOKUP(DQ122,[1]Trav!$C$11:$O$31,$AU$166),0)</f>
        <v>0</v>
      </c>
      <c r="DR168" s="183">
        <f>IF(DR122&gt;0,HLOOKUP(DR122,[1]Trav!$C$11:$O$31,$AU$166),0)</f>
        <v>0</v>
      </c>
      <c r="DS168" s="183">
        <f>IF(DS122&gt;0,HLOOKUP(DS122,[1]Trav!$C$11:$O$31,$AU$166),0)</f>
        <v>0</v>
      </c>
      <c r="DT168" s="183">
        <f>IF(DT122&gt;0,HLOOKUP(DT122,[1]Trav!$C$11:$O$31,$AU$166),0)</f>
        <v>0</v>
      </c>
      <c r="DU168" s="183">
        <f>IF(DU122&gt;0,HLOOKUP(DU122,[1]Trav!$C$11:$O$31,$AU$166),0)</f>
        <v>0</v>
      </c>
      <c r="DV168" s="183">
        <f>IF(DV122&gt;0,HLOOKUP(DV122,[1]Trav!$C$11:$O$31,$AU$166),0)</f>
        <v>0</v>
      </c>
      <c r="DW168" s="183">
        <f>IF(DW122&gt;0,HLOOKUP(DW122,[1]Trav!$C$11:$O$31,$AU$166),0)</f>
        <v>0</v>
      </c>
      <c r="DX168" s="183">
        <f>IF(DX122&gt;0,HLOOKUP(DX122,[1]Trav!$C$11:$O$31,$AU$166),0)</f>
        <v>0</v>
      </c>
      <c r="DY168" s="183">
        <f>IF(DY122&gt;0,HLOOKUP(DY122,[1]Trav!$C$11:$O$31,$AU$166),0)</f>
        <v>0</v>
      </c>
      <c r="DZ168" s="183">
        <f>IF(DZ122&gt;0,HLOOKUP(DZ122,[1]Trav!$C$11:$O$31,$AU$166),0)</f>
        <v>0</v>
      </c>
      <c r="EA168" s="183">
        <f>IF(EA122&gt;0,HLOOKUP(EA122,[1]Trav!$C$11:$O$31,$AU$166),0)</f>
        <v>0</v>
      </c>
      <c r="EB168" s="183">
        <f>IF(EB122&gt;0,HLOOKUP(EB122,[1]Trav!$C$11:$O$31,$AU$166),0)</f>
        <v>0</v>
      </c>
    </row>
    <row r="169" spans="1:132" x14ac:dyDescent="0.25">
      <c r="B169" s="14" t="s">
        <v>1262</v>
      </c>
      <c r="C169" s="168">
        <f>SUM('Alim -Surf'!D24:H24)</f>
        <v>133.73612199999999</v>
      </c>
      <c r="D169" s="260">
        <f t="shared" si="50"/>
        <v>176.02874177777775</v>
      </c>
      <c r="AT169" s="182" t="str">
        <f t="shared" si="95"/>
        <v>Génisses jeunes</v>
      </c>
      <c r="AV169" s="183">
        <f>IF(AV123&gt;0,HLOOKUP(AV123,[1]Trav!$C$11:$O$31,$AU$166),0)</f>
        <v>0</v>
      </c>
      <c r="AW169" s="183">
        <f>IF(AW123&gt;0,HLOOKUP(AW123,[1]Trav!$C$11:$O$31,$AU$166),0)</f>
        <v>0</v>
      </c>
      <c r="AX169" s="183">
        <f>IF(AX123&gt;0,HLOOKUP(AX123,[1]Trav!$C$11:$O$31,$AU$166),0)</f>
        <v>0</v>
      </c>
      <c r="AY169" s="183">
        <f>IF(AY123&gt;0,HLOOKUP(AY123,[1]Trav!$C$11:$O$31,$AU$166),0)</f>
        <v>0</v>
      </c>
      <c r="AZ169" s="183">
        <f>IF(AZ123&gt;0,HLOOKUP(AZ123,[1]Trav!$C$11:$O$31,$AU$166),0)</f>
        <v>0</v>
      </c>
      <c r="BA169" s="183">
        <f>IF(BA123&gt;0,HLOOKUP(BA123,[1]Trav!$C$11:$O$31,$AU$166),0)</f>
        <v>0</v>
      </c>
      <c r="BB169" s="183">
        <f>IF(BB123&gt;0,HLOOKUP(BB123,[1]Trav!$C$11:$O$31,$AU$166),0)</f>
        <v>0</v>
      </c>
      <c r="BC169" s="183">
        <f>IF(BC123&gt;0,HLOOKUP(BC123,[1]Trav!$C$11:$O$31,$AU$166),0)</f>
        <v>0</v>
      </c>
      <c r="BD169" s="183">
        <f>IF(BD123&gt;0,HLOOKUP(BD123,[1]Trav!$C$11:$O$31,$AU$166),0)</f>
        <v>0</v>
      </c>
      <c r="BE169" s="183">
        <f>IF(BE123&gt;0,HLOOKUP(BE123,[1]Trav!$C$11:$O$31,$AU$166),0)</f>
        <v>10.5</v>
      </c>
      <c r="BF169" s="183">
        <f>IF(BF123&gt;0,HLOOKUP(BF123,[1]Trav!$C$11:$O$31,$AU$166),0)</f>
        <v>10.5</v>
      </c>
      <c r="BG169" s="183">
        <f>IF(BG123&gt;0,HLOOKUP(BG123,[1]Trav!$C$11:$O$31,$AU$166),0)</f>
        <v>10.5</v>
      </c>
      <c r="BH169" s="183">
        <f>IF(BH123&gt;0,HLOOKUP(BH123,[1]Trav!$C$11:$O$31,$AU$166),0)</f>
        <v>10.5</v>
      </c>
      <c r="BI169" s="183">
        <f>IF(BI123&gt;0,HLOOKUP(BI123,[1]Trav!$C$11:$O$31,$AU$166),0)</f>
        <v>10.5</v>
      </c>
      <c r="BJ169" s="183">
        <f>IF(BJ123&gt;0,HLOOKUP(BJ123,[1]Trav!$C$11:$O$31,$AU$166),0)</f>
        <v>10.5</v>
      </c>
      <c r="BK169" s="183">
        <f>IF(BK123&gt;0,HLOOKUP(BK123,[1]Trav!$C$11:$O$31,$AU$166),0)</f>
        <v>10.5</v>
      </c>
      <c r="BL169" s="183">
        <f>IF(BL123&gt;0,HLOOKUP(BL123,[1]Trav!$C$11:$O$31,$AU$166),0)</f>
        <v>10.5</v>
      </c>
      <c r="BM169" s="183">
        <f>IF(BM123&gt;0,HLOOKUP(BM123,[1]Trav!$C$11:$O$31,$AU$166),0)</f>
        <v>10.5</v>
      </c>
      <c r="BN169" s="183">
        <f>IF(BN123&gt;0,HLOOKUP(BN123,[1]Trav!$C$11:$O$31,$AU$166),0)</f>
        <v>10.5</v>
      </c>
      <c r="BO169" s="183">
        <f>IF(BO123&gt;0,HLOOKUP(BO123,[1]Trav!$C$11:$O$31,$AU$166),0)</f>
        <v>10.5</v>
      </c>
      <c r="BP169" s="183">
        <f>IF(BP123&gt;0,HLOOKUP(BP123,[1]Trav!$C$11:$O$31,$AU$166),0)</f>
        <v>10.5</v>
      </c>
      <c r="BQ169" s="183">
        <f>IF(BQ123&gt;0,HLOOKUP(BQ123,[1]Trav!$C$11:$O$31,$AU$166),0)</f>
        <v>0</v>
      </c>
      <c r="BR169" s="183">
        <f>IF(BR123&gt;0,HLOOKUP(BR123,[1]Trav!$C$11:$O$31,$AU$166),0)</f>
        <v>0</v>
      </c>
      <c r="BS169" s="183">
        <f>IF(BS123&gt;0,HLOOKUP(BS123,[1]Trav!$C$11:$O$31,$AU$166),0)</f>
        <v>0</v>
      </c>
      <c r="BZ169" s="182" t="str">
        <f t="shared" si="96"/>
        <v>lot3</v>
      </c>
      <c r="CB169" s="183">
        <f>IF(CB123&gt;0,HLOOKUP(CB123,[1]Trav!$C$11:$O$31,$AU$166),0)</f>
        <v>0</v>
      </c>
      <c r="CC169" s="183">
        <f>IF(CC123&gt;0,HLOOKUP(CC123,[1]Trav!$C$11:$O$31,$AU$166),0)</f>
        <v>0</v>
      </c>
      <c r="CD169" s="183">
        <f>IF(CD123&gt;0,HLOOKUP(CD123,[1]Trav!$C$11:$O$31,$AU$166),0)</f>
        <v>0</v>
      </c>
      <c r="CE169" s="183">
        <f>IF(CE123&gt;0,HLOOKUP(CE123,[1]Trav!$C$11:$O$31,$AU$166),0)</f>
        <v>0</v>
      </c>
      <c r="CF169" s="183">
        <f>IF(CF123&gt;0,HLOOKUP(CF123,[1]Trav!$C$11:$O$31,$AU$166),0)</f>
        <v>0</v>
      </c>
      <c r="CG169" s="183">
        <f>IF(CG123&gt;0,HLOOKUP(CG123,[1]Trav!$C$11:$O$31,$AU$166),0)</f>
        <v>0</v>
      </c>
      <c r="CH169" s="183">
        <f>IF(CH123&gt;0,HLOOKUP(CH123,[1]Trav!$C$11:$O$31,$AU$166),0)</f>
        <v>0</v>
      </c>
      <c r="CI169" s="183">
        <f>IF(CI123&gt;0,HLOOKUP(CI123,[1]Trav!$C$11:$O$31,$AU$166),0)</f>
        <v>0</v>
      </c>
      <c r="CJ169" s="183">
        <f>IF(CJ123&gt;0,HLOOKUP(CJ123,[1]Trav!$C$11:$O$31,$AU$166),0)</f>
        <v>0</v>
      </c>
      <c r="CK169" s="183">
        <f>IF(CK123&gt;0,HLOOKUP(CK123,[1]Trav!$C$11:$O$31,$AU$166),0)</f>
        <v>0</v>
      </c>
      <c r="CL169" s="183">
        <f>IF(CL123&gt;0,HLOOKUP(CL123,[1]Trav!$C$11:$O$31,$AU$166),0)</f>
        <v>0</v>
      </c>
      <c r="CM169" s="183">
        <f>IF(CM123&gt;0,HLOOKUP(CM123,[1]Trav!$C$11:$O$31,$AU$166),0)</f>
        <v>0</v>
      </c>
      <c r="CN169" s="183">
        <f>IF(CN123&gt;0,HLOOKUP(CN123,[1]Trav!$C$11:$O$31,$AU$166),0)</f>
        <v>0</v>
      </c>
      <c r="CO169" s="183">
        <f>IF(CO123&gt;0,HLOOKUP(CO123,[1]Trav!$C$11:$O$31,$AU$166),0)</f>
        <v>0</v>
      </c>
      <c r="CP169" s="183">
        <f>IF(CP123&gt;0,HLOOKUP(CP123,[1]Trav!$C$11:$O$31,$AU$166),0)</f>
        <v>0</v>
      </c>
      <c r="CQ169" s="183">
        <f>IF(CQ123&gt;0,HLOOKUP(CQ123,[1]Trav!$C$11:$O$31,$AU$166),0)</f>
        <v>0</v>
      </c>
      <c r="CR169" s="183">
        <f>IF(CR123&gt;0,HLOOKUP(CR123,[1]Trav!$C$11:$O$31,$AU$166),0)</f>
        <v>0</v>
      </c>
      <c r="CS169" s="183">
        <f>IF(CS123&gt;0,HLOOKUP(CS123,[1]Trav!$C$11:$O$31,$AU$166),0)</f>
        <v>0</v>
      </c>
      <c r="CT169" s="183">
        <f>IF(CT123&gt;0,HLOOKUP(CT123,[1]Trav!$C$11:$O$31,$AU$166),0)</f>
        <v>0</v>
      </c>
      <c r="CU169" s="183">
        <f>IF(CU123&gt;0,HLOOKUP(CU123,[1]Trav!$C$11:$O$31,$AU$166),0)</f>
        <v>0</v>
      </c>
      <c r="CV169" s="183">
        <f>IF(CV123&gt;0,HLOOKUP(CV123,[1]Trav!$C$11:$O$31,$AU$166),0)</f>
        <v>0</v>
      </c>
      <c r="CW169" s="183">
        <f>IF(CW123&gt;0,HLOOKUP(CW123,[1]Trav!$C$11:$O$31,$AU$166),0)</f>
        <v>0</v>
      </c>
      <c r="CX169" s="183">
        <f>IF(CX123&gt;0,HLOOKUP(CX123,[1]Trav!$C$11:$O$31,$AU$166),0)</f>
        <v>0</v>
      </c>
      <c r="CY169" s="183">
        <f>IF(CY123&gt;0,HLOOKUP(CY123,[1]Trav!$C$11:$O$31,$AU$166),0)</f>
        <v>0</v>
      </c>
      <c r="DC169" s="182" t="str">
        <f t="shared" si="97"/>
        <v>lot3</v>
      </c>
      <c r="DE169" s="183">
        <f>IF(DE123&gt;0,HLOOKUP(DE123,[1]Trav!$C$11:$O$31,$AU$166),0)</f>
        <v>0</v>
      </c>
      <c r="DF169" s="183">
        <f>IF(DF123&gt;0,HLOOKUP(DF123,[1]Trav!$C$11:$O$31,$AU$166),0)</f>
        <v>0</v>
      </c>
      <c r="DG169" s="183">
        <f>IF(DG123&gt;0,HLOOKUP(DG123,[1]Trav!$C$11:$O$31,$AU$166),0)</f>
        <v>0</v>
      </c>
      <c r="DH169" s="183">
        <f>IF(DH123&gt;0,HLOOKUP(DH123,[1]Trav!$C$11:$O$31,$AU$166),0)</f>
        <v>0</v>
      </c>
      <c r="DI169" s="183">
        <f>IF(DI123&gt;0,HLOOKUP(DI123,[1]Trav!$C$11:$O$31,$AU$166),0)</f>
        <v>0</v>
      </c>
      <c r="DJ169" s="183">
        <f>IF(DJ123&gt;0,HLOOKUP(DJ123,[1]Trav!$C$11:$O$31,$AU$166),0)</f>
        <v>0</v>
      </c>
      <c r="DK169" s="183">
        <f>IF(DK123&gt;0,HLOOKUP(DK123,[1]Trav!$C$11:$O$31,$AU$166),0)</f>
        <v>0</v>
      </c>
      <c r="DL169" s="183">
        <f>IF(DL123&gt;0,HLOOKUP(DL123,[1]Trav!$C$11:$O$31,$AU$166),0)</f>
        <v>0</v>
      </c>
      <c r="DM169" s="183">
        <f>IF(DM123&gt;0,HLOOKUP(DM123,[1]Trav!$C$11:$O$31,$AU$166),0)</f>
        <v>0</v>
      </c>
      <c r="DN169" s="183">
        <f>IF(DN123&gt;0,HLOOKUP(DN123,[1]Trav!$C$11:$O$31,$AU$166),0)</f>
        <v>0</v>
      </c>
      <c r="DO169" s="183">
        <f>IF(DO123&gt;0,HLOOKUP(DO123,[1]Trav!$C$11:$O$31,$AU$166),0)</f>
        <v>0</v>
      </c>
      <c r="DP169" s="183">
        <f>IF(DP123&gt;0,HLOOKUP(DP123,[1]Trav!$C$11:$O$31,$AU$166),0)</f>
        <v>0</v>
      </c>
      <c r="DQ169" s="183">
        <f>IF(DQ123&gt;0,HLOOKUP(DQ123,[1]Trav!$C$11:$O$31,$AU$166),0)</f>
        <v>0</v>
      </c>
      <c r="DR169" s="183">
        <f>IF(DR123&gt;0,HLOOKUP(DR123,[1]Trav!$C$11:$O$31,$AU$166),0)</f>
        <v>0</v>
      </c>
      <c r="DS169" s="183">
        <f>IF(DS123&gt;0,HLOOKUP(DS123,[1]Trav!$C$11:$O$31,$AU$166),0)</f>
        <v>0</v>
      </c>
      <c r="DT169" s="183">
        <f>IF(DT123&gt;0,HLOOKUP(DT123,[1]Trav!$C$11:$O$31,$AU$166),0)</f>
        <v>0</v>
      </c>
      <c r="DU169" s="183">
        <f>IF(DU123&gt;0,HLOOKUP(DU123,[1]Trav!$C$11:$O$31,$AU$166),0)</f>
        <v>0</v>
      </c>
      <c r="DV169" s="183">
        <f>IF(DV123&gt;0,HLOOKUP(DV123,[1]Trav!$C$11:$O$31,$AU$166),0)</f>
        <v>0</v>
      </c>
      <c r="DW169" s="183">
        <f>IF(DW123&gt;0,HLOOKUP(DW123,[1]Trav!$C$11:$O$31,$AU$166),0)</f>
        <v>0</v>
      </c>
      <c r="DX169" s="183">
        <f>IF(DX123&gt;0,HLOOKUP(DX123,[1]Trav!$C$11:$O$31,$AU$166),0)</f>
        <v>0</v>
      </c>
      <c r="DY169" s="183">
        <f>IF(DY123&gt;0,HLOOKUP(DY123,[1]Trav!$C$11:$O$31,$AU$166),0)</f>
        <v>0</v>
      </c>
      <c r="DZ169" s="183">
        <f>IF(DZ123&gt;0,HLOOKUP(DZ123,[1]Trav!$C$11:$O$31,$AU$166),0)</f>
        <v>0</v>
      </c>
      <c r="EA169" s="183">
        <f>IF(EA123&gt;0,HLOOKUP(EA123,[1]Trav!$C$11:$O$31,$AU$166),0)</f>
        <v>0</v>
      </c>
      <c r="EB169" s="183">
        <f>IF(EB123&gt;0,HLOOKUP(EB123,[1]Trav!$C$11:$O$31,$AU$166),0)</f>
        <v>0</v>
      </c>
    </row>
    <row r="170" spans="1:132" x14ac:dyDescent="0.25">
      <c r="B170" s="14" t="s">
        <v>1263</v>
      </c>
      <c r="C170" s="168">
        <f>SUM('Alim -Surf'!D25:H25)</f>
        <v>108.02710799999998</v>
      </c>
      <c r="D170" s="260">
        <f t="shared" si="50"/>
        <v>142.18952676923075</v>
      </c>
      <c r="AT170" s="182" t="str">
        <f t="shared" si="95"/>
        <v>broutards</v>
      </c>
      <c r="AV170" s="183">
        <f>IF(AV124&gt;0,HLOOKUP(AV124,[1]Trav!$C$11:$O$31,$AU$166),0)</f>
        <v>0</v>
      </c>
      <c r="AW170" s="183">
        <f>IF(AW124&gt;0,HLOOKUP(AW124,[1]Trav!$C$11:$O$31,$AU$166),0)</f>
        <v>0</v>
      </c>
      <c r="AX170" s="183">
        <f>IF(AX124&gt;0,HLOOKUP(AX124,[1]Trav!$C$11:$O$31,$AU$166),0)</f>
        <v>0</v>
      </c>
      <c r="AY170" s="183">
        <f>IF(AY124&gt;0,HLOOKUP(AY124,[1]Trav!$C$11:$O$31,$AU$166),0)</f>
        <v>0</v>
      </c>
      <c r="AZ170" s="183">
        <f>IF(AZ124&gt;0,HLOOKUP(AZ124,[1]Trav!$C$11:$O$31,$AU$166),0)</f>
        <v>0</v>
      </c>
      <c r="BA170" s="183">
        <f>IF(BA124&gt;0,HLOOKUP(BA124,[1]Trav!$C$11:$O$31,$AU$166),0)</f>
        <v>0</v>
      </c>
      <c r="BB170" s="183">
        <f>IF(BB124&gt;0,HLOOKUP(BB124,[1]Trav!$C$11:$O$31,$AU$166),0)</f>
        <v>0</v>
      </c>
      <c r="BC170" s="183">
        <f>IF(BC124&gt;0,HLOOKUP(BC124,[1]Trav!$C$11:$O$31,$AU$166),0)</f>
        <v>0</v>
      </c>
      <c r="BD170" s="183">
        <f>IF(BD124&gt;0,HLOOKUP(BD124,[1]Trav!$C$11:$O$31,$AU$166),0)</f>
        <v>0</v>
      </c>
      <c r="BE170" s="183">
        <f>IF(BE124&gt;0,HLOOKUP(BE124,[1]Trav!$C$11:$O$31,$AU$166),0)</f>
        <v>0</v>
      </c>
      <c r="BF170" s="183">
        <f>IF(BF124&gt;0,HLOOKUP(BF124,[1]Trav!$C$11:$O$31,$AU$166),0)</f>
        <v>0</v>
      </c>
      <c r="BG170" s="183">
        <f>IF(BG124&gt;0,HLOOKUP(BG124,[1]Trav!$C$11:$O$31,$AU$166),0)</f>
        <v>0</v>
      </c>
      <c r="BH170" s="183">
        <f>IF(BH124&gt;0,HLOOKUP(BH124,[1]Trav!$C$11:$O$31,$AU$166),0)</f>
        <v>0</v>
      </c>
      <c r="BI170" s="183">
        <f>IF(BI124&gt;0,HLOOKUP(BI124,[1]Trav!$C$11:$O$31,$AU$166),0)</f>
        <v>0</v>
      </c>
      <c r="BJ170" s="183">
        <f>IF(BJ124&gt;0,HLOOKUP(BJ124,[1]Trav!$C$11:$O$31,$AU$166),0)</f>
        <v>0</v>
      </c>
      <c r="BK170" s="183">
        <f>IF(BK124&gt;0,HLOOKUP(BK124,[1]Trav!$C$11:$O$31,$AU$166),0)</f>
        <v>0</v>
      </c>
      <c r="BL170" s="183">
        <f>IF(BL124&gt;0,HLOOKUP(BL124,[1]Trav!$C$11:$O$31,$AU$166),0)</f>
        <v>0</v>
      </c>
      <c r="BM170" s="183">
        <f>IF(BM124&gt;0,HLOOKUP(BM124,[1]Trav!$C$11:$O$31,$AU$166),0)</f>
        <v>0</v>
      </c>
      <c r="BN170" s="183">
        <f>IF(BN124&gt;0,HLOOKUP(BN124,[1]Trav!$C$11:$O$31,$AU$166),0)</f>
        <v>0</v>
      </c>
      <c r="BO170" s="183">
        <f>IF(BO124&gt;0,HLOOKUP(BO124,[1]Trav!$C$11:$O$31,$AU$166),0)</f>
        <v>0</v>
      </c>
      <c r="BP170" s="183">
        <f>IF(BP124&gt;0,HLOOKUP(BP124,[1]Trav!$C$11:$O$31,$AU$166),0)</f>
        <v>0</v>
      </c>
      <c r="BQ170" s="183">
        <f>IF(BQ124&gt;0,HLOOKUP(BQ124,[1]Trav!$C$11:$O$31,$AU$166),0)</f>
        <v>0</v>
      </c>
      <c r="BR170" s="183">
        <f>IF(BR124&gt;0,HLOOKUP(BR124,[1]Trav!$C$11:$O$31,$AU$166),0)</f>
        <v>0</v>
      </c>
      <c r="BS170" s="183">
        <f>IF(BS124&gt;0,HLOOKUP(BS124,[1]Trav!$C$11:$O$31,$AU$166),0)</f>
        <v>0</v>
      </c>
      <c r="BZ170" s="182" t="str">
        <f t="shared" si="96"/>
        <v>lot4</v>
      </c>
      <c r="CB170" s="183">
        <f>IF(CB124&gt;0,HLOOKUP(CB124,[1]Trav!$C$11:$O$31,$AU$166),0)</f>
        <v>0</v>
      </c>
      <c r="CC170" s="183">
        <f>IF(CC124&gt;0,HLOOKUP(CC124,[1]Trav!$C$11:$O$31,$AU$166),0)</f>
        <v>0</v>
      </c>
      <c r="CD170" s="183">
        <f>IF(CD124&gt;0,HLOOKUP(CD124,[1]Trav!$C$11:$O$31,$AU$166),0)</f>
        <v>0</v>
      </c>
      <c r="CE170" s="183">
        <f>IF(CE124&gt;0,HLOOKUP(CE124,[1]Trav!$C$11:$O$31,$AU$166),0)</f>
        <v>0</v>
      </c>
      <c r="CF170" s="183">
        <f>IF(CF124&gt;0,HLOOKUP(CF124,[1]Trav!$C$11:$O$31,$AU$166),0)</f>
        <v>0</v>
      </c>
      <c r="CG170" s="183">
        <f>IF(CG124&gt;0,HLOOKUP(CG124,[1]Trav!$C$11:$O$31,$AU$166),0)</f>
        <v>0</v>
      </c>
      <c r="CH170" s="183">
        <f>IF(CH124&gt;0,HLOOKUP(CH124,[1]Trav!$C$11:$O$31,$AU$166),0)</f>
        <v>0</v>
      </c>
      <c r="CI170" s="183">
        <f>IF(CI124&gt;0,HLOOKUP(CI124,[1]Trav!$C$11:$O$31,$AU$166),0)</f>
        <v>0</v>
      </c>
      <c r="CJ170" s="183">
        <f>IF(CJ124&gt;0,HLOOKUP(CJ124,[1]Trav!$C$11:$O$31,$AU$166),0)</f>
        <v>0</v>
      </c>
      <c r="CK170" s="183">
        <f>IF(CK124&gt;0,HLOOKUP(CK124,[1]Trav!$C$11:$O$31,$AU$166),0)</f>
        <v>0</v>
      </c>
      <c r="CL170" s="183">
        <f>IF(CL124&gt;0,HLOOKUP(CL124,[1]Trav!$C$11:$O$31,$AU$166),0)</f>
        <v>0</v>
      </c>
      <c r="CM170" s="183">
        <f>IF(CM124&gt;0,HLOOKUP(CM124,[1]Trav!$C$11:$O$31,$AU$166),0)</f>
        <v>0</v>
      </c>
      <c r="CN170" s="183">
        <f>IF(CN124&gt;0,HLOOKUP(CN124,[1]Trav!$C$11:$O$31,$AU$166),0)</f>
        <v>0</v>
      </c>
      <c r="CO170" s="183">
        <f>IF(CO124&gt;0,HLOOKUP(CO124,[1]Trav!$C$11:$O$31,$AU$166),0)</f>
        <v>0</v>
      </c>
      <c r="CP170" s="183">
        <f>IF(CP124&gt;0,HLOOKUP(CP124,[1]Trav!$C$11:$O$31,$AU$166),0)</f>
        <v>0</v>
      </c>
      <c r="CQ170" s="183">
        <f>IF(CQ124&gt;0,HLOOKUP(CQ124,[1]Trav!$C$11:$O$31,$AU$166),0)</f>
        <v>0</v>
      </c>
      <c r="CR170" s="183">
        <f>IF(CR124&gt;0,HLOOKUP(CR124,[1]Trav!$C$11:$O$31,$AU$166),0)</f>
        <v>0</v>
      </c>
      <c r="CS170" s="183">
        <f>IF(CS124&gt;0,HLOOKUP(CS124,[1]Trav!$C$11:$O$31,$AU$166),0)</f>
        <v>0</v>
      </c>
      <c r="CT170" s="183">
        <f>IF(CT124&gt;0,HLOOKUP(CT124,[1]Trav!$C$11:$O$31,$AU$166),0)</f>
        <v>0</v>
      </c>
      <c r="CU170" s="183">
        <f>IF(CU124&gt;0,HLOOKUP(CU124,[1]Trav!$C$11:$O$31,$AU$166),0)</f>
        <v>0</v>
      </c>
      <c r="CV170" s="183">
        <f>IF(CV124&gt;0,HLOOKUP(CV124,[1]Trav!$C$11:$O$31,$AU$166),0)</f>
        <v>0</v>
      </c>
      <c r="CW170" s="183">
        <f>IF(CW124&gt;0,HLOOKUP(CW124,[1]Trav!$C$11:$O$31,$AU$166),0)</f>
        <v>0</v>
      </c>
      <c r="CX170" s="183">
        <f>IF(CX124&gt;0,HLOOKUP(CX124,[1]Trav!$C$11:$O$31,$AU$166),0)</f>
        <v>0</v>
      </c>
      <c r="CY170" s="183">
        <f>IF(CY124&gt;0,HLOOKUP(CY124,[1]Trav!$C$11:$O$31,$AU$166),0)</f>
        <v>0</v>
      </c>
      <c r="DC170" s="182" t="str">
        <f t="shared" si="97"/>
        <v>lot4</v>
      </c>
      <c r="DE170" s="183">
        <f>IF(DE124&gt;0,HLOOKUP(DE124,[1]Trav!$C$11:$O$31,$AU$166),0)</f>
        <v>0</v>
      </c>
      <c r="DF170" s="183">
        <f>IF(DF124&gt;0,HLOOKUP(DF124,[1]Trav!$C$11:$O$31,$AU$166),0)</f>
        <v>0</v>
      </c>
      <c r="DG170" s="183">
        <f>IF(DG124&gt;0,HLOOKUP(DG124,[1]Trav!$C$11:$O$31,$AU$166),0)</f>
        <v>0</v>
      </c>
      <c r="DH170" s="183">
        <f>IF(DH124&gt;0,HLOOKUP(DH124,[1]Trav!$C$11:$O$31,$AU$166),0)</f>
        <v>0</v>
      </c>
      <c r="DI170" s="183">
        <f>IF(DI124&gt;0,HLOOKUP(DI124,[1]Trav!$C$11:$O$31,$AU$166),0)</f>
        <v>0</v>
      </c>
      <c r="DJ170" s="183">
        <f>IF(DJ124&gt;0,HLOOKUP(DJ124,[1]Trav!$C$11:$O$31,$AU$166),0)</f>
        <v>0</v>
      </c>
      <c r="DK170" s="183">
        <f>IF(DK124&gt;0,HLOOKUP(DK124,[1]Trav!$C$11:$O$31,$AU$166),0)</f>
        <v>0</v>
      </c>
      <c r="DL170" s="183">
        <f>IF(DL124&gt;0,HLOOKUP(DL124,[1]Trav!$C$11:$O$31,$AU$166),0)</f>
        <v>0</v>
      </c>
      <c r="DM170" s="183">
        <f>IF(DM124&gt;0,HLOOKUP(DM124,[1]Trav!$C$11:$O$31,$AU$166),0)</f>
        <v>0</v>
      </c>
      <c r="DN170" s="183">
        <f>IF(DN124&gt;0,HLOOKUP(DN124,[1]Trav!$C$11:$O$31,$AU$166),0)</f>
        <v>0</v>
      </c>
      <c r="DO170" s="183">
        <f>IF(DO124&gt;0,HLOOKUP(DO124,[1]Trav!$C$11:$O$31,$AU$166),0)</f>
        <v>0</v>
      </c>
      <c r="DP170" s="183">
        <f>IF(DP124&gt;0,HLOOKUP(DP124,[1]Trav!$C$11:$O$31,$AU$166),0)</f>
        <v>0</v>
      </c>
      <c r="DQ170" s="183">
        <f>IF(DQ124&gt;0,HLOOKUP(DQ124,[1]Trav!$C$11:$O$31,$AU$166),0)</f>
        <v>0</v>
      </c>
      <c r="DR170" s="183">
        <f>IF(DR124&gt;0,HLOOKUP(DR124,[1]Trav!$C$11:$O$31,$AU$166),0)</f>
        <v>0</v>
      </c>
      <c r="DS170" s="183">
        <f>IF(DS124&gt;0,HLOOKUP(DS124,[1]Trav!$C$11:$O$31,$AU$166),0)</f>
        <v>0</v>
      </c>
      <c r="DT170" s="183">
        <f>IF(DT124&gt;0,HLOOKUP(DT124,[1]Trav!$C$11:$O$31,$AU$166),0)</f>
        <v>0</v>
      </c>
      <c r="DU170" s="183">
        <f>IF(DU124&gt;0,HLOOKUP(DU124,[1]Trav!$C$11:$O$31,$AU$166),0)</f>
        <v>0</v>
      </c>
      <c r="DV170" s="183">
        <f>IF(DV124&gt;0,HLOOKUP(DV124,[1]Trav!$C$11:$O$31,$AU$166),0)</f>
        <v>0</v>
      </c>
      <c r="DW170" s="183">
        <f>IF(DW124&gt;0,HLOOKUP(DW124,[1]Trav!$C$11:$O$31,$AU$166),0)</f>
        <v>0</v>
      </c>
      <c r="DX170" s="183">
        <f>IF(DX124&gt;0,HLOOKUP(DX124,[1]Trav!$C$11:$O$31,$AU$166),0)</f>
        <v>0</v>
      </c>
      <c r="DY170" s="183">
        <f>IF(DY124&gt;0,HLOOKUP(DY124,[1]Trav!$C$11:$O$31,$AU$166),0)</f>
        <v>0</v>
      </c>
      <c r="DZ170" s="183">
        <f>IF(DZ124&gt;0,HLOOKUP(DZ124,[1]Trav!$C$11:$O$31,$AU$166),0)</f>
        <v>0</v>
      </c>
      <c r="EA170" s="183">
        <f>IF(EA124&gt;0,HLOOKUP(EA124,[1]Trav!$C$11:$O$31,$AU$166),0)</f>
        <v>0</v>
      </c>
      <c r="EB170" s="183">
        <f>IF(EB124&gt;0,HLOOKUP(EB124,[1]Trav!$C$11:$O$31,$AU$166),0)</f>
        <v>0</v>
      </c>
    </row>
    <row r="171" spans="1:132" x14ac:dyDescent="0.25">
      <c r="B171" s="14" t="s">
        <v>1264</v>
      </c>
      <c r="C171" s="168">
        <f>'Alim -Surf'!K24</f>
        <v>73.953918000000002</v>
      </c>
      <c r="D171" s="260">
        <f t="shared" si="50"/>
        <v>97.341054461538462</v>
      </c>
      <c r="AT171" s="182" t="str">
        <f t="shared" si="95"/>
        <v>génisses &lt; 1 an</v>
      </c>
      <c r="AV171" s="183">
        <f>IF(AV125&gt;0,HLOOKUP(AV125,[1]Trav!$C$11:$O$31,$AU$166),0)</f>
        <v>0</v>
      </c>
      <c r="AW171" s="183">
        <f>IF(AW125&gt;0,HLOOKUP(AW125,[1]Trav!$C$11:$O$31,$AU$166),0)</f>
        <v>0</v>
      </c>
      <c r="AX171" s="183">
        <f>IF(AX125&gt;0,HLOOKUP(AX125,[1]Trav!$C$11:$O$31,$AU$166),0)</f>
        <v>0</v>
      </c>
      <c r="AY171" s="183">
        <f>IF(AY125&gt;0,HLOOKUP(AY125,[1]Trav!$C$11:$O$31,$AU$166),0)</f>
        <v>0</v>
      </c>
      <c r="AZ171" s="183">
        <f>IF(AZ125&gt;0,HLOOKUP(AZ125,[1]Trav!$C$11:$O$31,$AU$166),0)</f>
        <v>0</v>
      </c>
      <c r="BA171" s="183">
        <f>IF(BA125&gt;0,HLOOKUP(BA125,[1]Trav!$C$11:$O$31,$AU$166),0)</f>
        <v>0</v>
      </c>
      <c r="BB171" s="183">
        <f>IF(BB125&gt;0,HLOOKUP(BB125,[1]Trav!$C$11:$O$31,$AU$166),0)</f>
        <v>0</v>
      </c>
      <c r="BC171" s="183">
        <f>IF(BC125&gt;0,HLOOKUP(BC125,[1]Trav!$C$11:$O$31,$AU$166),0)</f>
        <v>0</v>
      </c>
      <c r="BD171" s="183">
        <f>IF(BD125&gt;0,HLOOKUP(BD125,[1]Trav!$C$11:$O$31,$AU$166),0)</f>
        <v>0</v>
      </c>
      <c r="BE171" s="183">
        <f>IF(BE125&gt;0,HLOOKUP(BE125,[1]Trav!$C$11:$O$31,$AU$166),0)</f>
        <v>0</v>
      </c>
      <c r="BF171" s="183">
        <f>IF(BF125&gt;0,HLOOKUP(BF125,[1]Trav!$C$11:$O$31,$AU$166),0)</f>
        <v>0</v>
      </c>
      <c r="BG171" s="183">
        <f>IF(BG125&gt;0,HLOOKUP(BG125,[1]Trav!$C$11:$O$31,$AU$166),0)</f>
        <v>0</v>
      </c>
      <c r="BH171" s="183">
        <f>IF(BH125&gt;0,HLOOKUP(BH125,[1]Trav!$C$11:$O$31,$AU$166),0)</f>
        <v>0</v>
      </c>
      <c r="BI171" s="183">
        <f>IF(BI125&gt;0,HLOOKUP(BI125,[1]Trav!$C$11:$O$31,$AU$166),0)</f>
        <v>0</v>
      </c>
      <c r="BJ171" s="183">
        <f>IF(BJ125&gt;0,HLOOKUP(BJ125,[1]Trav!$C$11:$O$31,$AU$166),0)</f>
        <v>0</v>
      </c>
      <c r="BK171" s="183">
        <f>IF(BK125&gt;0,HLOOKUP(BK125,[1]Trav!$C$11:$O$31,$AU$166),0)</f>
        <v>0</v>
      </c>
      <c r="BL171" s="183">
        <f>IF(BL125&gt;0,HLOOKUP(BL125,[1]Trav!$C$11:$O$31,$AU$166),0)</f>
        <v>0</v>
      </c>
      <c r="BM171" s="183">
        <f>IF(BM125&gt;0,HLOOKUP(BM125,[1]Trav!$C$11:$O$31,$AU$166),0)</f>
        <v>0</v>
      </c>
      <c r="BN171" s="183">
        <f>IF(BN125&gt;0,HLOOKUP(BN125,[1]Trav!$C$11:$O$31,$AU$166),0)</f>
        <v>0</v>
      </c>
      <c r="BO171" s="183">
        <f>IF(BO125&gt;0,HLOOKUP(BO125,[1]Trav!$C$11:$O$31,$AU$166),0)</f>
        <v>0</v>
      </c>
      <c r="BP171" s="183">
        <f>IF(BP125&gt;0,HLOOKUP(BP125,[1]Trav!$C$11:$O$31,$AU$166),0)</f>
        <v>0</v>
      </c>
      <c r="BQ171" s="183">
        <f>IF(BQ125&gt;0,HLOOKUP(BQ125,[1]Trav!$C$11:$O$31,$AU$166),0)</f>
        <v>0</v>
      </c>
      <c r="BR171" s="183">
        <f>IF(BR125&gt;0,HLOOKUP(BR125,[1]Trav!$C$11:$O$31,$AU$166),0)</f>
        <v>0</v>
      </c>
      <c r="BS171" s="183">
        <f>IF(BS125&gt;0,HLOOKUP(BS125,[1]Trav!$C$11:$O$31,$AU$166),0)</f>
        <v>0</v>
      </c>
      <c r="BZ171" s="182" t="str">
        <f t="shared" si="96"/>
        <v>lot5</v>
      </c>
      <c r="CB171" s="183">
        <f>IF(CB125&gt;0,HLOOKUP(CB125,[1]Trav!$C$11:$O$31,$AU$166),0)</f>
        <v>0</v>
      </c>
      <c r="CC171" s="183">
        <f>IF(CC125&gt;0,HLOOKUP(CC125,[1]Trav!$C$11:$O$31,$AU$166),0)</f>
        <v>0</v>
      </c>
      <c r="CD171" s="183">
        <f>IF(CD125&gt;0,HLOOKUP(CD125,[1]Trav!$C$11:$O$31,$AU$166),0)</f>
        <v>0</v>
      </c>
      <c r="CE171" s="183">
        <f>IF(CE125&gt;0,HLOOKUP(CE125,[1]Trav!$C$11:$O$31,$AU$166),0)</f>
        <v>0</v>
      </c>
      <c r="CF171" s="183">
        <f>IF(CF125&gt;0,HLOOKUP(CF125,[1]Trav!$C$11:$O$31,$AU$166),0)</f>
        <v>0</v>
      </c>
      <c r="CG171" s="183">
        <f>IF(CG125&gt;0,HLOOKUP(CG125,[1]Trav!$C$11:$O$31,$AU$166),0)</f>
        <v>0</v>
      </c>
      <c r="CH171" s="183">
        <f>IF(CH125&gt;0,HLOOKUP(CH125,[1]Trav!$C$11:$O$31,$AU$166),0)</f>
        <v>0</v>
      </c>
      <c r="CI171" s="183">
        <f>IF(CI125&gt;0,HLOOKUP(CI125,[1]Trav!$C$11:$O$31,$AU$166),0)</f>
        <v>0</v>
      </c>
      <c r="CJ171" s="183">
        <f>IF(CJ125&gt;0,HLOOKUP(CJ125,[1]Trav!$C$11:$O$31,$AU$166),0)</f>
        <v>0</v>
      </c>
      <c r="CK171" s="183">
        <f>IF(CK125&gt;0,HLOOKUP(CK125,[1]Trav!$C$11:$O$31,$AU$166),0)</f>
        <v>0</v>
      </c>
      <c r="CL171" s="183">
        <f>IF(CL125&gt;0,HLOOKUP(CL125,[1]Trav!$C$11:$O$31,$AU$166),0)</f>
        <v>0</v>
      </c>
      <c r="CM171" s="183">
        <f>IF(CM125&gt;0,HLOOKUP(CM125,[1]Trav!$C$11:$O$31,$AU$166),0)</f>
        <v>0</v>
      </c>
      <c r="CN171" s="183">
        <f>IF(CN125&gt;0,HLOOKUP(CN125,[1]Trav!$C$11:$O$31,$AU$166),0)</f>
        <v>0</v>
      </c>
      <c r="CO171" s="183">
        <f>IF(CO125&gt;0,HLOOKUP(CO125,[1]Trav!$C$11:$O$31,$AU$166),0)</f>
        <v>0</v>
      </c>
      <c r="CP171" s="183">
        <f>IF(CP125&gt;0,HLOOKUP(CP125,[1]Trav!$C$11:$O$31,$AU$166),0)</f>
        <v>0</v>
      </c>
      <c r="CQ171" s="183">
        <f>IF(CQ125&gt;0,HLOOKUP(CQ125,[1]Trav!$C$11:$O$31,$AU$166),0)</f>
        <v>0</v>
      </c>
      <c r="CR171" s="183">
        <f>IF(CR125&gt;0,HLOOKUP(CR125,[1]Trav!$C$11:$O$31,$AU$166),0)</f>
        <v>0</v>
      </c>
      <c r="CS171" s="183">
        <f>IF(CS125&gt;0,HLOOKUP(CS125,[1]Trav!$C$11:$O$31,$AU$166),0)</f>
        <v>0</v>
      </c>
      <c r="CT171" s="183">
        <f>IF(CT125&gt;0,HLOOKUP(CT125,[1]Trav!$C$11:$O$31,$AU$166),0)</f>
        <v>0</v>
      </c>
      <c r="CU171" s="183">
        <f>IF(CU125&gt;0,HLOOKUP(CU125,[1]Trav!$C$11:$O$31,$AU$166),0)</f>
        <v>0</v>
      </c>
      <c r="CV171" s="183">
        <f>IF(CV125&gt;0,HLOOKUP(CV125,[1]Trav!$C$11:$O$31,$AU$166),0)</f>
        <v>0</v>
      </c>
      <c r="CW171" s="183">
        <f>IF(CW125&gt;0,HLOOKUP(CW125,[1]Trav!$C$11:$O$31,$AU$166),0)</f>
        <v>0</v>
      </c>
      <c r="CX171" s="183">
        <f>IF(CX125&gt;0,HLOOKUP(CX125,[1]Trav!$C$11:$O$31,$AU$166),0)</f>
        <v>0</v>
      </c>
      <c r="CY171" s="183">
        <f>IF(CY125&gt;0,HLOOKUP(CY125,[1]Trav!$C$11:$O$31,$AU$166),0)</f>
        <v>0</v>
      </c>
      <c r="DC171" s="182" t="str">
        <f t="shared" si="97"/>
        <v>lot5</v>
      </c>
      <c r="DE171" s="183">
        <f>IF(DE125&gt;0,HLOOKUP(DE125,[1]Trav!$C$11:$O$31,$AU$166),0)</f>
        <v>0</v>
      </c>
      <c r="DF171" s="183">
        <f>IF(DF125&gt;0,HLOOKUP(DF125,[1]Trav!$C$11:$O$31,$AU$166),0)</f>
        <v>0</v>
      </c>
      <c r="DG171" s="183">
        <f>IF(DG125&gt;0,HLOOKUP(DG125,[1]Trav!$C$11:$O$31,$AU$166),0)</f>
        <v>0</v>
      </c>
      <c r="DH171" s="183">
        <f>IF(DH125&gt;0,HLOOKUP(DH125,[1]Trav!$C$11:$O$31,$AU$166),0)</f>
        <v>0</v>
      </c>
      <c r="DI171" s="183">
        <f>IF(DI125&gt;0,HLOOKUP(DI125,[1]Trav!$C$11:$O$31,$AU$166),0)</f>
        <v>0</v>
      </c>
      <c r="DJ171" s="183">
        <f>IF(DJ125&gt;0,HLOOKUP(DJ125,[1]Trav!$C$11:$O$31,$AU$166),0)</f>
        <v>0</v>
      </c>
      <c r="DK171" s="183">
        <f>IF(DK125&gt;0,HLOOKUP(DK125,[1]Trav!$C$11:$O$31,$AU$166),0)</f>
        <v>0</v>
      </c>
      <c r="DL171" s="183">
        <f>IF(DL125&gt;0,HLOOKUP(DL125,[1]Trav!$C$11:$O$31,$AU$166),0)</f>
        <v>0</v>
      </c>
      <c r="DM171" s="183">
        <f>IF(DM125&gt;0,HLOOKUP(DM125,[1]Trav!$C$11:$O$31,$AU$166),0)</f>
        <v>0</v>
      </c>
      <c r="DN171" s="183">
        <f>IF(DN125&gt;0,HLOOKUP(DN125,[1]Trav!$C$11:$O$31,$AU$166),0)</f>
        <v>0</v>
      </c>
      <c r="DO171" s="183">
        <f>IF(DO125&gt;0,HLOOKUP(DO125,[1]Trav!$C$11:$O$31,$AU$166),0)</f>
        <v>0</v>
      </c>
      <c r="DP171" s="183">
        <f>IF(DP125&gt;0,HLOOKUP(DP125,[1]Trav!$C$11:$O$31,$AU$166),0)</f>
        <v>0</v>
      </c>
      <c r="DQ171" s="183">
        <f>IF(DQ125&gt;0,HLOOKUP(DQ125,[1]Trav!$C$11:$O$31,$AU$166),0)</f>
        <v>0</v>
      </c>
      <c r="DR171" s="183">
        <f>IF(DR125&gt;0,HLOOKUP(DR125,[1]Trav!$C$11:$O$31,$AU$166),0)</f>
        <v>0</v>
      </c>
      <c r="DS171" s="183">
        <f>IF(DS125&gt;0,HLOOKUP(DS125,[1]Trav!$C$11:$O$31,$AU$166),0)</f>
        <v>0</v>
      </c>
      <c r="DT171" s="183">
        <f>IF(DT125&gt;0,HLOOKUP(DT125,[1]Trav!$C$11:$O$31,$AU$166),0)</f>
        <v>0</v>
      </c>
      <c r="DU171" s="183">
        <f>IF(DU125&gt;0,HLOOKUP(DU125,[1]Trav!$C$11:$O$31,$AU$166),0)</f>
        <v>0</v>
      </c>
      <c r="DV171" s="183">
        <f>IF(DV125&gt;0,HLOOKUP(DV125,[1]Trav!$C$11:$O$31,$AU$166),0)</f>
        <v>0</v>
      </c>
      <c r="DW171" s="183">
        <f>IF(DW125&gt;0,HLOOKUP(DW125,[1]Trav!$C$11:$O$31,$AU$166),0)</f>
        <v>0</v>
      </c>
      <c r="DX171" s="183">
        <f>IF(DX125&gt;0,HLOOKUP(DX125,[1]Trav!$C$11:$O$31,$AU$166),0)</f>
        <v>0</v>
      </c>
      <c r="DY171" s="183">
        <f>IF(DY125&gt;0,HLOOKUP(DY125,[1]Trav!$C$11:$O$31,$AU$166),0)</f>
        <v>0</v>
      </c>
      <c r="DZ171" s="183">
        <f>IF(DZ125&gt;0,HLOOKUP(DZ125,[1]Trav!$C$11:$O$31,$AU$166),0)</f>
        <v>0</v>
      </c>
      <c r="EA171" s="183">
        <f>IF(EA125&gt;0,HLOOKUP(EA125,[1]Trav!$C$11:$O$31,$AU$166),0)</f>
        <v>0</v>
      </c>
      <c r="EB171" s="183">
        <f>IF(EB125&gt;0,HLOOKUP(EB125,[1]Trav!$C$11:$O$31,$AU$166),0)</f>
        <v>0</v>
      </c>
    </row>
    <row r="172" spans="1:132" x14ac:dyDescent="0.25">
      <c r="B172" s="14" t="s">
        <v>1265</v>
      </c>
      <c r="C172" s="168">
        <f>'Alim -Surf'!K25</f>
        <v>70.8</v>
      </c>
      <c r="D172" s="260">
        <f t="shared" si="50"/>
        <v>93.189743589743586</v>
      </c>
      <c r="AT172" s="182" t="str">
        <f t="shared" si="95"/>
        <v>lot6</v>
      </c>
      <c r="AV172" s="183">
        <f>IF(AV126&gt;0,HLOOKUP(AV126,[1]Trav!$C$11:$O$31,$AU$166),0)</f>
        <v>0</v>
      </c>
      <c r="AW172" s="183">
        <f>IF(AW126&gt;0,HLOOKUP(AW126,[1]Trav!$C$11:$O$31,$AU$166),0)</f>
        <v>0</v>
      </c>
      <c r="AX172" s="183">
        <f>IF(AX126&gt;0,HLOOKUP(AX126,[1]Trav!$C$11:$O$31,$AU$166),0)</f>
        <v>0</v>
      </c>
      <c r="AY172" s="183">
        <f>IF(AY126&gt;0,HLOOKUP(AY126,[1]Trav!$C$11:$O$31,$AU$166),0)</f>
        <v>0</v>
      </c>
      <c r="AZ172" s="183">
        <f>IF(AZ126&gt;0,HLOOKUP(AZ126,[1]Trav!$C$11:$O$31,$AU$166),0)</f>
        <v>0</v>
      </c>
      <c r="BA172" s="183">
        <f>IF(BA126&gt;0,HLOOKUP(BA126,[1]Trav!$C$11:$O$31,$AU$166),0)</f>
        <v>0</v>
      </c>
      <c r="BB172" s="183">
        <f>IF(BB126&gt;0,HLOOKUP(BB126,[1]Trav!$C$11:$O$31,$AU$166),0)</f>
        <v>0</v>
      </c>
      <c r="BC172" s="183">
        <f>IF(BC126&gt;0,HLOOKUP(BC126,[1]Trav!$C$11:$O$31,$AU$166),0)</f>
        <v>0</v>
      </c>
      <c r="BD172" s="183">
        <f>IF(BD126&gt;0,HLOOKUP(BD126,[1]Trav!$C$11:$O$31,$AU$166),0)</f>
        <v>0</v>
      </c>
      <c r="BE172" s="183">
        <f>IF(BE126&gt;0,HLOOKUP(BE126,[1]Trav!$C$11:$O$31,$AU$166),0)</f>
        <v>0</v>
      </c>
      <c r="BF172" s="183">
        <f>IF(BF126&gt;0,HLOOKUP(BF126,[1]Trav!$C$11:$O$31,$AU$166),0)</f>
        <v>0</v>
      </c>
      <c r="BG172" s="183">
        <f>IF(BG126&gt;0,HLOOKUP(BG126,[1]Trav!$C$11:$O$31,$AU$166),0)</f>
        <v>0</v>
      </c>
      <c r="BH172" s="183">
        <f>IF(BH126&gt;0,HLOOKUP(BH126,[1]Trav!$C$11:$O$31,$AU$166),0)</f>
        <v>0</v>
      </c>
      <c r="BI172" s="183">
        <f>IF(BI126&gt;0,HLOOKUP(BI126,[1]Trav!$C$11:$O$31,$AU$166),0)</f>
        <v>0</v>
      </c>
      <c r="BJ172" s="183">
        <f>IF(BJ126&gt;0,HLOOKUP(BJ126,[1]Trav!$C$11:$O$31,$AU$166),0)</f>
        <v>0</v>
      </c>
      <c r="BK172" s="183">
        <f>IF(BK126&gt;0,HLOOKUP(BK126,[1]Trav!$C$11:$O$31,$AU$166),0)</f>
        <v>0</v>
      </c>
      <c r="BL172" s="183">
        <f>IF(BL126&gt;0,HLOOKUP(BL126,[1]Trav!$C$11:$O$31,$AU$166),0)</f>
        <v>0</v>
      </c>
      <c r="BM172" s="183">
        <f>IF(BM126&gt;0,HLOOKUP(BM126,[1]Trav!$C$11:$O$31,$AU$166),0)</f>
        <v>0</v>
      </c>
      <c r="BN172" s="183">
        <f>IF(BN126&gt;0,HLOOKUP(BN126,[1]Trav!$C$11:$O$31,$AU$166),0)</f>
        <v>0</v>
      </c>
      <c r="BO172" s="183">
        <f>IF(BO126&gt;0,HLOOKUP(BO126,[1]Trav!$C$11:$O$31,$AU$166),0)</f>
        <v>0</v>
      </c>
      <c r="BP172" s="183">
        <f>IF(BP126&gt;0,HLOOKUP(BP126,[1]Trav!$C$11:$O$31,$AU$166),0)</f>
        <v>0</v>
      </c>
      <c r="BQ172" s="183">
        <f>IF(BQ126&gt;0,HLOOKUP(BQ126,[1]Trav!$C$11:$O$31,$AU$166),0)</f>
        <v>0</v>
      </c>
      <c r="BR172" s="183">
        <f>IF(BR126&gt;0,HLOOKUP(BR126,[1]Trav!$C$11:$O$31,$AU$166),0)</f>
        <v>0</v>
      </c>
      <c r="BS172" s="183">
        <f>IF(BS126&gt;0,HLOOKUP(BS126,[1]Trav!$C$11:$O$31,$AU$166),0)</f>
        <v>0</v>
      </c>
      <c r="BZ172" s="182" t="str">
        <f t="shared" si="96"/>
        <v>lot6</v>
      </c>
      <c r="CB172" s="183">
        <f>IF(CB126&gt;0,HLOOKUP(CB126,[1]Trav!$C$11:$O$31,$AU$166),0)</f>
        <v>0</v>
      </c>
      <c r="CC172" s="183">
        <f>IF(CC126&gt;0,HLOOKUP(CC126,[1]Trav!$C$11:$O$31,$AU$166),0)</f>
        <v>0</v>
      </c>
      <c r="CD172" s="183">
        <f>IF(CD126&gt;0,HLOOKUP(CD126,[1]Trav!$C$11:$O$31,$AU$166),0)</f>
        <v>0</v>
      </c>
      <c r="CE172" s="183">
        <f>IF(CE126&gt;0,HLOOKUP(CE126,[1]Trav!$C$11:$O$31,$AU$166),0)</f>
        <v>0</v>
      </c>
      <c r="CF172" s="183">
        <f>IF(CF126&gt;0,HLOOKUP(CF126,[1]Trav!$C$11:$O$31,$AU$166),0)</f>
        <v>0</v>
      </c>
      <c r="CG172" s="183">
        <f>IF(CG126&gt;0,HLOOKUP(CG126,[1]Trav!$C$11:$O$31,$AU$166),0)</f>
        <v>0</v>
      </c>
      <c r="CH172" s="183">
        <f>IF(CH126&gt;0,HLOOKUP(CH126,[1]Trav!$C$11:$O$31,$AU$166),0)</f>
        <v>0</v>
      </c>
      <c r="CI172" s="183">
        <f>IF(CI126&gt;0,HLOOKUP(CI126,[1]Trav!$C$11:$O$31,$AU$166),0)</f>
        <v>0</v>
      </c>
      <c r="CJ172" s="183">
        <f>IF(CJ126&gt;0,HLOOKUP(CJ126,[1]Trav!$C$11:$O$31,$AU$166),0)</f>
        <v>0</v>
      </c>
      <c r="CK172" s="183">
        <f>IF(CK126&gt;0,HLOOKUP(CK126,[1]Trav!$C$11:$O$31,$AU$166),0)</f>
        <v>0</v>
      </c>
      <c r="CL172" s="183">
        <f>IF(CL126&gt;0,HLOOKUP(CL126,[1]Trav!$C$11:$O$31,$AU$166),0)</f>
        <v>0</v>
      </c>
      <c r="CM172" s="183">
        <f>IF(CM126&gt;0,HLOOKUP(CM126,[1]Trav!$C$11:$O$31,$AU$166),0)</f>
        <v>0</v>
      </c>
      <c r="CN172" s="183">
        <f>IF(CN126&gt;0,HLOOKUP(CN126,[1]Trav!$C$11:$O$31,$AU$166),0)</f>
        <v>0</v>
      </c>
      <c r="CO172" s="183">
        <f>IF(CO126&gt;0,HLOOKUP(CO126,[1]Trav!$C$11:$O$31,$AU$166),0)</f>
        <v>0</v>
      </c>
      <c r="CP172" s="183">
        <f>IF(CP126&gt;0,HLOOKUP(CP126,[1]Trav!$C$11:$O$31,$AU$166),0)</f>
        <v>0</v>
      </c>
      <c r="CQ172" s="183">
        <f>IF(CQ126&gt;0,HLOOKUP(CQ126,[1]Trav!$C$11:$O$31,$AU$166),0)</f>
        <v>0</v>
      </c>
      <c r="CR172" s="183">
        <f>IF(CR126&gt;0,HLOOKUP(CR126,[1]Trav!$C$11:$O$31,$AU$166),0)</f>
        <v>0</v>
      </c>
      <c r="CS172" s="183">
        <f>IF(CS126&gt;0,HLOOKUP(CS126,[1]Trav!$C$11:$O$31,$AU$166),0)</f>
        <v>0</v>
      </c>
      <c r="CT172" s="183">
        <f>IF(CT126&gt;0,HLOOKUP(CT126,[1]Trav!$C$11:$O$31,$AU$166),0)</f>
        <v>0</v>
      </c>
      <c r="CU172" s="183">
        <f>IF(CU126&gt;0,HLOOKUP(CU126,[1]Trav!$C$11:$O$31,$AU$166),0)</f>
        <v>0</v>
      </c>
      <c r="CV172" s="183">
        <f>IF(CV126&gt;0,HLOOKUP(CV126,[1]Trav!$C$11:$O$31,$AU$166),0)</f>
        <v>0</v>
      </c>
      <c r="CW172" s="183">
        <f>IF(CW126&gt;0,HLOOKUP(CW126,[1]Trav!$C$11:$O$31,$AU$166),0)</f>
        <v>0</v>
      </c>
      <c r="CX172" s="183">
        <f>IF(CX126&gt;0,HLOOKUP(CX126,[1]Trav!$C$11:$O$31,$AU$166),0)</f>
        <v>0</v>
      </c>
      <c r="CY172" s="183">
        <f>IF(CY126&gt;0,HLOOKUP(CY126,[1]Trav!$C$11:$O$31,$AU$166),0)</f>
        <v>0</v>
      </c>
      <c r="DC172" s="182" t="str">
        <f t="shared" si="97"/>
        <v>lot6</v>
      </c>
      <c r="DE172" s="183">
        <f>IF(DE126&gt;0,HLOOKUP(DE126,[1]Trav!$C$11:$O$31,$AU$166),0)</f>
        <v>0</v>
      </c>
      <c r="DF172" s="183">
        <f>IF(DF126&gt;0,HLOOKUP(DF126,[1]Trav!$C$11:$O$31,$AU$166),0)</f>
        <v>0</v>
      </c>
      <c r="DG172" s="183">
        <f>IF(DG126&gt;0,HLOOKUP(DG126,[1]Trav!$C$11:$O$31,$AU$166),0)</f>
        <v>0</v>
      </c>
      <c r="DH172" s="183">
        <f>IF(DH126&gt;0,HLOOKUP(DH126,[1]Trav!$C$11:$O$31,$AU$166),0)</f>
        <v>0</v>
      </c>
      <c r="DI172" s="183">
        <f>IF(DI126&gt;0,HLOOKUP(DI126,[1]Trav!$C$11:$O$31,$AU$166),0)</f>
        <v>0</v>
      </c>
      <c r="DJ172" s="183">
        <f>IF(DJ126&gt;0,HLOOKUP(DJ126,[1]Trav!$C$11:$O$31,$AU$166),0)</f>
        <v>0</v>
      </c>
      <c r="DK172" s="183">
        <f>IF(DK126&gt;0,HLOOKUP(DK126,[1]Trav!$C$11:$O$31,$AU$166),0)</f>
        <v>0</v>
      </c>
      <c r="DL172" s="183">
        <f>IF(DL126&gt;0,HLOOKUP(DL126,[1]Trav!$C$11:$O$31,$AU$166),0)</f>
        <v>0</v>
      </c>
      <c r="DM172" s="183">
        <f>IF(DM126&gt;0,HLOOKUP(DM126,[1]Trav!$C$11:$O$31,$AU$166),0)</f>
        <v>0</v>
      </c>
      <c r="DN172" s="183">
        <f>IF(DN126&gt;0,HLOOKUP(DN126,[1]Trav!$C$11:$O$31,$AU$166),0)</f>
        <v>0</v>
      </c>
      <c r="DO172" s="183">
        <f>IF(DO126&gt;0,HLOOKUP(DO126,[1]Trav!$C$11:$O$31,$AU$166),0)</f>
        <v>0</v>
      </c>
      <c r="DP172" s="183">
        <f>IF(DP126&gt;0,HLOOKUP(DP126,[1]Trav!$C$11:$O$31,$AU$166),0)</f>
        <v>0</v>
      </c>
      <c r="DQ172" s="183">
        <f>IF(DQ126&gt;0,HLOOKUP(DQ126,[1]Trav!$C$11:$O$31,$AU$166),0)</f>
        <v>0</v>
      </c>
      <c r="DR172" s="183">
        <f>IF(DR126&gt;0,HLOOKUP(DR126,[1]Trav!$C$11:$O$31,$AU$166),0)</f>
        <v>0</v>
      </c>
      <c r="DS172" s="183">
        <f>IF(DS126&gt;0,HLOOKUP(DS126,[1]Trav!$C$11:$O$31,$AU$166),0)</f>
        <v>0</v>
      </c>
      <c r="DT172" s="183">
        <f>IF(DT126&gt;0,HLOOKUP(DT126,[1]Trav!$C$11:$O$31,$AU$166),0)</f>
        <v>0</v>
      </c>
      <c r="DU172" s="183">
        <f>IF(DU126&gt;0,HLOOKUP(DU126,[1]Trav!$C$11:$O$31,$AU$166),0)</f>
        <v>0</v>
      </c>
      <c r="DV172" s="183">
        <f>IF(DV126&gt;0,HLOOKUP(DV126,[1]Trav!$C$11:$O$31,$AU$166),0)</f>
        <v>0</v>
      </c>
      <c r="DW172" s="183">
        <f>IF(DW126&gt;0,HLOOKUP(DW126,[1]Trav!$C$11:$O$31,$AU$166),0)</f>
        <v>0</v>
      </c>
      <c r="DX172" s="183">
        <f>IF(DX126&gt;0,HLOOKUP(DX126,[1]Trav!$C$11:$O$31,$AU$166),0)</f>
        <v>0</v>
      </c>
      <c r="DY172" s="183">
        <f>IF(DY126&gt;0,HLOOKUP(DY126,[1]Trav!$C$11:$O$31,$AU$166),0)</f>
        <v>0</v>
      </c>
      <c r="DZ172" s="183">
        <f>IF(DZ126&gt;0,HLOOKUP(DZ126,[1]Trav!$C$11:$O$31,$AU$166),0)</f>
        <v>0</v>
      </c>
      <c r="EA172" s="183">
        <f>IF(EA126&gt;0,HLOOKUP(EA126,[1]Trav!$C$11:$O$31,$AU$166),0)</f>
        <v>0</v>
      </c>
      <c r="EB172" s="183">
        <f>IF(EB126&gt;0,HLOOKUP(EB126,[1]Trav!$C$11:$O$31,$AU$166),0)</f>
        <v>0</v>
      </c>
    </row>
    <row r="173" spans="1:132" x14ac:dyDescent="0.25">
      <c r="B173" s="14" t="s">
        <v>1266</v>
      </c>
      <c r="C173" s="168">
        <f>C169-C170</f>
        <v>25.70901400000001</v>
      </c>
      <c r="D173" s="260">
        <f t="shared" si="50"/>
        <v>33.839215008547022</v>
      </c>
      <c r="AT173" s="182" t="str">
        <f t="shared" si="95"/>
        <v>lot7</v>
      </c>
      <c r="AV173" s="183">
        <f>IF(AV127&gt;0,HLOOKUP(AV127,[1]Trav!$C$11:$O$31,$AU$166),0)</f>
        <v>0</v>
      </c>
      <c r="AW173" s="183">
        <f>IF(AW127&gt;0,HLOOKUP(AW127,[1]Trav!$C$11:$O$31,$AU$166),0)</f>
        <v>0</v>
      </c>
      <c r="AX173" s="183">
        <f>IF(AX127&gt;0,HLOOKUP(AX127,[1]Trav!$C$11:$O$31,$AU$166),0)</f>
        <v>0</v>
      </c>
      <c r="AY173" s="183">
        <f>IF(AY127&gt;0,HLOOKUP(AY127,[1]Trav!$C$11:$O$31,$AU$166),0)</f>
        <v>0</v>
      </c>
      <c r="AZ173" s="183">
        <f>IF(AZ127&gt;0,HLOOKUP(AZ127,[1]Trav!$C$11:$O$31,$AU$166),0)</f>
        <v>0</v>
      </c>
      <c r="BA173" s="183">
        <f>IF(BA127&gt;0,HLOOKUP(BA127,[1]Trav!$C$11:$O$31,$AU$166),0)</f>
        <v>0</v>
      </c>
      <c r="BB173" s="183">
        <f>IF(BB127&gt;0,HLOOKUP(BB127,[1]Trav!$C$11:$O$31,$AU$166),0)</f>
        <v>0</v>
      </c>
      <c r="BC173" s="183">
        <f>IF(BC127&gt;0,HLOOKUP(BC127,[1]Trav!$C$11:$O$31,$AU$166),0)</f>
        <v>0</v>
      </c>
      <c r="BD173" s="183">
        <f>IF(BD127&gt;0,HLOOKUP(BD127,[1]Trav!$C$11:$O$31,$AU$166),0)</f>
        <v>0</v>
      </c>
      <c r="BE173" s="183">
        <f>IF(BE127&gt;0,HLOOKUP(BE127,[1]Trav!$C$11:$O$31,$AU$166),0)</f>
        <v>0</v>
      </c>
      <c r="BF173" s="183">
        <f>IF(BF127&gt;0,HLOOKUP(BF127,[1]Trav!$C$11:$O$31,$AU$166),0)</f>
        <v>0</v>
      </c>
      <c r="BG173" s="183">
        <f>IF(BG127&gt;0,HLOOKUP(BG127,[1]Trav!$C$11:$O$31,$AU$166),0)</f>
        <v>0</v>
      </c>
      <c r="BH173" s="183">
        <f>IF(BH127&gt;0,HLOOKUP(BH127,[1]Trav!$C$11:$O$31,$AU$166),0)</f>
        <v>0</v>
      </c>
      <c r="BI173" s="183">
        <f>IF(BI127&gt;0,HLOOKUP(BI127,[1]Trav!$C$11:$O$31,$AU$166),0)</f>
        <v>0</v>
      </c>
      <c r="BJ173" s="183">
        <f>IF(BJ127&gt;0,HLOOKUP(BJ127,[1]Trav!$C$11:$O$31,$AU$166),0)</f>
        <v>0</v>
      </c>
      <c r="BK173" s="183">
        <f>IF(BK127&gt;0,HLOOKUP(BK127,[1]Trav!$C$11:$O$31,$AU$166),0)</f>
        <v>0</v>
      </c>
      <c r="BL173" s="183">
        <f>IF(BL127&gt;0,HLOOKUP(BL127,[1]Trav!$C$11:$O$31,$AU$166),0)</f>
        <v>0</v>
      </c>
      <c r="BM173" s="183">
        <f>IF(BM127&gt;0,HLOOKUP(BM127,[1]Trav!$C$11:$O$31,$AU$166),0)</f>
        <v>0</v>
      </c>
      <c r="BN173" s="183">
        <f>IF(BN127&gt;0,HLOOKUP(BN127,[1]Trav!$C$11:$O$31,$AU$166),0)</f>
        <v>0</v>
      </c>
      <c r="BO173" s="183">
        <f>IF(BO127&gt;0,HLOOKUP(BO127,[1]Trav!$C$11:$O$31,$AU$166),0)</f>
        <v>0</v>
      </c>
      <c r="BP173" s="183">
        <f>IF(BP127&gt;0,HLOOKUP(BP127,[1]Trav!$C$11:$O$31,$AU$166),0)</f>
        <v>0</v>
      </c>
      <c r="BQ173" s="183">
        <f>IF(BQ127&gt;0,HLOOKUP(BQ127,[1]Trav!$C$11:$O$31,$AU$166),0)</f>
        <v>0</v>
      </c>
      <c r="BR173" s="183">
        <f>IF(BR127&gt;0,HLOOKUP(BR127,[1]Trav!$C$11:$O$31,$AU$166),0)</f>
        <v>0</v>
      </c>
      <c r="BS173" s="183">
        <f>IF(BS127&gt;0,HLOOKUP(BS127,[1]Trav!$C$11:$O$31,$AU$166),0)</f>
        <v>0</v>
      </c>
      <c r="BZ173" s="182" t="str">
        <f t="shared" si="96"/>
        <v>lot7</v>
      </c>
      <c r="CB173" s="183">
        <f>IF(CB127&gt;0,HLOOKUP(CB127,[1]Trav!$C$11:$O$31,$AU$166),0)</f>
        <v>0</v>
      </c>
      <c r="CC173" s="183">
        <f>IF(CC127&gt;0,HLOOKUP(CC127,[1]Trav!$C$11:$O$31,$AU$166),0)</f>
        <v>0</v>
      </c>
      <c r="CD173" s="183">
        <f>IF(CD127&gt;0,HLOOKUP(CD127,[1]Trav!$C$11:$O$31,$AU$166),0)</f>
        <v>0</v>
      </c>
      <c r="CE173" s="183">
        <f>IF(CE127&gt;0,HLOOKUP(CE127,[1]Trav!$C$11:$O$31,$AU$166),0)</f>
        <v>0</v>
      </c>
      <c r="CF173" s="183">
        <f>IF(CF127&gt;0,HLOOKUP(CF127,[1]Trav!$C$11:$O$31,$AU$166),0)</f>
        <v>0</v>
      </c>
      <c r="CG173" s="183">
        <f>IF(CG127&gt;0,HLOOKUP(CG127,[1]Trav!$C$11:$O$31,$AU$166),0)</f>
        <v>0</v>
      </c>
      <c r="CH173" s="183">
        <f>IF(CH127&gt;0,HLOOKUP(CH127,[1]Trav!$C$11:$O$31,$AU$166),0)</f>
        <v>0</v>
      </c>
      <c r="CI173" s="183">
        <f>IF(CI127&gt;0,HLOOKUP(CI127,[1]Trav!$C$11:$O$31,$AU$166),0)</f>
        <v>0</v>
      </c>
      <c r="CJ173" s="183">
        <f>IF(CJ127&gt;0,HLOOKUP(CJ127,[1]Trav!$C$11:$O$31,$AU$166),0)</f>
        <v>0</v>
      </c>
      <c r="CK173" s="183">
        <f>IF(CK127&gt;0,HLOOKUP(CK127,[1]Trav!$C$11:$O$31,$AU$166),0)</f>
        <v>0</v>
      </c>
      <c r="CL173" s="183">
        <f>IF(CL127&gt;0,HLOOKUP(CL127,[1]Trav!$C$11:$O$31,$AU$166),0)</f>
        <v>0</v>
      </c>
      <c r="CM173" s="183">
        <f>IF(CM127&gt;0,HLOOKUP(CM127,[1]Trav!$C$11:$O$31,$AU$166),0)</f>
        <v>0</v>
      </c>
      <c r="CN173" s="183">
        <f>IF(CN127&gt;0,HLOOKUP(CN127,[1]Trav!$C$11:$O$31,$AU$166),0)</f>
        <v>0</v>
      </c>
      <c r="CO173" s="183">
        <f>IF(CO127&gt;0,HLOOKUP(CO127,[1]Trav!$C$11:$O$31,$AU$166),0)</f>
        <v>0</v>
      </c>
      <c r="CP173" s="183">
        <f>IF(CP127&gt;0,HLOOKUP(CP127,[1]Trav!$C$11:$O$31,$AU$166),0)</f>
        <v>0</v>
      </c>
      <c r="CQ173" s="183">
        <f>IF(CQ127&gt;0,HLOOKUP(CQ127,[1]Trav!$C$11:$O$31,$AU$166),0)</f>
        <v>0</v>
      </c>
      <c r="CR173" s="183">
        <f>IF(CR127&gt;0,HLOOKUP(CR127,[1]Trav!$C$11:$O$31,$AU$166),0)</f>
        <v>0</v>
      </c>
      <c r="CS173" s="183">
        <f>IF(CS127&gt;0,HLOOKUP(CS127,[1]Trav!$C$11:$O$31,$AU$166),0)</f>
        <v>0</v>
      </c>
      <c r="CT173" s="183">
        <f>IF(CT127&gt;0,HLOOKUP(CT127,[1]Trav!$C$11:$O$31,$AU$166),0)</f>
        <v>0</v>
      </c>
      <c r="CU173" s="183">
        <f>IF(CU127&gt;0,HLOOKUP(CU127,[1]Trav!$C$11:$O$31,$AU$166),0)</f>
        <v>0</v>
      </c>
      <c r="CV173" s="183">
        <f>IF(CV127&gt;0,HLOOKUP(CV127,[1]Trav!$C$11:$O$31,$AU$166),0)</f>
        <v>0</v>
      </c>
      <c r="CW173" s="183">
        <f>IF(CW127&gt;0,HLOOKUP(CW127,[1]Trav!$C$11:$O$31,$AU$166),0)</f>
        <v>0</v>
      </c>
      <c r="CX173" s="183">
        <f>IF(CX127&gt;0,HLOOKUP(CX127,[1]Trav!$C$11:$O$31,$AU$166),0)</f>
        <v>0</v>
      </c>
      <c r="CY173" s="183">
        <f>IF(CY127&gt;0,HLOOKUP(CY127,[1]Trav!$C$11:$O$31,$AU$166),0)</f>
        <v>0</v>
      </c>
      <c r="DC173" s="182" t="str">
        <f t="shared" si="97"/>
        <v>lot7</v>
      </c>
      <c r="DE173" s="183">
        <f>IF(DE127&gt;0,HLOOKUP(DE127,[1]Trav!$C$11:$O$31,$AU$166),0)</f>
        <v>0</v>
      </c>
      <c r="DF173" s="183">
        <f>IF(DF127&gt;0,HLOOKUP(DF127,[1]Trav!$C$11:$O$31,$AU$166),0)</f>
        <v>0</v>
      </c>
      <c r="DG173" s="183">
        <f>IF(DG127&gt;0,HLOOKUP(DG127,[1]Trav!$C$11:$O$31,$AU$166),0)</f>
        <v>0</v>
      </c>
      <c r="DH173" s="183">
        <f>IF(DH127&gt;0,HLOOKUP(DH127,[1]Trav!$C$11:$O$31,$AU$166),0)</f>
        <v>0</v>
      </c>
      <c r="DI173" s="183">
        <f>IF(DI127&gt;0,HLOOKUP(DI127,[1]Trav!$C$11:$O$31,$AU$166),0)</f>
        <v>0</v>
      </c>
      <c r="DJ173" s="183">
        <f>IF(DJ127&gt;0,HLOOKUP(DJ127,[1]Trav!$C$11:$O$31,$AU$166),0)</f>
        <v>0</v>
      </c>
      <c r="DK173" s="183">
        <f>IF(DK127&gt;0,HLOOKUP(DK127,[1]Trav!$C$11:$O$31,$AU$166),0)</f>
        <v>0</v>
      </c>
      <c r="DL173" s="183">
        <f>IF(DL127&gt;0,HLOOKUP(DL127,[1]Trav!$C$11:$O$31,$AU$166),0)</f>
        <v>0</v>
      </c>
      <c r="DM173" s="183">
        <f>IF(DM127&gt;0,HLOOKUP(DM127,[1]Trav!$C$11:$O$31,$AU$166),0)</f>
        <v>0</v>
      </c>
      <c r="DN173" s="183">
        <f>IF(DN127&gt;0,HLOOKUP(DN127,[1]Trav!$C$11:$O$31,$AU$166),0)</f>
        <v>0</v>
      </c>
      <c r="DO173" s="183">
        <f>IF(DO127&gt;0,HLOOKUP(DO127,[1]Trav!$C$11:$O$31,$AU$166),0)</f>
        <v>0</v>
      </c>
      <c r="DP173" s="183">
        <f>IF(DP127&gt;0,HLOOKUP(DP127,[1]Trav!$C$11:$O$31,$AU$166),0)</f>
        <v>0</v>
      </c>
      <c r="DQ173" s="183">
        <f>IF(DQ127&gt;0,HLOOKUP(DQ127,[1]Trav!$C$11:$O$31,$AU$166),0)</f>
        <v>0</v>
      </c>
      <c r="DR173" s="183">
        <f>IF(DR127&gt;0,HLOOKUP(DR127,[1]Trav!$C$11:$O$31,$AU$166),0)</f>
        <v>0</v>
      </c>
      <c r="DS173" s="183">
        <f>IF(DS127&gt;0,HLOOKUP(DS127,[1]Trav!$C$11:$O$31,$AU$166),0)</f>
        <v>0</v>
      </c>
      <c r="DT173" s="183">
        <f>IF(DT127&gt;0,HLOOKUP(DT127,[1]Trav!$C$11:$O$31,$AU$166),0)</f>
        <v>0</v>
      </c>
      <c r="DU173" s="183">
        <f>IF(DU127&gt;0,HLOOKUP(DU127,[1]Trav!$C$11:$O$31,$AU$166),0)</f>
        <v>0</v>
      </c>
      <c r="DV173" s="183">
        <f>IF(DV127&gt;0,HLOOKUP(DV127,[1]Trav!$C$11:$O$31,$AU$166),0)</f>
        <v>0</v>
      </c>
      <c r="DW173" s="183">
        <f>IF(DW127&gt;0,HLOOKUP(DW127,[1]Trav!$C$11:$O$31,$AU$166),0)</f>
        <v>0</v>
      </c>
      <c r="DX173" s="183">
        <f>IF(DX127&gt;0,HLOOKUP(DX127,[1]Trav!$C$11:$O$31,$AU$166),0)</f>
        <v>0</v>
      </c>
      <c r="DY173" s="183">
        <f>IF(DY127&gt;0,HLOOKUP(DY127,[1]Trav!$C$11:$O$31,$AU$166),0)</f>
        <v>0</v>
      </c>
      <c r="DZ173" s="183">
        <f>IF(DZ127&gt;0,HLOOKUP(DZ127,[1]Trav!$C$11:$O$31,$AU$166),0)</f>
        <v>0</v>
      </c>
      <c r="EA173" s="183">
        <f>IF(EA127&gt;0,HLOOKUP(EA127,[1]Trav!$C$11:$O$31,$AU$166),0)</f>
        <v>0</v>
      </c>
      <c r="EB173" s="183">
        <f>IF(EB127&gt;0,HLOOKUP(EB127,[1]Trav!$C$11:$O$31,$AU$166),0)</f>
        <v>0</v>
      </c>
    </row>
    <row r="174" spans="1:132" x14ac:dyDescent="0.25">
      <c r="B174" s="14" t="s">
        <v>1267</v>
      </c>
      <c r="C174" s="191">
        <f>ROUND((1 -(C173/C169))*100,1)</f>
        <v>80.8</v>
      </c>
      <c r="D174" s="260">
        <f t="shared" si="50"/>
        <v>106.35213675213674</v>
      </c>
      <c r="AT174" s="182" t="str">
        <f t="shared" si="95"/>
        <v>lot8</v>
      </c>
      <c r="AV174" s="183">
        <f>IF(AV128&gt;0,HLOOKUP(AV128,[1]Trav!$C$11:$O$31,$AU$166),0)</f>
        <v>0</v>
      </c>
      <c r="AW174" s="183">
        <f>IF(AW128&gt;0,HLOOKUP(AW128,[1]Trav!$C$11:$O$31,$AU$166),0)</f>
        <v>0</v>
      </c>
      <c r="AX174" s="183">
        <f>IF(AX128&gt;0,HLOOKUP(AX128,[1]Trav!$C$11:$O$31,$AU$166),0)</f>
        <v>0</v>
      </c>
      <c r="AY174" s="183">
        <f>IF(AY128&gt;0,HLOOKUP(AY128,[1]Trav!$C$11:$O$31,$AU$166),0)</f>
        <v>0</v>
      </c>
      <c r="AZ174" s="183">
        <f>IF(AZ128&gt;0,HLOOKUP(AZ128,[1]Trav!$C$11:$O$31,$AU$166),0)</f>
        <v>0</v>
      </c>
      <c r="BA174" s="183">
        <f>IF(BA128&gt;0,HLOOKUP(BA128,[1]Trav!$C$11:$O$31,$AU$166),0)</f>
        <v>0</v>
      </c>
      <c r="BB174" s="183">
        <f>IF(BB128&gt;0,HLOOKUP(BB128,[1]Trav!$C$11:$O$31,$AU$166),0)</f>
        <v>0</v>
      </c>
      <c r="BC174" s="183">
        <f>IF(BC128&gt;0,HLOOKUP(BC128,[1]Trav!$C$11:$O$31,$AU$166),0)</f>
        <v>0</v>
      </c>
      <c r="BD174" s="183">
        <f>IF(BD128&gt;0,HLOOKUP(BD128,[1]Trav!$C$11:$O$31,$AU$166),0)</f>
        <v>0</v>
      </c>
      <c r="BE174" s="183">
        <f>IF(BE128&gt;0,HLOOKUP(BE128,[1]Trav!$C$11:$O$31,$AU$166),0)</f>
        <v>0</v>
      </c>
      <c r="BF174" s="183">
        <f>IF(BF128&gt;0,HLOOKUP(BF128,[1]Trav!$C$11:$O$31,$AU$166),0)</f>
        <v>0</v>
      </c>
      <c r="BG174" s="183">
        <f>IF(BG128&gt;0,HLOOKUP(BG128,[1]Trav!$C$11:$O$31,$AU$166),0)</f>
        <v>0</v>
      </c>
      <c r="BH174" s="183">
        <f>IF(BH128&gt;0,HLOOKUP(BH128,[1]Trav!$C$11:$O$31,$AU$166),0)</f>
        <v>0</v>
      </c>
      <c r="BI174" s="183">
        <f>IF(BI128&gt;0,HLOOKUP(BI128,[1]Trav!$C$11:$O$31,$AU$166),0)</f>
        <v>0</v>
      </c>
      <c r="BJ174" s="183">
        <f>IF(BJ128&gt;0,HLOOKUP(BJ128,[1]Trav!$C$11:$O$31,$AU$166),0)</f>
        <v>0</v>
      </c>
      <c r="BK174" s="183">
        <f>IF(BK128&gt;0,HLOOKUP(BK128,[1]Trav!$C$11:$O$31,$AU$166),0)</f>
        <v>0</v>
      </c>
      <c r="BL174" s="183">
        <f>IF(BL128&gt;0,HLOOKUP(BL128,[1]Trav!$C$11:$O$31,$AU$166),0)</f>
        <v>0</v>
      </c>
      <c r="BM174" s="183">
        <f>IF(BM128&gt;0,HLOOKUP(BM128,[1]Trav!$C$11:$O$31,$AU$166),0)</f>
        <v>0</v>
      </c>
      <c r="BN174" s="183">
        <f>IF(BN128&gt;0,HLOOKUP(BN128,[1]Trav!$C$11:$O$31,$AU$166),0)</f>
        <v>0</v>
      </c>
      <c r="BO174" s="183">
        <f>IF(BO128&gt;0,HLOOKUP(BO128,[1]Trav!$C$11:$O$31,$AU$166),0)</f>
        <v>0</v>
      </c>
      <c r="BP174" s="183">
        <f>IF(BP128&gt;0,HLOOKUP(BP128,[1]Trav!$C$11:$O$31,$AU$166),0)</f>
        <v>0</v>
      </c>
      <c r="BQ174" s="183">
        <f>IF(BQ128&gt;0,HLOOKUP(BQ128,[1]Trav!$C$11:$O$31,$AU$166),0)</f>
        <v>0</v>
      </c>
      <c r="BR174" s="183">
        <f>IF(BR128&gt;0,HLOOKUP(BR128,[1]Trav!$C$11:$O$31,$AU$166),0)</f>
        <v>0</v>
      </c>
      <c r="BS174" s="183">
        <f>IF(BS128&gt;0,HLOOKUP(BS128,[1]Trav!$C$11:$O$31,$AU$166),0)</f>
        <v>0</v>
      </c>
      <c r="BZ174" s="182" t="str">
        <f t="shared" si="96"/>
        <v>lot8</v>
      </c>
      <c r="CB174" s="183">
        <f>IF(CB128&gt;0,HLOOKUP(CB128,[1]Trav!$C$11:$O$31,$AU$166),0)</f>
        <v>0</v>
      </c>
      <c r="CC174" s="183">
        <f>IF(CC128&gt;0,HLOOKUP(CC128,[1]Trav!$C$11:$O$31,$AU$166),0)</f>
        <v>0</v>
      </c>
      <c r="CD174" s="183">
        <f>IF(CD128&gt;0,HLOOKUP(CD128,[1]Trav!$C$11:$O$31,$AU$166),0)</f>
        <v>0</v>
      </c>
      <c r="CE174" s="183">
        <f>IF(CE128&gt;0,HLOOKUP(CE128,[1]Trav!$C$11:$O$31,$AU$166),0)</f>
        <v>0</v>
      </c>
      <c r="CF174" s="183">
        <f>IF(CF128&gt;0,HLOOKUP(CF128,[1]Trav!$C$11:$O$31,$AU$166),0)</f>
        <v>0</v>
      </c>
      <c r="CG174" s="183">
        <f>IF(CG128&gt;0,HLOOKUP(CG128,[1]Trav!$C$11:$O$31,$AU$166),0)</f>
        <v>0</v>
      </c>
      <c r="CH174" s="183">
        <f>IF(CH128&gt;0,HLOOKUP(CH128,[1]Trav!$C$11:$O$31,$AU$166),0)</f>
        <v>0</v>
      </c>
      <c r="CI174" s="183">
        <f>IF(CI128&gt;0,HLOOKUP(CI128,[1]Trav!$C$11:$O$31,$AU$166),0)</f>
        <v>0</v>
      </c>
      <c r="CJ174" s="183">
        <f>IF(CJ128&gt;0,HLOOKUP(CJ128,[1]Trav!$C$11:$O$31,$AU$166),0)</f>
        <v>0</v>
      </c>
      <c r="CK174" s="183">
        <f>IF(CK128&gt;0,HLOOKUP(CK128,[1]Trav!$C$11:$O$31,$AU$166),0)</f>
        <v>0</v>
      </c>
      <c r="CL174" s="183">
        <f>IF(CL128&gt;0,HLOOKUP(CL128,[1]Trav!$C$11:$O$31,$AU$166),0)</f>
        <v>0</v>
      </c>
      <c r="CM174" s="183">
        <f>IF(CM128&gt;0,HLOOKUP(CM128,[1]Trav!$C$11:$O$31,$AU$166),0)</f>
        <v>0</v>
      </c>
      <c r="CN174" s="183">
        <f>IF(CN128&gt;0,HLOOKUP(CN128,[1]Trav!$C$11:$O$31,$AU$166),0)</f>
        <v>0</v>
      </c>
      <c r="CO174" s="183">
        <f>IF(CO128&gt;0,HLOOKUP(CO128,[1]Trav!$C$11:$O$31,$AU$166),0)</f>
        <v>0</v>
      </c>
      <c r="CP174" s="183">
        <f>IF(CP128&gt;0,HLOOKUP(CP128,[1]Trav!$C$11:$O$31,$AU$166),0)</f>
        <v>0</v>
      </c>
      <c r="CQ174" s="183">
        <f>IF(CQ128&gt;0,HLOOKUP(CQ128,[1]Trav!$C$11:$O$31,$AU$166),0)</f>
        <v>0</v>
      </c>
      <c r="CR174" s="183">
        <f>IF(CR128&gt;0,HLOOKUP(CR128,[1]Trav!$C$11:$O$31,$AU$166),0)</f>
        <v>0</v>
      </c>
      <c r="CS174" s="183">
        <f>IF(CS128&gt;0,HLOOKUP(CS128,[1]Trav!$C$11:$O$31,$AU$166),0)</f>
        <v>0</v>
      </c>
      <c r="CT174" s="183">
        <f>IF(CT128&gt;0,HLOOKUP(CT128,[1]Trav!$C$11:$O$31,$AU$166),0)</f>
        <v>0</v>
      </c>
      <c r="CU174" s="183">
        <f>IF(CU128&gt;0,HLOOKUP(CU128,[1]Trav!$C$11:$O$31,$AU$166),0)</f>
        <v>0</v>
      </c>
      <c r="CV174" s="183">
        <f>IF(CV128&gt;0,HLOOKUP(CV128,[1]Trav!$C$11:$O$31,$AU$166),0)</f>
        <v>0</v>
      </c>
      <c r="CW174" s="183">
        <f>IF(CW128&gt;0,HLOOKUP(CW128,[1]Trav!$C$11:$O$31,$AU$166),0)</f>
        <v>0</v>
      </c>
      <c r="CX174" s="183">
        <f>IF(CX128&gt;0,HLOOKUP(CX128,[1]Trav!$C$11:$O$31,$AU$166),0)</f>
        <v>0</v>
      </c>
      <c r="CY174" s="183">
        <f>IF(CY128&gt;0,HLOOKUP(CY128,[1]Trav!$C$11:$O$31,$AU$166),0)</f>
        <v>0</v>
      </c>
      <c r="DC174" s="182" t="str">
        <f t="shared" si="97"/>
        <v>lot8</v>
      </c>
      <c r="DE174" s="183">
        <f>IF(DE128&gt;0,HLOOKUP(DE128,[1]Trav!$C$11:$O$31,$AU$166),0)</f>
        <v>0</v>
      </c>
      <c r="DF174" s="183">
        <f>IF(DF128&gt;0,HLOOKUP(DF128,[1]Trav!$C$11:$O$31,$AU$166),0)</f>
        <v>0</v>
      </c>
      <c r="DG174" s="183">
        <f>IF(DG128&gt;0,HLOOKUP(DG128,[1]Trav!$C$11:$O$31,$AU$166),0)</f>
        <v>0</v>
      </c>
      <c r="DH174" s="183">
        <f>IF(DH128&gt;0,HLOOKUP(DH128,[1]Trav!$C$11:$O$31,$AU$166),0)</f>
        <v>0</v>
      </c>
      <c r="DI174" s="183">
        <f>IF(DI128&gt;0,HLOOKUP(DI128,[1]Trav!$C$11:$O$31,$AU$166),0)</f>
        <v>0</v>
      </c>
      <c r="DJ174" s="183">
        <f>IF(DJ128&gt;0,HLOOKUP(DJ128,[1]Trav!$C$11:$O$31,$AU$166),0)</f>
        <v>0</v>
      </c>
      <c r="DK174" s="183">
        <f>IF(DK128&gt;0,HLOOKUP(DK128,[1]Trav!$C$11:$O$31,$AU$166),0)</f>
        <v>0</v>
      </c>
      <c r="DL174" s="183">
        <f>IF(DL128&gt;0,HLOOKUP(DL128,[1]Trav!$C$11:$O$31,$AU$166),0)</f>
        <v>0</v>
      </c>
      <c r="DM174" s="183">
        <f>IF(DM128&gt;0,HLOOKUP(DM128,[1]Trav!$C$11:$O$31,$AU$166),0)</f>
        <v>0</v>
      </c>
      <c r="DN174" s="183">
        <f>IF(DN128&gt;0,HLOOKUP(DN128,[1]Trav!$C$11:$O$31,$AU$166),0)</f>
        <v>0</v>
      </c>
      <c r="DO174" s="183">
        <f>IF(DO128&gt;0,HLOOKUP(DO128,[1]Trav!$C$11:$O$31,$AU$166),0)</f>
        <v>0</v>
      </c>
      <c r="DP174" s="183">
        <f>IF(DP128&gt;0,HLOOKUP(DP128,[1]Trav!$C$11:$O$31,$AU$166),0)</f>
        <v>0</v>
      </c>
      <c r="DQ174" s="183">
        <f>IF(DQ128&gt;0,HLOOKUP(DQ128,[1]Trav!$C$11:$O$31,$AU$166),0)</f>
        <v>0</v>
      </c>
      <c r="DR174" s="183">
        <f>IF(DR128&gt;0,HLOOKUP(DR128,[1]Trav!$C$11:$O$31,$AU$166),0)</f>
        <v>0</v>
      </c>
      <c r="DS174" s="183">
        <f>IF(DS128&gt;0,HLOOKUP(DS128,[1]Trav!$C$11:$O$31,$AU$166),0)</f>
        <v>0</v>
      </c>
      <c r="DT174" s="183">
        <f>IF(DT128&gt;0,HLOOKUP(DT128,[1]Trav!$C$11:$O$31,$AU$166),0)</f>
        <v>0</v>
      </c>
      <c r="DU174" s="183">
        <f>IF(DU128&gt;0,HLOOKUP(DU128,[1]Trav!$C$11:$O$31,$AU$166),0)</f>
        <v>0</v>
      </c>
      <c r="DV174" s="183">
        <f>IF(DV128&gt;0,HLOOKUP(DV128,[1]Trav!$C$11:$O$31,$AU$166),0)</f>
        <v>0</v>
      </c>
      <c r="DW174" s="183">
        <f>IF(DW128&gt;0,HLOOKUP(DW128,[1]Trav!$C$11:$O$31,$AU$166),0)</f>
        <v>0</v>
      </c>
      <c r="DX174" s="183">
        <f>IF(DX128&gt;0,HLOOKUP(DX128,[1]Trav!$C$11:$O$31,$AU$166),0)</f>
        <v>0</v>
      </c>
      <c r="DY174" s="183">
        <f>IF(DY128&gt;0,HLOOKUP(DY128,[1]Trav!$C$11:$O$31,$AU$166),0)</f>
        <v>0</v>
      </c>
      <c r="DZ174" s="183">
        <f>IF(DZ128&gt;0,HLOOKUP(DZ128,[1]Trav!$C$11:$O$31,$AU$166),0)</f>
        <v>0</v>
      </c>
      <c r="EA174" s="183">
        <f>IF(EA128&gt;0,HLOOKUP(EA128,[1]Trav!$C$11:$O$31,$AU$166),0)</f>
        <v>0</v>
      </c>
      <c r="EB174" s="183">
        <f>IF(EB128&gt;0,HLOOKUP(EB128,[1]Trav!$C$11:$O$31,$AU$166),0)</f>
        <v>0</v>
      </c>
    </row>
    <row r="175" spans="1:132" x14ac:dyDescent="0.25">
      <c r="B175" s="14" t="s">
        <v>1268</v>
      </c>
      <c r="C175" s="168">
        <f>C171-C172</f>
        <v>3.1539180000000044</v>
      </c>
      <c r="D175" s="260">
        <f>C175*$D$82/$C$82</f>
        <v>4.1513108717948777</v>
      </c>
      <c r="AT175" s="182" t="str">
        <f t="shared" si="95"/>
        <v>lot9</v>
      </c>
      <c r="AV175" s="183">
        <f>IF(AV129&gt;0,HLOOKUP(AV129,[1]Trav!$C$11:$O$31,$AU$166),0)</f>
        <v>0</v>
      </c>
      <c r="AW175" s="183">
        <f>IF(AW129&gt;0,HLOOKUP(AW129,[1]Trav!$C$11:$O$31,$AU$166),0)</f>
        <v>0</v>
      </c>
      <c r="AX175" s="183">
        <f>IF(AX129&gt;0,HLOOKUP(AX129,[1]Trav!$C$11:$O$31,$AU$166),0)</f>
        <v>0</v>
      </c>
      <c r="AY175" s="183">
        <f>IF(AY129&gt;0,HLOOKUP(AY129,[1]Trav!$C$11:$O$31,$AU$166),0)</f>
        <v>0</v>
      </c>
      <c r="AZ175" s="183">
        <f>IF(AZ129&gt;0,HLOOKUP(AZ129,[1]Trav!$C$11:$O$31,$AU$166),0)</f>
        <v>0</v>
      </c>
      <c r="BA175" s="183">
        <f>IF(BA129&gt;0,HLOOKUP(BA129,[1]Trav!$C$11:$O$31,$AU$166),0)</f>
        <v>0</v>
      </c>
      <c r="BB175" s="183">
        <f>IF(BB129&gt;0,HLOOKUP(BB129,[1]Trav!$C$11:$O$31,$AU$166),0)</f>
        <v>0</v>
      </c>
      <c r="BC175" s="183">
        <f>IF(BC129&gt;0,HLOOKUP(BC129,[1]Trav!$C$11:$O$31,$AU$166),0)</f>
        <v>0</v>
      </c>
      <c r="BD175" s="183">
        <f>IF(BD129&gt;0,HLOOKUP(BD129,[1]Trav!$C$11:$O$31,$AU$166),0)</f>
        <v>0</v>
      </c>
      <c r="BE175" s="183">
        <f>IF(BE129&gt;0,HLOOKUP(BE129,[1]Trav!$C$11:$O$31,$AU$166),0)</f>
        <v>0</v>
      </c>
      <c r="BF175" s="183">
        <f>IF(BF129&gt;0,HLOOKUP(BF129,[1]Trav!$C$11:$O$31,$AU$166),0)</f>
        <v>0</v>
      </c>
      <c r="BG175" s="183">
        <f>IF(BG129&gt;0,HLOOKUP(BG129,[1]Trav!$C$11:$O$31,$AU$166),0)</f>
        <v>0</v>
      </c>
      <c r="BH175" s="183">
        <f>IF(BH129&gt;0,HLOOKUP(BH129,[1]Trav!$C$11:$O$31,$AU$166),0)</f>
        <v>0</v>
      </c>
      <c r="BI175" s="183">
        <f>IF(BI129&gt;0,HLOOKUP(BI129,[1]Trav!$C$11:$O$31,$AU$166),0)</f>
        <v>0</v>
      </c>
      <c r="BJ175" s="183">
        <f>IF(BJ129&gt;0,HLOOKUP(BJ129,[1]Trav!$C$11:$O$31,$AU$166),0)</f>
        <v>0</v>
      </c>
      <c r="BK175" s="183">
        <f>IF(BK129&gt;0,HLOOKUP(BK129,[1]Trav!$C$11:$O$31,$AU$166),0)</f>
        <v>0</v>
      </c>
      <c r="BL175" s="183">
        <f>IF(BL129&gt;0,HLOOKUP(BL129,[1]Trav!$C$11:$O$31,$AU$166),0)</f>
        <v>0</v>
      </c>
      <c r="BM175" s="183">
        <f>IF(BM129&gt;0,HLOOKUP(BM129,[1]Trav!$C$11:$O$31,$AU$166),0)</f>
        <v>0</v>
      </c>
      <c r="BN175" s="183">
        <f>IF(BN129&gt;0,HLOOKUP(BN129,[1]Trav!$C$11:$O$31,$AU$166),0)</f>
        <v>0</v>
      </c>
      <c r="BO175" s="183">
        <f>IF(BO129&gt;0,HLOOKUP(BO129,[1]Trav!$C$11:$O$31,$AU$166),0)</f>
        <v>0</v>
      </c>
      <c r="BP175" s="183">
        <f>IF(BP129&gt;0,HLOOKUP(BP129,[1]Trav!$C$11:$O$31,$AU$166),0)</f>
        <v>0</v>
      </c>
      <c r="BQ175" s="183">
        <f>IF(BQ129&gt;0,HLOOKUP(BQ129,[1]Trav!$C$11:$O$31,$AU$166),0)</f>
        <v>0</v>
      </c>
      <c r="BR175" s="183">
        <f>IF(BR129&gt;0,HLOOKUP(BR129,[1]Trav!$C$11:$O$31,$AU$166),0)</f>
        <v>0</v>
      </c>
      <c r="BS175" s="183">
        <f>IF(BS129&gt;0,HLOOKUP(BS129,[1]Trav!$C$11:$O$31,$AU$166),0)</f>
        <v>0</v>
      </c>
      <c r="BZ175" s="182" t="str">
        <f t="shared" si="96"/>
        <v>lot9</v>
      </c>
      <c r="CB175" s="183">
        <f>IF(CB129&gt;0,HLOOKUP(CB129,[1]Trav!$C$11:$O$31,$AU$166),0)</f>
        <v>0</v>
      </c>
      <c r="CC175" s="183">
        <f>IF(CC129&gt;0,HLOOKUP(CC129,[1]Trav!$C$11:$O$31,$AU$166),0)</f>
        <v>0</v>
      </c>
      <c r="CD175" s="183">
        <f>IF(CD129&gt;0,HLOOKUP(CD129,[1]Trav!$C$11:$O$31,$AU$166),0)</f>
        <v>0</v>
      </c>
      <c r="CE175" s="183">
        <f>IF(CE129&gt;0,HLOOKUP(CE129,[1]Trav!$C$11:$O$31,$AU$166),0)</f>
        <v>0</v>
      </c>
      <c r="CF175" s="183">
        <f>IF(CF129&gt;0,HLOOKUP(CF129,[1]Trav!$C$11:$O$31,$AU$166),0)</f>
        <v>0</v>
      </c>
      <c r="CG175" s="183">
        <f>IF(CG129&gt;0,HLOOKUP(CG129,[1]Trav!$C$11:$O$31,$AU$166),0)</f>
        <v>0</v>
      </c>
      <c r="CH175" s="183">
        <f>IF(CH129&gt;0,HLOOKUP(CH129,[1]Trav!$C$11:$O$31,$AU$166),0)</f>
        <v>0</v>
      </c>
      <c r="CI175" s="183">
        <f>IF(CI129&gt;0,HLOOKUP(CI129,[1]Trav!$C$11:$O$31,$AU$166),0)</f>
        <v>0</v>
      </c>
      <c r="CJ175" s="183">
        <f>IF(CJ129&gt;0,HLOOKUP(CJ129,[1]Trav!$C$11:$O$31,$AU$166),0)</f>
        <v>0</v>
      </c>
      <c r="CK175" s="183">
        <f>IF(CK129&gt;0,HLOOKUP(CK129,[1]Trav!$C$11:$O$31,$AU$166),0)</f>
        <v>0</v>
      </c>
      <c r="CL175" s="183">
        <f>IF(CL129&gt;0,HLOOKUP(CL129,[1]Trav!$C$11:$O$31,$AU$166),0)</f>
        <v>0</v>
      </c>
      <c r="CM175" s="183">
        <f>IF(CM129&gt;0,HLOOKUP(CM129,[1]Trav!$C$11:$O$31,$AU$166),0)</f>
        <v>0</v>
      </c>
      <c r="CN175" s="183">
        <f>IF(CN129&gt;0,HLOOKUP(CN129,[1]Trav!$C$11:$O$31,$AU$166),0)</f>
        <v>0</v>
      </c>
      <c r="CO175" s="183">
        <f>IF(CO129&gt;0,HLOOKUP(CO129,[1]Trav!$C$11:$O$31,$AU$166),0)</f>
        <v>0</v>
      </c>
      <c r="CP175" s="183">
        <f>IF(CP129&gt;0,HLOOKUP(CP129,[1]Trav!$C$11:$O$31,$AU$166),0)</f>
        <v>0</v>
      </c>
      <c r="CQ175" s="183">
        <f>IF(CQ129&gt;0,HLOOKUP(CQ129,[1]Trav!$C$11:$O$31,$AU$166),0)</f>
        <v>0</v>
      </c>
      <c r="CR175" s="183">
        <f>IF(CR129&gt;0,HLOOKUP(CR129,[1]Trav!$C$11:$O$31,$AU$166),0)</f>
        <v>0</v>
      </c>
      <c r="CS175" s="183">
        <f>IF(CS129&gt;0,HLOOKUP(CS129,[1]Trav!$C$11:$O$31,$AU$166),0)</f>
        <v>0</v>
      </c>
      <c r="CT175" s="183">
        <f>IF(CT129&gt;0,HLOOKUP(CT129,[1]Trav!$C$11:$O$31,$AU$166),0)</f>
        <v>0</v>
      </c>
      <c r="CU175" s="183">
        <f>IF(CU129&gt;0,HLOOKUP(CU129,[1]Trav!$C$11:$O$31,$AU$166),0)</f>
        <v>0</v>
      </c>
      <c r="CV175" s="183">
        <f>IF(CV129&gt;0,HLOOKUP(CV129,[1]Trav!$C$11:$O$31,$AU$166),0)</f>
        <v>0</v>
      </c>
      <c r="CW175" s="183">
        <f>IF(CW129&gt;0,HLOOKUP(CW129,[1]Trav!$C$11:$O$31,$AU$166),0)</f>
        <v>0</v>
      </c>
      <c r="CX175" s="183">
        <f>IF(CX129&gt;0,HLOOKUP(CX129,[1]Trav!$C$11:$O$31,$AU$166),0)</f>
        <v>0</v>
      </c>
      <c r="CY175" s="183">
        <f>IF(CY129&gt;0,HLOOKUP(CY129,[1]Trav!$C$11:$O$31,$AU$166),0)</f>
        <v>0</v>
      </c>
      <c r="DC175" s="182" t="str">
        <f t="shared" si="97"/>
        <v>lot9</v>
      </c>
      <c r="DE175" s="183">
        <f>IF(DE129&gt;0,HLOOKUP(DE129,[1]Trav!$C$11:$O$31,$AU$166),0)</f>
        <v>0</v>
      </c>
      <c r="DF175" s="183">
        <f>IF(DF129&gt;0,HLOOKUP(DF129,[1]Trav!$C$11:$O$31,$AU$166),0)</f>
        <v>0</v>
      </c>
      <c r="DG175" s="183">
        <f>IF(DG129&gt;0,HLOOKUP(DG129,[1]Trav!$C$11:$O$31,$AU$166),0)</f>
        <v>0</v>
      </c>
      <c r="DH175" s="183">
        <f>IF(DH129&gt;0,HLOOKUP(DH129,[1]Trav!$C$11:$O$31,$AU$166),0)</f>
        <v>0</v>
      </c>
      <c r="DI175" s="183">
        <f>IF(DI129&gt;0,HLOOKUP(DI129,[1]Trav!$C$11:$O$31,$AU$166),0)</f>
        <v>0</v>
      </c>
      <c r="DJ175" s="183">
        <f>IF(DJ129&gt;0,HLOOKUP(DJ129,[1]Trav!$C$11:$O$31,$AU$166),0)</f>
        <v>0</v>
      </c>
      <c r="DK175" s="183">
        <f>IF(DK129&gt;0,HLOOKUP(DK129,[1]Trav!$C$11:$O$31,$AU$166),0)</f>
        <v>0</v>
      </c>
      <c r="DL175" s="183">
        <f>IF(DL129&gt;0,HLOOKUP(DL129,[1]Trav!$C$11:$O$31,$AU$166),0)</f>
        <v>0</v>
      </c>
      <c r="DM175" s="183">
        <f>IF(DM129&gt;0,HLOOKUP(DM129,[1]Trav!$C$11:$O$31,$AU$166),0)</f>
        <v>0</v>
      </c>
      <c r="DN175" s="183">
        <f>IF(DN129&gt;0,HLOOKUP(DN129,[1]Trav!$C$11:$O$31,$AU$166),0)</f>
        <v>0</v>
      </c>
      <c r="DO175" s="183">
        <f>IF(DO129&gt;0,HLOOKUP(DO129,[1]Trav!$C$11:$O$31,$AU$166),0)</f>
        <v>0</v>
      </c>
      <c r="DP175" s="183">
        <f>IF(DP129&gt;0,HLOOKUP(DP129,[1]Trav!$C$11:$O$31,$AU$166),0)</f>
        <v>0</v>
      </c>
      <c r="DQ175" s="183">
        <f>IF(DQ129&gt;0,HLOOKUP(DQ129,[1]Trav!$C$11:$O$31,$AU$166),0)</f>
        <v>0</v>
      </c>
      <c r="DR175" s="183">
        <f>IF(DR129&gt;0,HLOOKUP(DR129,[1]Trav!$C$11:$O$31,$AU$166),0)</f>
        <v>0</v>
      </c>
      <c r="DS175" s="183">
        <f>IF(DS129&gt;0,HLOOKUP(DS129,[1]Trav!$C$11:$O$31,$AU$166),0)</f>
        <v>0</v>
      </c>
      <c r="DT175" s="183">
        <f>IF(DT129&gt;0,HLOOKUP(DT129,[1]Trav!$C$11:$O$31,$AU$166),0)</f>
        <v>0</v>
      </c>
      <c r="DU175" s="183">
        <f>IF(DU129&gt;0,HLOOKUP(DU129,[1]Trav!$C$11:$O$31,$AU$166),0)</f>
        <v>0</v>
      </c>
      <c r="DV175" s="183">
        <f>IF(DV129&gt;0,HLOOKUP(DV129,[1]Trav!$C$11:$O$31,$AU$166),0)</f>
        <v>0</v>
      </c>
      <c r="DW175" s="183">
        <f>IF(DW129&gt;0,HLOOKUP(DW129,[1]Trav!$C$11:$O$31,$AU$166),0)</f>
        <v>0</v>
      </c>
      <c r="DX175" s="183">
        <f>IF(DX129&gt;0,HLOOKUP(DX129,[1]Trav!$C$11:$O$31,$AU$166),0)</f>
        <v>0</v>
      </c>
      <c r="DY175" s="183">
        <f>IF(DY129&gt;0,HLOOKUP(DY129,[1]Trav!$C$11:$O$31,$AU$166),0)</f>
        <v>0</v>
      </c>
      <c r="DZ175" s="183">
        <f>IF(DZ129&gt;0,HLOOKUP(DZ129,[1]Trav!$C$11:$O$31,$AU$166),0)</f>
        <v>0</v>
      </c>
      <c r="EA175" s="183">
        <f>IF(EA129&gt;0,HLOOKUP(EA129,[1]Trav!$C$11:$O$31,$AU$166),0)</f>
        <v>0</v>
      </c>
      <c r="EB175" s="183">
        <f>IF(EB129&gt;0,HLOOKUP(EB129,[1]Trav!$C$11:$O$31,$AU$166),0)</f>
        <v>0</v>
      </c>
    </row>
    <row r="176" spans="1:132" x14ac:dyDescent="0.25">
      <c r="B176" s="14" t="s">
        <v>1269</v>
      </c>
      <c r="C176" s="168">
        <f>'Calcul éco'!B118</f>
        <v>0</v>
      </c>
      <c r="D176" s="260">
        <f>C176*$D$82/$C$82</f>
        <v>0</v>
      </c>
      <c r="AT176" s="182" t="str">
        <f t="shared" si="95"/>
        <v>lot10</v>
      </c>
      <c r="AV176" s="183">
        <f>IF(AV130&gt;0,HLOOKUP(AV130,[1]Trav!$C$11:$O$31,$AU$166),0)</f>
        <v>0</v>
      </c>
      <c r="AW176" s="183">
        <f>IF(AW130&gt;0,HLOOKUP(AW130,[1]Trav!$C$11:$O$31,$AU$166),0)</f>
        <v>0</v>
      </c>
      <c r="AX176" s="183">
        <f>IF(AX130&gt;0,HLOOKUP(AX130,[1]Trav!$C$11:$O$31,$AU$166),0)</f>
        <v>0</v>
      </c>
      <c r="AY176" s="183">
        <f>IF(AY130&gt;0,HLOOKUP(AY130,[1]Trav!$C$11:$O$31,$AU$166),0)</f>
        <v>0</v>
      </c>
      <c r="AZ176" s="183">
        <f>IF(AZ130&gt;0,HLOOKUP(AZ130,[1]Trav!$C$11:$O$31,$AU$166),0)</f>
        <v>0</v>
      </c>
      <c r="BA176" s="183">
        <f>IF(BA130&gt;0,HLOOKUP(BA130,[1]Trav!$C$11:$O$31,$AU$166),0)</f>
        <v>0</v>
      </c>
      <c r="BB176" s="183">
        <f>IF(BB130&gt;0,HLOOKUP(BB130,[1]Trav!$C$11:$O$31,$AU$166),0)</f>
        <v>0</v>
      </c>
      <c r="BC176" s="183">
        <f>IF(BC130&gt;0,HLOOKUP(BC130,[1]Trav!$C$11:$O$31,$AU$166),0)</f>
        <v>0</v>
      </c>
      <c r="BD176" s="183">
        <f>IF(BD130&gt;0,HLOOKUP(BD130,[1]Trav!$C$11:$O$31,$AU$166),0)</f>
        <v>0</v>
      </c>
      <c r="BE176" s="183">
        <f>IF(BE130&gt;0,HLOOKUP(BE130,[1]Trav!$C$11:$O$31,$AU$166),0)</f>
        <v>0</v>
      </c>
      <c r="BF176" s="183">
        <f>IF(BF130&gt;0,HLOOKUP(BF130,[1]Trav!$C$11:$O$31,$AU$166),0)</f>
        <v>0</v>
      </c>
      <c r="BG176" s="183">
        <f>IF(BG130&gt;0,HLOOKUP(BG130,[1]Trav!$C$11:$O$31,$AU$166),0)</f>
        <v>0</v>
      </c>
      <c r="BH176" s="183">
        <f>IF(BH130&gt;0,HLOOKUP(BH130,[1]Trav!$C$11:$O$31,$AU$166),0)</f>
        <v>0</v>
      </c>
      <c r="BI176" s="183">
        <f>IF(BI130&gt;0,HLOOKUP(BI130,[1]Trav!$C$11:$O$31,$AU$166),0)</f>
        <v>0</v>
      </c>
      <c r="BJ176" s="183">
        <f>IF(BJ130&gt;0,HLOOKUP(BJ130,[1]Trav!$C$11:$O$31,$AU$166),0)</f>
        <v>0</v>
      </c>
      <c r="BK176" s="183">
        <f>IF(BK130&gt;0,HLOOKUP(BK130,[1]Trav!$C$11:$O$31,$AU$166),0)</f>
        <v>0</v>
      </c>
      <c r="BL176" s="183">
        <f>IF(BL130&gt;0,HLOOKUP(BL130,[1]Trav!$C$11:$O$31,$AU$166),0)</f>
        <v>0</v>
      </c>
      <c r="BM176" s="183">
        <f>IF(BM130&gt;0,HLOOKUP(BM130,[1]Trav!$C$11:$O$31,$AU$166),0)</f>
        <v>0</v>
      </c>
      <c r="BN176" s="183">
        <f>IF(BN130&gt;0,HLOOKUP(BN130,[1]Trav!$C$11:$O$31,$AU$166),0)</f>
        <v>0</v>
      </c>
      <c r="BO176" s="183">
        <f>IF(BO130&gt;0,HLOOKUP(BO130,[1]Trav!$C$11:$O$31,$AU$166),0)</f>
        <v>0</v>
      </c>
      <c r="BP176" s="183">
        <f>IF(BP130&gt;0,HLOOKUP(BP130,[1]Trav!$C$11:$O$31,$AU$166),0)</f>
        <v>0</v>
      </c>
      <c r="BQ176" s="183">
        <f>IF(BQ130&gt;0,HLOOKUP(BQ130,[1]Trav!$C$11:$O$31,$AU$166),0)</f>
        <v>0</v>
      </c>
      <c r="BR176" s="183">
        <f>IF(BR130&gt;0,HLOOKUP(BR130,[1]Trav!$C$11:$O$31,$AU$166),0)</f>
        <v>0</v>
      </c>
      <c r="BS176" s="183">
        <f>IF(BS130&gt;0,HLOOKUP(BS130,[1]Trav!$C$11:$O$31,$AU$166),0)</f>
        <v>0</v>
      </c>
      <c r="BZ176" s="182" t="str">
        <f t="shared" si="96"/>
        <v>lot10</v>
      </c>
      <c r="CB176" s="183">
        <f>IF(CB130&gt;0,HLOOKUP(CB130,[1]Trav!$C$11:$O$31,$AU$166),0)</f>
        <v>0</v>
      </c>
      <c r="CC176" s="183">
        <f>IF(CC130&gt;0,HLOOKUP(CC130,[1]Trav!$C$11:$O$31,$AU$166),0)</f>
        <v>0</v>
      </c>
      <c r="CD176" s="183">
        <f>IF(CD130&gt;0,HLOOKUP(CD130,[1]Trav!$C$11:$O$31,$AU$166),0)</f>
        <v>0</v>
      </c>
      <c r="CE176" s="183">
        <f>IF(CE130&gt;0,HLOOKUP(CE130,[1]Trav!$C$11:$O$31,$AU$166),0)</f>
        <v>0</v>
      </c>
      <c r="CF176" s="183">
        <f>IF(CF130&gt;0,HLOOKUP(CF130,[1]Trav!$C$11:$O$31,$AU$166),0)</f>
        <v>0</v>
      </c>
      <c r="CG176" s="183">
        <f>IF(CG130&gt;0,HLOOKUP(CG130,[1]Trav!$C$11:$O$31,$AU$166),0)</f>
        <v>0</v>
      </c>
      <c r="CH176" s="183">
        <f>IF(CH130&gt;0,HLOOKUP(CH130,[1]Trav!$C$11:$O$31,$AU$166),0)</f>
        <v>0</v>
      </c>
      <c r="CI176" s="183">
        <f>IF(CI130&gt;0,HLOOKUP(CI130,[1]Trav!$C$11:$O$31,$AU$166),0)</f>
        <v>0</v>
      </c>
      <c r="CJ176" s="183">
        <f>IF(CJ130&gt;0,HLOOKUP(CJ130,[1]Trav!$C$11:$O$31,$AU$166),0)</f>
        <v>0</v>
      </c>
      <c r="CK176" s="183">
        <f>IF(CK130&gt;0,HLOOKUP(CK130,[1]Trav!$C$11:$O$31,$AU$166),0)</f>
        <v>0</v>
      </c>
      <c r="CL176" s="183">
        <f>IF(CL130&gt;0,HLOOKUP(CL130,[1]Trav!$C$11:$O$31,$AU$166),0)</f>
        <v>0</v>
      </c>
      <c r="CM176" s="183">
        <f>IF(CM130&gt;0,HLOOKUP(CM130,[1]Trav!$C$11:$O$31,$AU$166),0)</f>
        <v>0</v>
      </c>
      <c r="CN176" s="183">
        <f>IF(CN130&gt;0,HLOOKUP(CN130,[1]Trav!$C$11:$O$31,$AU$166),0)</f>
        <v>0</v>
      </c>
      <c r="CO176" s="183">
        <f>IF(CO130&gt;0,HLOOKUP(CO130,[1]Trav!$C$11:$O$31,$AU$166),0)</f>
        <v>0</v>
      </c>
      <c r="CP176" s="183">
        <f>IF(CP130&gt;0,HLOOKUP(CP130,[1]Trav!$C$11:$O$31,$AU$166),0)</f>
        <v>0</v>
      </c>
      <c r="CQ176" s="183">
        <f>IF(CQ130&gt;0,HLOOKUP(CQ130,[1]Trav!$C$11:$O$31,$AU$166),0)</f>
        <v>0</v>
      </c>
      <c r="CR176" s="183">
        <f>IF(CR130&gt;0,HLOOKUP(CR130,[1]Trav!$C$11:$O$31,$AU$166),0)</f>
        <v>0</v>
      </c>
      <c r="CS176" s="183">
        <f>IF(CS130&gt;0,HLOOKUP(CS130,[1]Trav!$C$11:$O$31,$AU$166),0)</f>
        <v>0</v>
      </c>
      <c r="CT176" s="183">
        <f>IF(CT130&gt;0,HLOOKUP(CT130,[1]Trav!$C$11:$O$31,$AU$166),0)</f>
        <v>0</v>
      </c>
      <c r="CU176" s="183">
        <f>IF(CU130&gt;0,HLOOKUP(CU130,[1]Trav!$C$11:$O$31,$AU$166),0)</f>
        <v>0</v>
      </c>
      <c r="CV176" s="183">
        <f>IF(CV130&gt;0,HLOOKUP(CV130,[1]Trav!$C$11:$O$31,$AU$166),0)</f>
        <v>0</v>
      </c>
      <c r="CW176" s="183">
        <f>IF(CW130&gt;0,HLOOKUP(CW130,[1]Trav!$C$11:$O$31,$AU$166),0)</f>
        <v>0</v>
      </c>
      <c r="CX176" s="183">
        <f>IF(CX130&gt;0,HLOOKUP(CX130,[1]Trav!$C$11:$O$31,$AU$166),0)</f>
        <v>0</v>
      </c>
      <c r="CY176" s="183">
        <f>IF(CY130&gt;0,HLOOKUP(CY130,[1]Trav!$C$11:$O$31,$AU$166),0)</f>
        <v>0</v>
      </c>
      <c r="DC176" s="182" t="str">
        <f t="shared" si="97"/>
        <v>lot10</v>
      </c>
      <c r="DE176" s="183">
        <f>IF(DE130&gt;0,HLOOKUP(DE130,[1]Trav!$C$11:$O$31,$AU$166),0)</f>
        <v>0</v>
      </c>
      <c r="DF176" s="183">
        <f>IF(DF130&gt;0,HLOOKUP(DF130,[1]Trav!$C$11:$O$31,$AU$166),0)</f>
        <v>0</v>
      </c>
      <c r="DG176" s="183">
        <f>IF(DG130&gt;0,HLOOKUP(DG130,[1]Trav!$C$11:$O$31,$AU$166),0)</f>
        <v>0</v>
      </c>
      <c r="DH176" s="183">
        <f>IF(DH130&gt;0,HLOOKUP(DH130,[1]Trav!$C$11:$O$31,$AU$166),0)</f>
        <v>0</v>
      </c>
      <c r="DI176" s="183">
        <f>IF(DI130&gt;0,HLOOKUP(DI130,[1]Trav!$C$11:$O$31,$AU$166),0)</f>
        <v>0</v>
      </c>
      <c r="DJ176" s="183">
        <f>IF(DJ130&gt;0,HLOOKUP(DJ130,[1]Trav!$C$11:$O$31,$AU$166),0)</f>
        <v>0</v>
      </c>
      <c r="DK176" s="183">
        <f>IF(DK130&gt;0,HLOOKUP(DK130,[1]Trav!$C$11:$O$31,$AU$166),0)</f>
        <v>0</v>
      </c>
      <c r="DL176" s="183">
        <f>IF(DL130&gt;0,HLOOKUP(DL130,[1]Trav!$C$11:$O$31,$AU$166),0)</f>
        <v>0</v>
      </c>
      <c r="DM176" s="183">
        <f>IF(DM130&gt;0,HLOOKUP(DM130,[1]Trav!$C$11:$O$31,$AU$166),0)</f>
        <v>0</v>
      </c>
      <c r="DN176" s="183">
        <f>IF(DN130&gt;0,HLOOKUP(DN130,[1]Trav!$C$11:$O$31,$AU$166),0)</f>
        <v>0</v>
      </c>
      <c r="DO176" s="183">
        <f>IF(DO130&gt;0,HLOOKUP(DO130,[1]Trav!$C$11:$O$31,$AU$166),0)</f>
        <v>0</v>
      </c>
      <c r="DP176" s="183">
        <f>IF(DP130&gt;0,HLOOKUP(DP130,[1]Trav!$C$11:$O$31,$AU$166),0)</f>
        <v>0</v>
      </c>
      <c r="DQ176" s="183">
        <f>IF(DQ130&gt;0,HLOOKUP(DQ130,[1]Trav!$C$11:$O$31,$AU$166),0)</f>
        <v>0</v>
      </c>
      <c r="DR176" s="183">
        <f>IF(DR130&gt;0,HLOOKUP(DR130,[1]Trav!$C$11:$O$31,$AU$166),0)</f>
        <v>0</v>
      </c>
      <c r="DS176" s="183">
        <f>IF(DS130&gt;0,HLOOKUP(DS130,[1]Trav!$C$11:$O$31,$AU$166),0)</f>
        <v>0</v>
      </c>
      <c r="DT176" s="183">
        <f>IF(DT130&gt;0,HLOOKUP(DT130,[1]Trav!$C$11:$O$31,$AU$166),0)</f>
        <v>0</v>
      </c>
      <c r="DU176" s="183">
        <f>IF(DU130&gt;0,HLOOKUP(DU130,[1]Trav!$C$11:$O$31,$AU$166),0)</f>
        <v>0</v>
      </c>
      <c r="DV176" s="183">
        <f>IF(DV130&gt;0,HLOOKUP(DV130,[1]Trav!$C$11:$O$31,$AU$166),0)</f>
        <v>0</v>
      </c>
      <c r="DW176" s="183">
        <f>IF(DW130&gt;0,HLOOKUP(DW130,[1]Trav!$C$11:$O$31,$AU$166),0)</f>
        <v>0</v>
      </c>
      <c r="DX176" s="183">
        <f>IF(DX130&gt;0,HLOOKUP(DX130,[1]Trav!$C$11:$O$31,$AU$166),0)</f>
        <v>0</v>
      </c>
      <c r="DY176" s="183">
        <f>IF(DY130&gt;0,HLOOKUP(DY130,[1]Trav!$C$11:$O$31,$AU$166),0)</f>
        <v>0</v>
      </c>
      <c r="DZ176" s="183">
        <f>IF(DZ130&gt;0,HLOOKUP(DZ130,[1]Trav!$C$11:$O$31,$AU$166),0)</f>
        <v>0</v>
      </c>
      <c r="EA176" s="183">
        <f>IF(EA130&gt;0,HLOOKUP(EA130,[1]Trav!$C$11:$O$31,$AU$166),0)</f>
        <v>0</v>
      </c>
      <c r="EB176" s="183">
        <f>IF(EB130&gt;0,HLOOKUP(EB130,[1]Trav!$C$11:$O$31,$AU$166),0)</f>
        <v>0</v>
      </c>
    </row>
    <row r="177" spans="1:132" x14ac:dyDescent="0.25">
      <c r="B177" s="14" t="s">
        <v>1270</v>
      </c>
      <c r="C177" s="168">
        <f>'Calcul éco'!C30</f>
        <v>3.1539180000000044</v>
      </c>
      <c r="D177" s="260">
        <f>C177*$D$82/$C$82</f>
        <v>4.1513108717948777</v>
      </c>
      <c r="AV177" s="268"/>
      <c r="AW177" s="268"/>
      <c r="AX177" s="268"/>
      <c r="AY177" s="268"/>
      <c r="AZ177" s="268"/>
      <c r="BA177" s="268"/>
      <c r="BB177" s="268"/>
      <c r="BC177" s="268"/>
      <c r="BD177" s="268"/>
      <c r="BE177" s="268"/>
      <c r="BF177" s="268"/>
      <c r="BG177" s="268"/>
      <c r="BH177" s="268"/>
      <c r="BI177" s="268"/>
      <c r="BJ177" s="268"/>
      <c r="BK177" s="268"/>
      <c r="BL177" s="268"/>
      <c r="BM177" s="268"/>
      <c r="BN177" s="268"/>
      <c r="BO177" s="268"/>
      <c r="BP177" s="268"/>
      <c r="BQ177" s="268"/>
      <c r="BR177" s="268"/>
      <c r="BS177" s="268"/>
      <c r="CB177" s="268"/>
      <c r="CC177" s="268"/>
      <c r="CD177" s="268"/>
      <c r="CE177" s="268"/>
      <c r="CF177" s="268"/>
      <c r="CG177" s="268"/>
      <c r="CH177" s="268"/>
      <c r="CI177" s="268"/>
      <c r="CJ177" s="268"/>
      <c r="CK177" s="268"/>
      <c r="CL177" s="268"/>
      <c r="CM177" s="268"/>
      <c r="CN177" s="268"/>
      <c r="CO177" s="268"/>
      <c r="CP177" s="268"/>
      <c r="CQ177" s="268"/>
      <c r="CR177" s="268"/>
      <c r="CS177" s="268"/>
      <c r="CT177" s="268"/>
      <c r="CU177" s="268"/>
      <c r="CV177" s="268"/>
      <c r="CW177" s="268"/>
      <c r="CX177" s="268"/>
      <c r="CY177" s="268"/>
      <c r="DE177" s="268"/>
      <c r="DF177" s="268"/>
      <c r="DG177" s="268"/>
      <c r="DH177" s="268"/>
      <c r="DI177" s="268"/>
      <c r="DJ177" s="268"/>
      <c r="DK177" s="268"/>
      <c r="DL177" s="268"/>
      <c r="DM177" s="268"/>
      <c r="DN177" s="268"/>
      <c r="DO177" s="268"/>
      <c r="DP177" s="268"/>
      <c r="DQ177" s="268"/>
      <c r="DR177" s="268"/>
      <c r="DS177" s="268"/>
      <c r="DT177" s="268"/>
      <c r="DU177" s="268"/>
      <c r="DV177" s="268"/>
      <c r="DW177" s="268"/>
      <c r="DX177" s="268"/>
      <c r="DY177" s="268"/>
      <c r="DZ177" s="268"/>
      <c r="EA177" s="268"/>
      <c r="EB177" s="268"/>
    </row>
    <row r="178" spans="1:132" x14ac:dyDescent="0.25">
      <c r="B178" s="14" t="s">
        <v>1271</v>
      </c>
      <c r="C178" s="168">
        <f>ROUND((C170+C171)/(C170+C172),2)*100</f>
        <v>102</v>
      </c>
      <c r="D178" s="168">
        <f>ROUND((D170+D171)/(D170+D172),2)*100</f>
        <v>102</v>
      </c>
      <c r="AT178" s="40" t="s">
        <v>848</v>
      </c>
      <c r="AV178" s="168">
        <f>SUM(AV167:AV176)</f>
        <v>0</v>
      </c>
      <c r="AW178" s="168">
        <f t="shared" ref="AW178:BS178" si="98">SUM(AW167:AW176)</f>
        <v>0</v>
      </c>
      <c r="AX178" s="168">
        <f t="shared" si="98"/>
        <v>0</v>
      </c>
      <c r="AY178" s="168">
        <f t="shared" si="98"/>
        <v>0</v>
      </c>
      <c r="AZ178" s="168">
        <f t="shared" si="98"/>
        <v>14</v>
      </c>
      <c r="BA178" s="168">
        <f t="shared" si="98"/>
        <v>14</v>
      </c>
      <c r="BB178" s="168">
        <f t="shared" si="98"/>
        <v>7</v>
      </c>
      <c r="BC178" s="168">
        <f t="shared" si="98"/>
        <v>7</v>
      </c>
      <c r="BD178" s="168">
        <f t="shared" si="98"/>
        <v>7</v>
      </c>
      <c r="BE178" s="168">
        <f t="shared" si="98"/>
        <v>17.5</v>
      </c>
      <c r="BF178" s="168">
        <f t="shared" si="98"/>
        <v>17.5</v>
      </c>
      <c r="BG178" s="168">
        <f t="shared" si="98"/>
        <v>17.5</v>
      </c>
      <c r="BH178" s="168">
        <f t="shared" si="98"/>
        <v>17.5</v>
      </c>
      <c r="BI178" s="168">
        <f t="shared" si="98"/>
        <v>17.5</v>
      </c>
      <c r="BJ178" s="168">
        <f t="shared" si="98"/>
        <v>17.5</v>
      </c>
      <c r="BK178" s="168">
        <f t="shared" si="98"/>
        <v>17.5</v>
      </c>
      <c r="BL178" s="168">
        <f t="shared" si="98"/>
        <v>17.5</v>
      </c>
      <c r="BM178" s="168">
        <f t="shared" si="98"/>
        <v>17.5</v>
      </c>
      <c r="BN178" s="168">
        <f t="shared" si="98"/>
        <v>17.5</v>
      </c>
      <c r="BO178" s="168">
        <f t="shared" si="98"/>
        <v>17.5</v>
      </c>
      <c r="BP178" s="168">
        <f t="shared" si="98"/>
        <v>21</v>
      </c>
      <c r="BQ178" s="168">
        <f t="shared" si="98"/>
        <v>0</v>
      </c>
      <c r="BR178" s="168">
        <f t="shared" si="98"/>
        <v>0</v>
      </c>
      <c r="BS178" s="168">
        <f t="shared" si="98"/>
        <v>0</v>
      </c>
      <c r="CA178" s="40" t="s">
        <v>848</v>
      </c>
      <c r="CB178" s="168">
        <f>SUM(CB167:CB176)</f>
        <v>0</v>
      </c>
      <c r="CC178" s="168">
        <f t="shared" ref="CC178:CY178" si="99">SUM(CC167:CC176)</f>
        <v>0</v>
      </c>
      <c r="CD178" s="168">
        <f t="shared" si="99"/>
        <v>0</v>
      </c>
      <c r="CE178" s="168">
        <f t="shared" si="99"/>
        <v>0</v>
      </c>
      <c r="CF178" s="168">
        <f t="shared" si="99"/>
        <v>0</v>
      </c>
      <c r="CG178" s="168">
        <f t="shared" si="99"/>
        <v>0</v>
      </c>
      <c r="CH178" s="168">
        <f t="shared" si="99"/>
        <v>0</v>
      </c>
      <c r="CI178" s="168">
        <f t="shared" si="99"/>
        <v>0</v>
      </c>
      <c r="CJ178" s="168">
        <f t="shared" si="99"/>
        <v>0</v>
      </c>
      <c r="CK178" s="168">
        <f t="shared" si="99"/>
        <v>0</v>
      </c>
      <c r="CL178" s="168">
        <f t="shared" si="99"/>
        <v>0</v>
      </c>
      <c r="CM178" s="168">
        <f t="shared" si="99"/>
        <v>0</v>
      </c>
      <c r="CN178" s="168">
        <f t="shared" si="99"/>
        <v>0</v>
      </c>
      <c r="CO178" s="168">
        <f t="shared" si="99"/>
        <v>0</v>
      </c>
      <c r="CP178" s="168">
        <f t="shared" si="99"/>
        <v>0</v>
      </c>
      <c r="CQ178" s="168">
        <f t="shared" si="99"/>
        <v>0</v>
      </c>
      <c r="CR178" s="168">
        <f t="shared" si="99"/>
        <v>0</v>
      </c>
      <c r="CS178" s="168">
        <f t="shared" si="99"/>
        <v>0</v>
      </c>
      <c r="CT178" s="168">
        <f t="shared" si="99"/>
        <v>0</v>
      </c>
      <c r="CU178" s="168">
        <f t="shared" si="99"/>
        <v>0</v>
      </c>
      <c r="CV178" s="168">
        <f t="shared" si="99"/>
        <v>0</v>
      </c>
      <c r="CW178" s="168">
        <f t="shared" si="99"/>
        <v>0</v>
      </c>
      <c r="CX178" s="168">
        <f t="shared" si="99"/>
        <v>0</v>
      </c>
      <c r="CY178" s="168">
        <f t="shared" si="99"/>
        <v>0</v>
      </c>
      <c r="DD178" s="40" t="s">
        <v>848</v>
      </c>
      <c r="DE178" s="168">
        <f>SUM(DE167:DE176)</f>
        <v>0</v>
      </c>
      <c r="DF178" s="168">
        <f t="shared" ref="DF178:EB178" si="100">SUM(DF167:DF176)</f>
        <v>0</v>
      </c>
      <c r="DG178" s="168">
        <f t="shared" si="100"/>
        <v>0</v>
      </c>
      <c r="DH178" s="168">
        <f t="shared" si="100"/>
        <v>0</v>
      </c>
      <c r="DI178" s="168">
        <f t="shared" si="100"/>
        <v>0</v>
      </c>
      <c r="DJ178" s="168">
        <f t="shared" si="100"/>
        <v>0</v>
      </c>
      <c r="DK178" s="168">
        <f t="shared" si="100"/>
        <v>0</v>
      </c>
      <c r="DL178" s="168">
        <f t="shared" si="100"/>
        <v>0</v>
      </c>
      <c r="DM178" s="168">
        <f t="shared" si="100"/>
        <v>0</v>
      </c>
      <c r="DN178" s="168">
        <f t="shared" si="100"/>
        <v>0</v>
      </c>
      <c r="DO178" s="168">
        <f t="shared" si="100"/>
        <v>0</v>
      </c>
      <c r="DP178" s="168">
        <f t="shared" si="100"/>
        <v>0</v>
      </c>
      <c r="DQ178" s="168">
        <f t="shared" si="100"/>
        <v>0</v>
      </c>
      <c r="DR178" s="168">
        <f t="shared" si="100"/>
        <v>0</v>
      </c>
      <c r="DS178" s="168">
        <f t="shared" si="100"/>
        <v>0</v>
      </c>
      <c r="DT178" s="168">
        <f t="shared" si="100"/>
        <v>0</v>
      </c>
      <c r="DU178" s="168">
        <f t="shared" si="100"/>
        <v>0</v>
      </c>
      <c r="DV178" s="168">
        <f t="shared" si="100"/>
        <v>0</v>
      </c>
      <c r="DW178" s="168">
        <f t="shared" si="100"/>
        <v>0</v>
      </c>
      <c r="DX178" s="168">
        <f t="shared" si="100"/>
        <v>0</v>
      </c>
      <c r="DY178" s="168">
        <f t="shared" si="100"/>
        <v>0</v>
      </c>
      <c r="DZ178" s="168">
        <f t="shared" si="100"/>
        <v>0</v>
      </c>
      <c r="EA178" s="168">
        <f t="shared" si="100"/>
        <v>0</v>
      </c>
      <c r="EB178" s="168">
        <f t="shared" si="100"/>
        <v>0</v>
      </c>
    </row>
    <row r="179" spans="1:132" x14ac:dyDescent="0.25">
      <c r="B179" s="14" t="s">
        <v>1272</v>
      </c>
      <c r="C179" s="168">
        <f>SUM('Calcul éco'!D82:F106)</f>
        <v>16.2</v>
      </c>
      <c r="D179" s="260">
        <f>C179*$D$82/$C$82</f>
        <v>21.323076923076925</v>
      </c>
    </row>
    <row r="180" spans="1:132" x14ac:dyDescent="0.25">
      <c r="B180" s="14" t="s">
        <v>1273</v>
      </c>
      <c r="C180" s="168">
        <f>SUM('Calcul éco'!D19:D21)</f>
        <v>0</v>
      </c>
      <c r="D180" s="260">
        <f>C180*$D$82/$C$82</f>
        <v>0</v>
      </c>
    </row>
    <row r="181" spans="1:132" x14ac:dyDescent="0.25">
      <c r="B181" s="14" t="s">
        <v>1274</v>
      </c>
      <c r="C181" s="168">
        <f>ROUND(C180/C179,2)*100</f>
        <v>0</v>
      </c>
      <c r="D181" s="168">
        <f>ROUND(D180/D179,2)*100</f>
        <v>0</v>
      </c>
    </row>
    <row r="182" spans="1:132" x14ac:dyDescent="0.25">
      <c r="A182" s="2" t="s">
        <v>1275</v>
      </c>
      <c r="B182" s="14" t="s">
        <v>1276</v>
      </c>
      <c r="C182" s="168">
        <f>'Calcul éco'!T233</f>
        <v>0</v>
      </c>
      <c r="D182" s="168">
        <f>C182</f>
        <v>0</v>
      </c>
    </row>
    <row r="183" spans="1:132" x14ac:dyDescent="0.25">
      <c r="B183" s="14" t="s">
        <v>1277</v>
      </c>
      <c r="C183" s="168">
        <f>Protection!AK25</f>
        <v>0</v>
      </c>
      <c r="D183" s="261">
        <f>ROUND(D184*D185,0)</f>
        <v>0</v>
      </c>
      <c r="E183" s="17" t="s">
        <v>1278</v>
      </c>
    </row>
    <row r="184" spans="1:132" x14ac:dyDescent="0.25">
      <c r="B184" s="14" t="s">
        <v>1279</v>
      </c>
      <c r="C184" s="168">
        <f>Protection!AK26</f>
        <v>0</v>
      </c>
      <c r="D184" s="262">
        <f>C184*D82/C82</f>
        <v>0</v>
      </c>
    </row>
    <row r="185" spans="1:132" x14ac:dyDescent="0.25">
      <c r="B185" s="14" t="s">
        <v>1280</v>
      </c>
      <c r="C185" s="168">
        <f>IF(C183=0,0,ROUND(C183/C184,0))</f>
        <v>0</v>
      </c>
      <c r="D185" s="168">
        <f>C185</f>
        <v>0</v>
      </c>
    </row>
    <row r="186" spans="1:132" x14ac:dyDescent="0.25">
      <c r="B186" s="14" t="s">
        <v>1281</v>
      </c>
      <c r="C186" s="168">
        <f>'Calcul éco'!T240</f>
        <v>0</v>
      </c>
      <c r="D186" s="168">
        <f>C186</f>
        <v>0</v>
      </c>
    </row>
    <row r="187" spans="1:132" x14ac:dyDescent="0.25">
      <c r="B187" s="14" t="s">
        <v>1282</v>
      </c>
      <c r="C187" s="168">
        <f>'Calcul éco'!T235</f>
        <v>0</v>
      </c>
      <c r="D187" s="168">
        <f>C187</f>
        <v>0</v>
      </c>
    </row>
    <row r="188" spans="1:132" x14ac:dyDescent="0.25">
      <c r="B188" s="14" t="s">
        <v>1283</v>
      </c>
      <c r="C188" s="168">
        <f>'Calcul éco'!T236</f>
        <v>0</v>
      </c>
      <c r="D188" s="168">
        <f t="shared" ref="D188:D189" si="101">C188</f>
        <v>0</v>
      </c>
      <c r="AK188" s="40" t="s">
        <v>1096</v>
      </c>
    </row>
    <row r="189" spans="1:132" x14ac:dyDescent="0.25">
      <c r="B189" s="14" t="s">
        <v>1284</v>
      </c>
      <c r="C189" s="168">
        <f>'Calcul éco'!T245</f>
        <v>0</v>
      </c>
      <c r="D189" s="168">
        <f t="shared" si="101"/>
        <v>0</v>
      </c>
      <c r="AH189" s="15"/>
      <c r="AJ189" s="14" t="s">
        <v>1097</v>
      </c>
      <c r="AK189" s="30">
        <f>D189</f>
        <v>0</v>
      </c>
      <c r="AO189" s="168">
        <f>ROUND((([1]Protect!$B$5/[1]Protect!$B$11)+[1]Protect!$B$8)*AK189,0)</f>
        <v>0</v>
      </c>
    </row>
    <row r="190" spans="1:132" x14ac:dyDescent="0.25">
      <c r="B190" s="14" t="s">
        <v>1285</v>
      </c>
      <c r="C190" s="168">
        <f>'Calcul éco'!T246*(30)</f>
        <v>0</v>
      </c>
      <c r="D190" s="168">
        <f>C190</f>
        <v>0</v>
      </c>
      <c r="AH190" s="15"/>
      <c r="AJ190" s="14" t="s">
        <v>1098</v>
      </c>
      <c r="AK190" s="30">
        <f>D190/30</f>
        <v>0</v>
      </c>
      <c r="AN190" s="168">
        <f>[1]Eco!$B$106*[1]Eco!$B$108*[1]Eco!$B$109</f>
        <v>2551.2000000000003</v>
      </c>
      <c r="AO190" s="168">
        <f>AK190*AN190</f>
        <v>0</v>
      </c>
    </row>
    <row r="191" spans="1:132" x14ac:dyDescent="0.25">
      <c r="B191" s="14" t="s">
        <v>1286</v>
      </c>
      <c r="C191" s="191">
        <f>ROUND(SUM(Travail!F69:F74)/8,1)</f>
        <v>0</v>
      </c>
      <c r="D191" s="168">
        <f>C191</f>
        <v>0</v>
      </c>
      <c r="E191" s="17" t="s">
        <v>1287</v>
      </c>
      <c r="G191" t="s">
        <v>1288</v>
      </c>
      <c r="N191" t="s">
        <v>1289</v>
      </c>
      <c r="U191" t="s">
        <v>913</v>
      </c>
      <c r="AJ191" s="14" t="s">
        <v>1099</v>
      </c>
      <c r="AK191" s="30">
        <f>Travail!F16/8</f>
        <v>0</v>
      </c>
      <c r="AN191" s="168">
        <f>[1]Eco!$B$111</f>
        <v>28.3</v>
      </c>
      <c r="AO191" s="168">
        <f>AK191*AN191</f>
        <v>0</v>
      </c>
    </row>
    <row r="192" spans="1:132" x14ac:dyDescent="0.25">
      <c r="B192" s="14" t="s">
        <v>1290</v>
      </c>
      <c r="C192" s="168">
        <f>(Travail!F83+Travail!F84)/8</f>
        <v>0</v>
      </c>
      <c r="D192" s="263">
        <f>ROUND((D183/1000)*([1]Protect!$B$25*8/10+[1]Protect!$B$26),2)/8</f>
        <v>0</v>
      </c>
      <c r="E192" s="17" t="s">
        <v>1291</v>
      </c>
      <c r="I192" s="5"/>
      <c r="AN192" s="14" t="s">
        <v>1100</v>
      </c>
      <c r="AO192" s="168">
        <f>SUM(AO189:AO191)</f>
        <v>0</v>
      </c>
    </row>
    <row r="193" spans="1:43" x14ac:dyDescent="0.25">
      <c r="B193" s="14" t="s">
        <v>1292</v>
      </c>
      <c r="C193" s="168">
        <f>(Travail!F75+Travail!F76+Travail!F81)/8</f>
        <v>0</v>
      </c>
      <c r="D193" s="168">
        <f>C193</f>
        <v>0</v>
      </c>
      <c r="I193" s="32" t="s">
        <v>1293</v>
      </c>
      <c r="J193" s="5">
        <f>D65</f>
        <v>52.65</v>
      </c>
      <c r="P193" s="32" t="s">
        <v>1294</v>
      </c>
      <c r="Q193" s="5">
        <f>D64</f>
        <v>0</v>
      </c>
      <c r="V193" s="32" t="s">
        <v>1295</v>
      </c>
      <c r="W193" s="5">
        <f>D63</f>
        <v>0</v>
      </c>
    </row>
    <row r="194" spans="1:43" x14ac:dyDescent="0.25">
      <c r="A194" s="2" t="s">
        <v>1296</v>
      </c>
      <c r="B194" s="14" t="s">
        <v>1297</v>
      </c>
      <c r="C194" s="168">
        <f>ROUND(SUM('Calcul éco'!J5:J30),0)</f>
        <v>33360</v>
      </c>
      <c r="D194" s="258">
        <f>ROUND(C194*D$82/C$82,0)</f>
        <v>43910</v>
      </c>
      <c r="I194" s="32" t="s">
        <v>1298</v>
      </c>
      <c r="J194" s="5">
        <f>J193/IF(Scénario!K2="Exploit. Ind.",1,Scénario!K3)</f>
        <v>52.65</v>
      </c>
      <c r="P194" s="32" t="s">
        <v>1299</v>
      </c>
      <c r="Q194" s="5">
        <f>Q193/IF(Scénario!K2="Exploit. Ind.",1,Scénario!K3)</f>
        <v>0</v>
      </c>
      <c r="V194" s="32" t="s">
        <v>1300</v>
      </c>
      <c r="W194" s="5">
        <f>W193/IF(Scénario!K2="Exploit. Ind.",1,Scénario!K3)</f>
        <v>0</v>
      </c>
    </row>
    <row r="195" spans="1:43" x14ac:dyDescent="0.25">
      <c r="A195" s="2"/>
      <c r="B195" s="14" t="s">
        <v>1301</v>
      </c>
      <c r="C195" s="168">
        <f>ROUND(IF(Troupeau!B3="OL",'Calcul éco'!J5+'Calcul éco'!J6,0),0)</f>
        <v>0</v>
      </c>
      <c r="D195" s="258">
        <f t="shared" ref="D195:D200" si="102">ROUND(C195*D$82/C$82,0)</f>
        <v>0</v>
      </c>
    </row>
    <row r="196" spans="1:43" x14ac:dyDescent="0.25">
      <c r="A196" s="2"/>
      <c r="B196" s="14" t="s">
        <v>1302</v>
      </c>
      <c r="C196" s="168">
        <f>IF(Troupeau!B3="BL",'Calcul éco'!J5,0)</f>
        <v>0</v>
      </c>
      <c r="D196" s="258">
        <f t="shared" si="102"/>
        <v>0</v>
      </c>
    </row>
    <row r="197" spans="1:43" x14ac:dyDescent="0.25">
      <c r="A197" s="2"/>
      <c r="B197" s="14" t="s">
        <v>1303</v>
      </c>
      <c r="C197" s="168">
        <f>IF(Troupeau!B3="OL",SUM('Calcul éco'!K9:K15)-'Calcul éco'!K16,0)</f>
        <v>0</v>
      </c>
      <c r="D197" s="258">
        <f t="shared" si="102"/>
        <v>0</v>
      </c>
      <c r="H197" s="268" t="s">
        <v>921</v>
      </c>
      <c r="I197" s="268" t="s">
        <v>922</v>
      </c>
      <c r="J197" s="268" t="s">
        <v>696</v>
      </c>
      <c r="O197" s="268" t="s">
        <v>921</v>
      </c>
      <c r="P197" s="268" t="s">
        <v>925</v>
      </c>
      <c r="Q197" s="268" t="s">
        <v>696</v>
      </c>
      <c r="T197" s="5"/>
      <c r="U197" s="268" t="s">
        <v>921</v>
      </c>
      <c r="V197" s="268" t="s">
        <v>923</v>
      </c>
      <c r="W197" s="268" t="s">
        <v>696</v>
      </c>
    </row>
    <row r="198" spans="1:43" x14ac:dyDescent="0.25">
      <c r="A198" s="2"/>
      <c r="B198" s="14" t="s">
        <v>1304</v>
      </c>
      <c r="C198" s="168">
        <f>IF(Troupeau!B3="BL",SUM('Calcul éco'!K9:K15)-'Calcul éco'!K16,0)</f>
        <v>0</v>
      </c>
      <c r="D198" s="258">
        <f t="shared" si="102"/>
        <v>0</v>
      </c>
      <c r="G198" s="206" t="s">
        <v>927</v>
      </c>
      <c r="H198" s="183">
        <f>[1]Eco!$F$4</f>
        <v>166</v>
      </c>
      <c r="I198" s="207">
        <f>IF(J194&gt;50,50,J194)</f>
        <v>50</v>
      </c>
      <c r="J198" s="168">
        <f>H198*I198</f>
        <v>8300</v>
      </c>
      <c r="N198" s="14" t="s">
        <v>929</v>
      </c>
      <c r="O198" s="183">
        <f>[1]Eco!$B$14</f>
        <v>77</v>
      </c>
      <c r="P198" s="168">
        <f>IF(Q194&gt;30,30,Q194)</f>
        <v>0</v>
      </c>
      <c r="Q198" s="168">
        <f>O198*P198</f>
        <v>0</v>
      </c>
      <c r="T198" s="5" t="s">
        <v>928</v>
      </c>
      <c r="U198" s="183">
        <f>[1]Eco!$F$9</f>
        <v>24.3</v>
      </c>
      <c r="V198" s="207">
        <f>IF(W194&gt;500,500,W194)</f>
        <v>0</v>
      </c>
      <c r="W198" s="207">
        <f>U198*V198</f>
        <v>0</v>
      </c>
      <c r="AI198" s="40" t="s">
        <v>1103</v>
      </c>
      <c r="AJ198" s="4">
        <f>IF(Troupeau!B3="OL",L223,0)*Scénario!K56</f>
        <v>0</v>
      </c>
      <c r="AO198" s="40" t="s">
        <v>1104</v>
      </c>
      <c r="AP198">
        <f>IF(Troupeau!B3="OL",D63,0)</f>
        <v>0</v>
      </c>
    </row>
    <row r="199" spans="1:43" x14ac:dyDescent="0.25">
      <c r="A199" s="2"/>
      <c r="B199" s="14" t="s">
        <v>1305</v>
      </c>
      <c r="C199" s="168">
        <f>IF(Troupeau!B3="BV",SUM('Calcul éco'!K9:K15)-'Calcul éco'!K16,0)+IF(Troupeau!C3="BV",SUM('Calcul éco'!L9:L15)-'Calcul éco'!L16,0)</f>
        <v>36304</v>
      </c>
      <c r="D199" s="258">
        <f t="shared" si="102"/>
        <v>47785</v>
      </c>
      <c r="G199" s="14" t="s">
        <v>930</v>
      </c>
      <c r="H199" s="183">
        <f>[1]Eco!$F$5</f>
        <v>121</v>
      </c>
      <c r="I199" s="207">
        <f>IF(J194&lt;51,0,IF(J194&gt;99,49,J194-50))</f>
        <v>2.6499999999999986</v>
      </c>
      <c r="J199" s="168">
        <f t="shared" ref="J199:J200" si="103">H199*I199</f>
        <v>320.64999999999981</v>
      </c>
      <c r="N199" s="14" t="s">
        <v>933</v>
      </c>
      <c r="O199" s="183">
        <f>[1]Eco!$B$15</f>
        <v>38</v>
      </c>
      <c r="P199" s="168">
        <f>IF(Q194&gt;40,40,Q194)</f>
        <v>0</v>
      </c>
      <c r="Q199" s="168">
        <f>O199*P199</f>
        <v>0</v>
      </c>
      <c r="T199" s="5" t="s">
        <v>931</v>
      </c>
      <c r="U199" s="183">
        <f>[1]Eco!$F$10</f>
        <v>22.3</v>
      </c>
      <c r="V199" s="207">
        <f>IF(W194&gt;500,W194-500,0)</f>
        <v>0</v>
      </c>
      <c r="W199" s="207">
        <f>U199*V199</f>
        <v>0</v>
      </c>
      <c r="AK199" t="s">
        <v>1105</v>
      </c>
      <c r="AQ199" t="s">
        <v>1105</v>
      </c>
    </row>
    <row r="200" spans="1:43" x14ac:dyDescent="0.25">
      <c r="A200" s="2"/>
      <c r="B200" s="14" t="s">
        <v>1306</v>
      </c>
      <c r="C200" s="168">
        <f>IF(Troupeau!D3="EQ",SUM('Calcul éco'!M9:M15)-'Calcul éco'!M16,0)+IF(Troupeau!C3="EQ",SUM('Calcul éco'!L9:L15)-'Calcul éco'!L16,0)</f>
        <v>0</v>
      </c>
      <c r="D200" s="258">
        <f t="shared" si="102"/>
        <v>0</v>
      </c>
      <c r="G200" s="14" t="s">
        <v>935</v>
      </c>
      <c r="H200" s="183">
        <f>[1]Eco!$F$6</f>
        <v>62</v>
      </c>
      <c r="I200" s="207">
        <f>IF(J194&gt;139,40,IF(J194&gt;99,J194-99,0))</f>
        <v>0</v>
      </c>
      <c r="J200" s="168">
        <f t="shared" si="103"/>
        <v>0</v>
      </c>
      <c r="P200" s="40" t="s">
        <v>932</v>
      </c>
      <c r="Q200" s="62">
        <f>IF(Scénario!K10=1,Q198,Q199)*IF(Scénario!K2="Exploit. Ind.",1,Scénario!K3)</f>
        <v>0</v>
      </c>
      <c r="V200" s="40" t="s">
        <v>932</v>
      </c>
      <c r="W200" s="62">
        <f>SUM(W198:W199)*IF(Scénario!K2="Exploit. Ind.",1,Scénario!K3)</f>
        <v>0</v>
      </c>
      <c r="AI200" s="14" t="s">
        <v>1106</v>
      </c>
      <c r="AJ200" s="30">
        <f>IF(AJ198&lt;151,1,0)</f>
        <v>1</v>
      </c>
      <c r="AK200" s="168">
        <f>IF(AJ200=0,0,[1]Protect!B76)</f>
        <v>7500</v>
      </c>
      <c r="AO200" s="14" t="s">
        <v>1107</v>
      </c>
      <c r="AP200" s="30">
        <f>IF(AP198&lt;151,1,0)</f>
        <v>1</v>
      </c>
      <c r="AQ200" s="168">
        <f>IF(AP200=0,0,[1]Protect!B70)</f>
        <v>5000</v>
      </c>
    </row>
    <row r="201" spans="1:43" x14ac:dyDescent="0.25">
      <c r="A201" s="2" t="s">
        <v>941</v>
      </c>
      <c r="B201" s="14" t="s">
        <v>942</v>
      </c>
      <c r="C201" s="168">
        <f>'Calcul éco'!J34</f>
        <v>6640</v>
      </c>
      <c r="D201" s="261">
        <f>J201</f>
        <v>8620.65</v>
      </c>
      <c r="E201" s="17" t="s">
        <v>1307</v>
      </c>
      <c r="I201" s="40" t="s">
        <v>932</v>
      </c>
      <c r="J201" s="62">
        <f>SUM(J198:J200)*IF(Scénario!K2="Exploit. Ind.",1,Scénario!K3)</f>
        <v>8620.65</v>
      </c>
      <c r="AI201" s="14" t="s">
        <v>1108</v>
      </c>
      <c r="AJ201" s="30">
        <f>IF(AND(150 &lt;AJ$198,AJ$198&lt;451),1,0)</f>
        <v>0</v>
      </c>
      <c r="AK201" s="168">
        <f>IF(AJ201=0,0,[1]Protect!B77)</f>
        <v>0</v>
      </c>
      <c r="AO201" s="14" t="s">
        <v>1109</v>
      </c>
      <c r="AP201" s="30">
        <f>IF(AND(150 &lt;$AP$198,$AP$198&lt;451),1,0)</f>
        <v>0</v>
      </c>
      <c r="AQ201" s="168">
        <f>IF(AP201=0,0,[1]Protect!B71)</f>
        <v>0</v>
      </c>
    </row>
    <row r="202" spans="1:43" x14ac:dyDescent="0.25">
      <c r="B202" s="14" t="s">
        <v>944</v>
      </c>
      <c r="C202" s="168">
        <f>+'Calcul éco'!J35</f>
        <v>0</v>
      </c>
      <c r="D202" s="261">
        <f>ROUND(Q200,0)</f>
        <v>0</v>
      </c>
      <c r="E202" s="17" t="s">
        <v>1307</v>
      </c>
      <c r="AI202" s="14" t="s">
        <v>1110</v>
      </c>
      <c r="AJ202" s="30">
        <f>IF(AND(540 &lt;AJ$198,AJ$198&lt;1201),1,0)</f>
        <v>0</v>
      </c>
      <c r="AK202" s="168">
        <f>IF(AJ202=0,0,[1]Protect!B78)</f>
        <v>0</v>
      </c>
      <c r="AO202" s="14" t="s">
        <v>1111</v>
      </c>
      <c r="AP202" s="30">
        <f>IF(AND(540 &lt;AP$198,AP$198&lt;1201),1,0)</f>
        <v>0</v>
      </c>
      <c r="AQ202" s="168">
        <f>IF(AP202=0,0,[1]Protect!B72)</f>
        <v>0</v>
      </c>
    </row>
    <row r="203" spans="1:43" x14ac:dyDescent="0.25">
      <c r="B203" s="14" t="s">
        <v>950</v>
      </c>
      <c r="C203" s="168">
        <f>'Calcul éco'!J37</f>
        <v>0</v>
      </c>
      <c r="D203" s="261">
        <f>ROUND(W200,0)</f>
        <v>0</v>
      </c>
      <c r="E203" s="17" t="s">
        <v>1307</v>
      </c>
      <c r="AI203" s="14" t="s">
        <v>1112</v>
      </c>
      <c r="AJ203" s="30">
        <f>IF(AND(1200&lt;AJ$198,AJ$198&lt;1501),1,0)</f>
        <v>0</v>
      </c>
      <c r="AK203" s="168">
        <f>IF(AJ203=0,0,[1]Protect!B79)</f>
        <v>0</v>
      </c>
      <c r="AO203" s="14" t="s">
        <v>1113</v>
      </c>
      <c r="AP203" s="30">
        <f>IF(AND(1200&lt;AP$198,AP$198&lt;1501),1,0)</f>
        <v>0</v>
      </c>
      <c r="AQ203" s="168">
        <f>IF(AP203=0,0,[1]Protect!B73)</f>
        <v>0</v>
      </c>
    </row>
    <row r="204" spans="1:43" x14ac:dyDescent="0.25">
      <c r="B204" s="14" t="s">
        <v>960</v>
      </c>
      <c r="C204" s="168">
        <f>'Calcul éco'!J39</f>
        <v>0</v>
      </c>
      <c r="D204" s="258">
        <f>ROUND(C204*D$82/C$82,0)</f>
        <v>0</v>
      </c>
      <c r="I204" s="40" t="s">
        <v>951</v>
      </c>
      <c r="J204" t="s">
        <v>952</v>
      </c>
      <c r="K204" t="s">
        <v>953</v>
      </c>
      <c r="L204" t="s">
        <v>954</v>
      </c>
      <c r="T204" s="2" t="s">
        <v>945</v>
      </c>
      <c r="U204" s="14"/>
      <c r="V204" s="36"/>
      <c r="AI204" s="14" t="s">
        <v>1114</v>
      </c>
      <c r="AJ204" s="30">
        <f>IF(1500&lt;AJ$198,1,0)</f>
        <v>0</v>
      </c>
      <c r="AK204" s="168">
        <f>IF(AJ204=0,0,[1]Protect!B80)</f>
        <v>0</v>
      </c>
      <c r="AO204" s="14" t="s">
        <v>1115</v>
      </c>
      <c r="AP204" s="30">
        <f>IF(1500&lt;AP$198,1,0)</f>
        <v>0</v>
      </c>
      <c r="AQ204" s="168">
        <f>IF(AP204=0,0,[1]Protect!B74)</f>
        <v>0</v>
      </c>
    </row>
    <row r="205" spans="1:43" x14ac:dyDescent="0.25">
      <c r="B205" s="14" t="s">
        <v>550</v>
      </c>
      <c r="C205" s="168">
        <f>'Calcul éco'!J40</f>
        <v>0</v>
      </c>
      <c r="D205" s="258">
        <f>ROUND(C205*D$82/C$82,0)</f>
        <v>0</v>
      </c>
      <c r="I205" s="14" t="s">
        <v>1308</v>
      </c>
      <c r="J205" s="168">
        <f>D81</f>
        <v>46.2</v>
      </c>
      <c r="K205" s="168">
        <v>1</v>
      </c>
      <c r="L205" s="168">
        <f>J205*K205</f>
        <v>46.2</v>
      </c>
      <c r="T205" s="5"/>
      <c r="U205" s="5"/>
      <c r="V205" s="36"/>
      <c r="W205" s="5"/>
      <c r="X205" s="14" t="s">
        <v>949</v>
      </c>
      <c r="Y205" s="183">
        <f>'Calcul éco'!AC36</f>
        <v>235</v>
      </c>
      <c r="Z205" s="5"/>
    </row>
    <row r="206" spans="1:43" x14ac:dyDescent="0.25">
      <c r="A206" s="2" t="s">
        <v>964</v>
      </c>
      <c r="B206" s="19" t="s">
        <v>965</v>
      </c>
      <c r="C206" s="168">
        <f>ROUND('Calcul éco'!J42,0)</f>
        <v>3405</v>
      </c>
      <c r="D206" s="258">
        <f>ROUND(C206*D$82/C$82,0)</f>
        <v>4482</v>
      </c>
      <c r="I206" s="14" t="s">
        <v>271</v>
      </c>
      <c r="J206" s="168">
        <f>D80</f>
        <v>0</v>
      </c>
      <c r="K206" s="168">
        <f>[1]Eco!$B$22/100</f>
        <v>0.6</v>
      </c>
      <c r="L206" s="168">
        <f t="shared" ref="L206" si="104">J206*K206</f>
        <v>0</v>
      </c>
      <c r="T206" s="269"/>
      <c r="X206" s="268" t="s">
        <v>955</v>
      </c>
      <c r="Y206" s="268" t="s">
        <v>921</v>
      </c>
      <c r="Z206" s="268" t="s">
        <v>696</v>
      </c>
    </row>
    <row r="207" spans="1:43" x14ac:dyDescent="0.25">
      <c r="B207" s="204" t="s">
        <v>969</v>
      </c>
      <c r="C207" s="168">
        <f>ROUND('Calcul éco'!J43,0)</f>
        <v>1720</v>
      </c>
      <c r="D207" s="261">
        <f>IF(L212&gt;52,52,L212)*IF(Scénario!K2="Exploit. Ind.",1,Scénario!K3)*'Calcul éco'!C43</f>
        <v>2263.8000000000002</v>
      </c>
      <c r="E207" s="17" t="s">
        <v>1309</v>
      </c>
      <c r="W207" s="14" t="s">
        <v>959</v>
      </c>
      <c r="X207" s="168">
        <f>IF(T208&gt;25, 25,T208)</f>
        <v>25</v>
      </c>
      <c r="Y207" s="168">
        <f>Y209+Y205</f>
        <v>305</v>
      </c>
      <c r="Z207" s="168">
        <f>X207*Y207</f>
        <v>7625</v>
      </c>
      <c r="AF207" s="23" t="s">
        <v>1116</v>
      </c>
      <c r="AL207" s="168">
        <f>IF(Scénario!K84=2,AL209,IF(Scénario!K84=1,AL208,0))</f>
        <v>0</v>
      </c>
      <c r="AQ207" s="5"/>
    </row>
    <row r="208" spans="1:43" x14ac:dyDescent="0.25">
      <c r="B208" s="204" t="s">
        <v>970</v>
      </c>
      <c r="C208" s="168">
        <f>ROUND('Calcul éco'!J44,0)</f>
        <v>2352</v>
      </c>
      <c r="D208" s="258">
        <f>ROUND(C208*D$82/C$82,0)</f>
        <v>3096</v>
      </c>
      <c r="S208" s="14" t="s">
        <v>961</v>
      </c>
      <c r="T208" s="30">
        <f>L212</f>
        <v>46.2</v>
      </c>
      <c r="W208" s="14" t="s">
        <v>962</v>
      </c>
      <c r="X208" s="168">
        <f>IF(T208&gt;50,25,IF(T208&gt;25,T208-25,0))</f>
        <v>21.200000000000003</v>
      </c>
      <c r="Y208" s="168">
        <f>Y209+0.66*Y205</f>
        <v>225.1</v>
      </c>
      <c r="Z208" s="168">
        <f t="shared" ref="Z208:Z209" si="105">X208*Y208</f>
        <v>4772.1200000000008</v>
      </c>
      <c r="AF208" s="5"/>
      <c r="AK208" s="14" t="s">
        <v>1117</v>
      </c>
      <c r="AL208" s="168">
        <f>IF(AO192&lt;SUM(AK200:AK204),AO192,SUM(AK200:AK204))</f>
        <v>0</v>
      </c>
      <c r="AQ208" s="238"/>
    </row>
    <row r="209" spans="1:43" x14ac:dyDescent="0.25">
      <c r="B209" s="19" t="s">
        <v>972</v>
      </c>
      <c r="C209" s="168">
        <f>ROUND('Calcul éco'!J45,0)</f>
        <v>9899</v>
      </c>
      <c r="D209" s="261">
        <f>IF(Scénario!K9=0,0,ROUND(Z210,0))</f>
        <v>12397</v>
      </c>
      <c r="E209" s="17" t="s">
        <v>1310</v>
      </c>
      <c r="K209" s="40" t="s">
        <v>971</v>
      </c>
      <c r="L209" s="62">
        <f>SUM(L205:L206)</f>
        <v>46.2</v>
      </c>
      <c r="W209" s="14" t="s">
        <v>963</v>
      </c>
      <c r="X209" s="168">
        <f>IF(T208&gt;75,25,IF(T208&gt;50,T208-50,0))</f>
        <v>0</v>
      </c>
      <c r="Y209" s="183">
        <f>[1]Eco!$B$34</f>
        <v>70</v>
      </c>
      <c r="Z209" s="168">
        <f t="shared" si="105"/>
        <v>0</v>
      </c>
      <c r="AF209" s="5"/>
      <c r="AK209" s="14" t="s">
        <v>1118</v>
      </c>
      <c r="AL209" s="168">
        <f>IF(AO192&lt;SUM(AQ200:AQ204),AO192,SUM(AQ200:AQ204))</f>
        <v>0</v>
      </c>
      <c r="AP209" s="238"/>
      <c r="AQ209" s="238"/>
    </row>
    <row r="210" spans="1:43" x14ac:dyDescent="0.25">
      <c r="B210" s="19" t="s">
        <v>1311</v>
      </c>
      <c r="C210" s="168">
        <f>ROUND('Calcul éco'!J46,0)</f>
        <v>0</v>
      </c>
      <c r="D210" s="261">
        <f>ROUND(AL207,0)</f>
        <v>0</v>
      </c>
      <c r="E210" s="17" t="s">
        <v>1312</v>
      </c>
      <c r="K210" s="14" t="s">
        <v>973</v>
      </c>
      <c r="L210" s="168">
        <f>J221</f>
        <v>0</v>
      </c>
      <c r="Y210" s="40" t="s">
        <v>932</v>
      </c>
      <c r="Z210" s="62">
        <f>SUM(Z207:Z209)*IF(Scénario!K2="Exploit. Ind.",1,Scénario!K3)</f>
        <v>12397.12</v>
      </c>
      <c r="AF210" s="5"/>
      <c r="AP210" s="238"/>
      <c r="AQ210" s="239"/>
    </row>
    <row r="211" spans="1:43" x14ac:dyDescent="0.25">
      <c r="B211" s="14" t="s">
        <v>1313</v>
      </c>
      <c r="C211" s="168">
        <f>SUM(C201:C210)</f>
        <v>24016</v>
      </c>
      <c r="D211" s="261">
        <f>ROUND(SUM(D201:D210),0)</f>
        <v>30859</v>
      </c>
      <c r="E211" s="17" t="s">
        <v>1314</v>
      </c>
      <c r="K211" s="40" t="s">
        <v>978</v>
      </c>
      <c r="L211" s="62">
        <f>L209+L210</f>
        <v>46.2</v>
      </c>
      <c r="AF211" s="5"/>
      <c r="AP211" s="238"/>
      <c r="AQ211" s="239"/>
    </row>
    <row r="212" spans="1:43" x14ac:dyDescent="0.25">
      <c r="A212" s="2" t="s">
        <v>1315</v>
      </c>
      <c r="B212" s="14" t="s">
        <v>1316</v>
      </c>
      <c r="C212" s="168">
        <f>IF(Troupeau!B3="OL",'Calcul éco'!K116,0)</f>
        <v>0</v>
      </c>
      <c r="D212" s="258">
        <f>ROUND(C212*D$82/C$82,0)</f>
        <v>0</v>
      </c>
      <c r="K212" s="40" t="s">
        <v>1317</v>
      </c>
      <c r="L212" s="62">
        <f>L211/IF(Scénario!K2="Exploit. Ind.",1,Scénario!K3)</f>
        <v>46.2</v>
      </c>
      <c r="AF212" s="5"/>
      <c r="AG212" s="240"/>
      <c r="AH212" s="241"/>
      <c r="AI212" s="241"/>
      <c r="AJ212" s="242"/>
      <c r="AK212" s="242"/>
      <c r="AL212" s="242"/>
      <c r="AM212" s="243"/>
      <c r="AN212" s="243"/>
      <c r="AO212" s="238"/>
      <c r="AP212" s="239"/>
      <c r="AQ212" s="238"/>
    </row>
    <row r="213" spans="1:43" x14ac:dyDescent="0.25">
      <c r="B213" s="14" t="s">
        <v>1318</v>
      </c>
      <c r="C213" s="168">
        <f>IF(Troupeau!B3="BL",'Calcul éco'!K116,0)</f>
        <v>0</v>
      </c>
      <c r="D213" s="258">
        <f t="shared" ref="D213:D219" si="106">ROUND(C213*D$82/C$82,0)</f>
        <v>0</v>
      </c>
      <c r="E213" s="14"/>
      <c r="AF213" s="5"/>
      <c r="AG213" s="2" t="s">
        <v>1119</v>
      </c>
      <c r="AP213" s="239"/>
      <c r="AQ213" s="238"/>
    </row>
    <row r="214" spans="1:43" x14ac:dyDescent="0.25">
      <c r="B214" s="14" t="s">
        <v>1319</v>
      </c>
      <c r="C214" s="168">
        <f>IF(Troupeau!B3="BV",'Calcul éco'!K116,0)+IF(Troupeau!C3="BV",'Calcul éco'!L116,0)</f>
        <v>8030.3</v>
      </c>
      <c r="D214" s="258">
        <f t="shared" si="106"/>
        <v>10570</v>
      </c>
      <c r="H214" s="2" t="s">
        <v>981</v>
      </c>
      <c r="AF214" s="5"/>
      <c r="AJ214" s="33" t="s">
        <v>1120</v>
      </c>
      <c r="AK214" s="33"/>
      <c r="AL214" s="33"/>
      <c r="AM214" s="33" t="s">
        <v>1121</v>
      </c>
      <c r="AN214" s="33" t="s">
        <v>655</v>
      </c>
      <c r="AP214" s="239"/>
      <c r="AQ214" s="238"/>
    </row>
    <row r="215" spans="1:43" x14ac:dyDescent="0.25">
      <c r="B215" s="14" t="s">
        <v>1320</v>
      </c>
      <c r="C215" s="168">
        <f>IF(Troupeau!D3="EQ",'Calcul éco'!M116,0)+IF(Troupeau!D3="EQ",'Calcul éco'!L116,0)</f>
        <v>0</v>
      </c>
      <c r="D215" s="258">
        <f t="shared" si="106"/>
        <v>0</v>
      </c>
      <c r="I215" t="s">
        <v>1321</v>
      </c>
      <c r="J215" t="s">
        <v>1322</v>
      </c>
      <c r="AF215" s="5"/>
      <c r="AI215" s="14" t="s">
        <v>1122</v>
      </c>
      <c r="AJ215" s="168">
        <f>IF(D182&gt;0,[1]Protect!$B$36,0)</f>
        <v>0</v>
      </c>
      <c r="AK215" s="168"/>
      <c r="AL215" s="168"/>
      <c r="AM215" s="168">
        <f>'Calcul éco'!W271</f>
        <v>100</v>
      </c>
      <c r="AN215" s="168">
        <f>AJ215*AM215</f>
        <v>0</v>
      </c>
      <c r="AP215" s="238"/>
      <c r="AQ215" s="238"/>
    </row>
    <row r="216" spans="1:43" x14ac:dyDescent="0.25">
      <c r="B216" s="14" t="s">
        <v>1323</v>
      </c>
      <c r="C216" s="168">
        <f>ROUND(SUM(C212:C215),0)</f>
        <v>8030</v>
      </c>
      <c r="D216" s="258">
        <f t="shared" si="106"/>
        <v>10569</v>
      </c>
      <c r="G216" s="14" t="s">
        <v>557</v>
      </c>
      <c r="H216" s="14" t="str">
        <f>Troupeau!B3</f>
        <v>BV</v>
      </c>
      <c r="I216" s="30">
        <f>'Calcul éco'!S50</f>
        <v>0</v>
      </c>
      <c r="J216" s="48">
        <f>I216*D$82/C$82</f>
        <v>0</v>
      </c>
      <c r="K216" s="216"/>
      <c r="L216" s="216"/>
      <c r="AF216" s="5"/>
      <c r="AI216" s="14" t="s">
        <v>1123</v>
      </c>
      <c r="AJ216" s="168">
        <f>D183*[1]Protect!$B$17/100</f>
        <v>0</v>
      </c>
      <c r="AK216" s="168"/>
      <c r="AL216" s="168"/>
      <c r="AM216" s="168">
        <f>'Calcul éco'!W272</f>
        <v>6</v>
      </c>
      <c r="AN216" s="168">
        <f>AJ216*AM216</f>
        <v>0</v>
      </c>
      <c r="AP216" s="238"/>
      <c r="AQ216" s="238"/>
    </row>
    <row r="217" spans="1:43" x14ac:dyDescent="0.25">
      <c r="B217" s="14" t="s">
        <v>1324</v>
      </c>
      <c r="C217" s="168">
        <f>SUM('Calcul éco'!J122:J138)</f>
        <v>3218.982</v>
      </c>
      <c r="D217" s="258">
        <f t="shared" si="106"/>
        <v>4237</v>
      </c>
      <c r="G217" s="19" t="s">
        <v>588</v>
      </c>
      <c r="H217" s="19">
        <f>Troupeau!C3</f>
        <v>0</v>
      </c>
      <c r="I217" s="30">
        <f>'Calcul éco'!S51</f>
        <v>0</v>
      </c>
      <c r="J217" s="48">
        <f t="shared" ref="J217:J218" si="107">I217*D$82/C$82</f>
        <v>0</v>
      </c>
      <c r="AF217" s="5"/>
      <c r="AI217" s="14" t="s">
        <v>1124</v>
      </c>
      <c r="AJ217" s="168">
        <f>D186*[1]Protect!$B$17/100</f>
        <v>0</v>
      </c>
      <c r="AK217" s="168"/>
      <c r="AL217" s="168"/>
      <c r="AM217" s="168">
        <f>'Calcul éco'!W273</f>
        <v>0.75</v>
      </c>
      <c r="AN217" s="168">
        <f>AJ217*AM217</f>
        <v>0</v>
      </c>
      <c r="AP217" s="238"/>
      <c r="AQ217" s="238"/>
    </row>
    <row r="218" spans="1:43" x14ac:dyDescent="0.25">
      <c r="B218" s="14" t="s">
        <v>1325</v>
      </c>
      <c r="C218" s="168">
        <f>SUM('Calcul éco'!J118:J119)</f>
        <v>4898.3529411764712</v>
      </c>
      <c r="D218" s="258">
        <f t="shared" si="106"/>
        <v>6447</v>
      </c>
      <c r="G218" s="14" t="s">
        <v>721</v>
      </c>
      <c r="H218" s="14">
        <f>Troupeau!D3</f>
        <v>0</v>
      </c>
      <c r="I218" s="30">
        <f>'Calcul éco'!S52</f>
        <v>0</v>
      </c>
      <c r="J218" s="48">
        <f t="shared" si="107"/>
        <v>0</v>
      </c>
      <c r="AF218" s="5"/>
      <c r="AG218" s="247"/>
      <c r="AI218" s="14" t="s">
        <v>1085</v>
      </c>
      <c r="AJ218" s="168">
        <f>IF(D187&gt;0,[1]Protect!$B$85*D187,0)</f>
        <v>0</v>
      </c>
      <c r="AK218" s="168"/>
      <c r="AL218" s="168"/>
      <c r="AM218" s="168">
        <f>'Calcul éco'!W274</f>
        <v>100</v>
      </c>
      <c r="AN218" s="168">
        <f>AJ218*AM218</f>
        <v>0</v>
      </c>
      <c r="AO218" s="238"/>
      <c r="AP218" s="238"/>
      <c r="AQ218" s="238"/>
    </row>
    <row r="219" spans="1:43" x14ac:dyDescent="0.25">
      <c r="B219" s="14" t="s">
        <v>1326</v>
      </c>
      <c r="C219" s="168">
        <f>'Calcul éco'!J141</f>
        <v>0</v>
      </c>
      <c r="D219" s="258">
        <f t="shared" si="106"/>
        <v>0</v>
      </c>
      <c r="K219" s="4"/>
      <c r="AF219" s="5"/>
      <c r="AG219" s="240"/>
      <c r="AI219" s="14" t="s">
        <v>1086</v>
      </c>
      <c r="AJ219" s="168">
        <f>D188</f>
        <v>0</v>
      </c>
      <c r="AK219" s="168"/>
      <c r="AL219" s="168"/>
      <c r="AM219" s="168">
        <f>'Calcul éco'!W275</f>
        <v>200</v>
      </c>
      <c r="AN219" s="168">
        <f>AJ219*AM219</f>
        <v>0</v>
      </c>
      <c r="AO219" s="238"/>
      <c r="AP219" s="32"/>
      <c r="AQ219" s="238"/>
    </row>
    <row r="220" spans="1:43" x14ac:dyDescent="0.25">
      <c r="B220" s="14" t="s">
        <v>1327</v>
      </c>
      <c r="C220" s="168">
        <f>'Calcul éco'!J142</f>
        <v>0</v>
      </c>
      <c r="D220" s="261">
        <f>SUM(AN215:AN219)</f>
        <v>0</v>
      </c>
      <c r="E220" s="17" t="s">
        <v>1328</v>
      </c>
      <c r="H220" s="14" t="s">
        <v>983</v>
      </c>
      <c r="I220" s="30">
        <f>SUM(I216:I219)</f>
        <v>0</v>
      </c>
      <c r="J220" s="30">
        <f>SUM(J216:J219)</f>
        <v>0</v>
      </c>
    </row>
    <row r="221" spans="1:43" x14ac:dyDescent="0.25">
      <c r="B221" s="14" t="s">
        <v>1329</v>
      </c>
      <c r="C221" s="168">
        <f>ROUND(SUM(C216:C220),0)</f>
        <v>16147</v>
      </c>
      <c r="D221" s="261">
        <f>ROUND(SUM(D216:D220),0)</f>
        <v>21253</v>
      </c>
      <c r="E221" s="17" t="s">
        <v>1328</v>
      </c>
      <c r="H221" s="14" t="s">
        <v>984</v>
      </c>
      <c r="I221" s="30">
        <f>I220*[1]Eco!$B$25</f>
        <v>0</v>
      </c>
      <c r="J221" s="30">
        <f>J220*[1]Eco!$B$25</f>
        <v>0</v>
      </c>
    </row>
    <row r="222" spans="1:43" x14ac:dyDescent="0.25">
      <c r="A222" s="2" t="s">
        <v>1050</v>
      </c>
      <c r="B222" s="14" t="s">
        <v>1330</v>
      </c>
      <c r="C222" s="168">
        <f>'Calcul éco'!J149</f>
        <v>3780.31</v>
      </c>
      <c r="D222" s="258">
        <f>ROUND(C222*D$82/C$82,0)</f>
        <v>4976</v>
      </c>
      <c r="K222" t="s">
        <v>1321</v>
      </c>
      <c r="L222" t="s">
        <v>1331</v>
      </c>
    </row>
    <row r="223" spans="1:43" x14ac:dyDescent="0.25">
      <c r="B223" s="14" t="s">
        <v>1052</v>
      </c>
      <c r="C223" s="168">
        <f>'Calcul éco'!J150</f>
        <v>1085</v>
      </c>
      <c r="D223" s="168">
        <f>C223</f>
        <v>1085</v>
      </c>
      <c r="J223" s="14" t="s">
        <v>1332</v>
      </c>
      <c r="K223" s="30">
        <f>Scénario!K55/0.15</f>
        <v>0</v>
      </c>
      <c r="L223" s="30">
        <f>K223*'Synthèse résultats'!D$82/'Synthèse résultats'!C$82</f>
        <v>0</v>
      </c>
      <c r="AK223" s="40" t="s">
        <v>1078</v>
      </c>
      <c r="AM223" t="s">
        <v>1079</v>
      </c>
      <c r="AN223" t="s">
        <v>1080</v>
      </c>
      <c r="AO223" t="s">
        <v>1081</v>
      </c>
    </row>
    <row r="224" spans="1:43" x14ac:dyDescent="0.25">
      <c r="B224" s="14" t="s">
        <v>1053</v>
      </c>
      <c r="C224" s="168">
        <f>'Calcul éco'!J151</f>
        <v>2880</v>
      </c>
      <c r="D224" s="168">
        <f>C224</f>
        <v>2880</v>
      </c>
      <c r="G224" s="14"/>
      <c r="H224" s="14"/>
      <c r="J224" s="14" t="s">
        <v>1333</v>
      </c>
      <c r="K224" s="30">
        <f>Scénario!K62</f>
        <v>0</v>
      </c>
      <c r="L224" s="30">
        <f>K224*'Synthèse résultats'!D$82/'Synthèse résultats'!C$82</f>
        <v>0</v>
      </c>
      <c r="AJ224" s="14" t="s">
        <v>334</v>
      </c>
      <c r="AK224" s="30">
        <f>D182</f>
        <v>0</v>
      </c>
      <c r="AL224" t="s">
        <v>1082</v>
      </c>
      <c r="AM224" s="168">
        <f>[1]Protect!$H$3</f>
        <v>20</v>
      </c>
      <c r="AN224" s="168">
        <f>[1]Protect!$B$3</f>
        <v>100</v>
      </c>
      <c r="AO224" s="168">
        <f>AK224*AM224*AN224</f>
        <v>0</v>
      </c>
    </row>
    <row r="225" spans="1:49" x14ac:dyDescent="0.25">
      <c r="B225" s="14" t="s">
        <v>1055</v>
      </c>
      <c r="C225" s="168">
        <f>'Calcul éco'!J152</f>
        <v>0</v>
      </c>
      <c r="D225" s="168">
        <f>C225</f>
        <v>0</v>
      </c>
      <c r="G225" s="19"/>
      <c r="H225" s="19"/>
      <c r="J225" s="14" t="s">
        <v>1334</v>
      </c>
      <c r="K225" s="30">
        <f>Scénario!K66</f>
        <v>0</v>
      </c>
      <c r="L225" s="30">
        <f>K225*'Synthèse résultats'!D$82/'Synthèse résultats'!C$82</f>
        <v>0</v>
      </c>
      <c r="AJ225" s="14" t="s">
        <v>1083</v>
      </c>
      <c r="AK225" s="30">
        <f>D183</f>
        <v>0</v>
      </c>
      <c r="AL225" t="s">
        <v>1084</v>
      </c>
      <c r="AM225" s="168"/>
      <c r="AN225" s="168">
        <f>[1]Protect!$B$4</f>
        <v>6</v>
      </c>
      <c r="AO225" s="168">
        <f>AK225*AN225</f>
        <v>0</v>
      </c>
    </row>
    <row r="226" spans="1:49" x14ac:dyDescent="0.25">
      <c r="B226" s="14" t="s">
        <v>1057</v>
      </c>
      <c r="C226" s="168">
        <f>'Calcul éco'!J153</f>
        <v>10873</v>
      </c>
      <c r="D226" s="258">
        <f>ROUND(C226*D$82/C$82,0)</f>
        <v>14311</v>
      </c>
      <c r="G226" s="14"/>
      <c r="H226" s="14"/>
      <c r="AJ226" s="14" t="s">
        <v>1085</v>
      </c>
      <c r="AK226" s="30">
        <f>D187</f>
        <v>0</v>
      </c>
      <c r="AN226" s="168">
        <f>[1]Protect!$B$83</f>
        <v>2000</v>
      </c>
      <c r="AO226" s="168">
        <f t="shared" ref="AO226:AO227" si="108">AK226*AN226</f>
        <v>0</v>
      </c>
    </row>
    <row r="227" spans="1:49" x14ac:dyDescent="0.25">
      <c r="B227" s="14" t="s">
        <v>1059</v>
      </c>
      <c r="C227" s="168">
        <f>'Calcul éco'!J154</f>
        <v>5016.8599999999997</v>
      </c>
      <c r="D227" s="258">
        <f t="shared" ref="D227:D233" si="109">ROUND(C227*D$82/C$82,0)</f>
        <v>6603</v>
      </c>
      <c r="AJ227" s="14" t="s">
        <v>1086</v>
      </c>
      <c r="AK227" s="30">
        <f>D188</f>
        <v>0</v>
      </c>
      <c r="AN227" s="168">
        <f>[1]Protect!$B$84</f>
        <v>5000</v>
      </c>
      <c r="AO227" s="168">
        <f t="shared" si="108"/>
        <v>0</v>
      </c>
      <c r="AQ227" t="s">
        <v>1087</v>
      </c>
      <c r="AR227" t="s">
        <v>1088</v>
      </c>
      <c r="AS227" t="s">
        <v>1089</v>
      </c>
      <c r="AT227" t="s">
        <v>1090</v>
      </c>
      <c r="AU227" t="s">
        <v>1091</v>
      </c>
      <c r="AV227" t="s">
        <v>1092</v>
      </c>
      <c r="AW227" t="s">
        <v>1093</v>
      </c>
    </row>
    <row r="228" spans="1:49" x14ac:dyDescent="0.25">
      <c r="B228" s="14" t="s">
        <v>1061</v>
      </c>
      <c r="C228" s="168"/>
      <c r="D228" s="258">
        <f t="shared" si="109"/>
        <v>0</v>
      </c>
      <c r="AN228" s="14" t="s">
        <v>1094</v>
      </c>
      <c r="AO228" s="46">
        <f>SUM(AO224:AO227)</f>
        <v>0</v>
      </c>
      <c r="AQ228" s="30">
        <f>IF(Scénario!K84=1,MIN(0.8*AO228,[1]Protect!$B$68),IF(Scénario!K84=2,MIN(0.8*AO228,[1]Protect!$B$67),0))</f>
        <v>0</v>
      </c>
      <c r="AR228" s="30">
        <f>AO228-AQ228</f>
        <v>0</v>
      </c>
      <c r="AS228" s="30">
        <f>(1-Scénario!K127/100)*AR228</f>
        <v>0</v>
      </c>
      <c r="AT228" s="30">
        <f>AR228-AS228</f>
        <v>0</v>
      </c>
      <c r="AU228" s="237">
        <f>[1]Protect!$B$19</f>
        <v>0.04</v>
      </c>
      <c r="AV228" s="208">
        <f>[1]Protect!$B$20</f>
        <v>10</v>
      </c>
      <c r="AW228" s="234">
        <f>PPMT(AU228,1,AV228,-AT228)+IPMT(AU228,1,AV228,-AT228)</f>
        <v>0</v>
      </c>
    </row>
    <row r="229" spans="1:49" x14ac:dyDescent="0.25">
      <c r="B229" s="14" t="s">
        <v>1064</v>
      </c>
      <c r="C229" s="168">
        <f>'Calcul éco'!J157</f>
        <v>0</v>
      </c>
      <c r="D229" s="258">
        <f t="shared" si="109"/>
        <v>0</v>
      </c>
    </row>
    <row r="230" spans="1:49" x14ac:dyDescent="0.25">
      <c r="B230" s="14" t="s">
        <v>1065</v>
      </c>
      <c r="C230" s="168">
        <f>'Calcul éco'!J158</f>
        <v>16.290000000000003</v>
      </c>
      <c r="D230" s="258">
        <f t="shared" si="109"/>
        <v>21</v>
      </c>
    </row>
    <row r="231" spans="1:49" x14ac:dyDescent="0.25">
      <c r="B231" s="14" t="s">
        <v>1066</v>
      </c>
      <c r="C231" s="168">
        <f>'Calcul éco'!J159</f>
        <v>30</v>
      </c>
      <c r="D231" s="258">
        <f t="shared" si="109"/>
        <v>39</v>
      </c>
      <c r="AJ231" s="14" t="s">
        <v>1095</v>
      </c>
      <c r="AK231" s="30">
        <f>D186</f>
        <v>0</v>
      </c>
      <c r="AL231" t="s">
        <v>1084</v>
      </c>
      <c r="AM231" s="168"/>
      <c r="AN231" s="168">
        <f>[1]Protect!$B$6</f>
        <v>0.75</v>
      </c>
      <c r="AO231" s="168">
        <f>AK231*AN231</f>
        <v>0</v>
      </c>
      <c r="AQ231" s="30">
        <v>0</v>
      </c>
      <c r="AR231" s="30">
        <f>AO231-AQ231</f>
        <v>0</v>
      </c>
      <c r="AS231" s="30">
        <f>(1-Scénario!K127/100)*AR231</f>
        <v>0</v>
      </c>
      <c r="AT231" s="30">
        <f t="shared" ref="AT231" si="110">AR231-AS231</f>
        <v>0</v>
      </c>
      <c r="AU231" s="237">
        <f>[1]Protect!$B$19</f>
        <v>0.04</v>
      </c>
      <c r="AV231" s="208">
        <f>[1]Protect!$B$20</f>
        <v>10</v>
      </c>
      <c r="AW231" s="234">
        <f t="shared" ref="AW231" si="111">PPMT(AU231,1,AV231,-AT231)+IPMT(AU231,1,AV231,-AT231)</f>
        <v>0</v>
      </c>
    </row>
    <row r="232" spans="1:49" x14ac:dyDescent="0.25">
      <c r="B232" s="14" t="s">
        <v>1067</v>
      </c>
      <c r="C232" s="168">
        <f>'Calcul éco'!J160</f>
        <v>0</v>
      </c>
      <c r="D232" s="258">
        <f t="shared" si="109"/>
        <v>0</v>
      </c>
    </row>
    <row r="233" spans="1:49" x14ac:dyDescent="0.25">
      <c r="B233" s="14" t="s">
        <v>1068</v>
      </c>
      <c r="C233" s="168">
        <f>'Calcul éco'!J161</f>
        <v>7.7700000000000005</v>
      </c>
      <c r="D233" s="258">
        <f t="shared" si="109"/>
        <v>10</v>
      </c>
    </row>
    <row r="234" spans="1:49" x14ac:dyDescent="0.25">
      <c r="B234" s="14" t="s">
        <v>1335</v>
      </c>
      <c r="C234" s="168">
        <f>'Calcul éco'!J166</f>
        <v>0</v>
      </c>
      <c r="D234" s="168">
        <f>C234</f>
        <v>0</v>
      </c>
    </row>
    <row r="235" spans="1:49" x14ac:dyDescent="0.25">
      <c r="B235" s="14" t="s">
        <v>1336</v>
      </c>
      <c r="C235" s="168">
        <f>'Calcul éco'!J167</f>
        <v>0</v>
      </c>
      <c r="D235" s="261">
        <f>(D191+D192)*8*[1]Eco!$B$106</f>
        <v>0</v>
      </c>
      <c r="E235" s="17" t="s">
        <v>1328</v>
      </c>
    </row>
    <row r="236" spans="1:49" x14ac:dyDescent="0.25">
      <c r="B236" s="14" t="s">
        <v>1337</v>
      </c>
      <c r="C236" s="168">
        <f>ROUND(SUM(C222:C235),0)</f>
        <v>23689</v>
      </c>
      <c r="D236" s="261">
        <f>ROUND(SUM(D222:D235),0)</f>
        <v>29925</v>
      </c>
      <c r="E236" s="17" t="s">
        <v>1338</v>
      </c>
    </row>
    <row r="237" spans="1:49" x14ac:dyDescent="0.25">
      <c r="A237" s="2" t="s">
        <v>1339</v>
      </c>
      <c r="B237" s="204" t="s">
        <v>1072</v>
      </c>
      <c r="C237" s="168">
        <f>C194+C211-C221-C236</f>
        <v>17540</v>
      </c>
      <c r="D237" s="261">
        <f>D194+D211-D221-D236</f>
        <v>23591</v>
      </c>
    </row>
    <row r="238" spans="1:49" x14ac:dyDescent="0.25">
      <c r="B238" s="204" t="s">
        <v>1073</v>
      </c>
      <c r="C238" s="168">
        <f>ROUND(C237/Scénario!$K$4,0)</f>
        <v>17540</v>
      </c>
      <c r="D238" s="261">
        <f>ROUND(D237/D83,0)</f>
        <v>23591</v>
      </c>
    </row>
    <row r="239" spans="1:49" x14ac:dyDescent="0.25">
      <c r="B239" s="204" t="s">
        <v>1074</v>
      </c>
      <c r="C239" s="168">
        <f>'Calcul éco'!B177</f>
        <v>4750</v>
      </c>
      <c r="D239" s="261">
        <f>C239</f>
        <v>4750</v>
      </c>
    </row>
    <row r="240" spans="1:49" x14ac:dyDescent="0.25">
      <c r="B240" s="204" t="s">
        <v>1075</v>
      </c>
      <c r="C240" s="264">
        <f>'Calcul éco'!B178</f>
        <v>0</v>
      </c>
      <c r="D240" s="265">
        <f>AW228+AW231</f>
        <v>0</v>
      </c>
      <c r="E240" s="17" t="s">
        <v>1328</v>
      </c>
    </row>
    <row r="241" spans="1:15" x14ac:dyDescent="0.25">
      <c r="B241" s="204" t="s">
        <v>1076</v>
      </c>
      <c r="C241" s="266">
        <f>ROUND(C237-C239-C240,0)</f>
        <v>12790</v>
      </c>
      <c r="D241" s="265">
        <f>ROUND(D237-D239-D240,0)</f>
        <v>18841</v>
      </c>
    </row>
    <row r="242" spans="1:15" x14ac:dyDescent="0.25">
      <c r="B242" s="204" t="s">
        <v>1077</v>
      </c>
      <c r="C242" s="168">
        <f>ROUND(C241/Scénario!K4,0)</f>
        <v>12790</v>
      </c>
      <c r="D242" s="261">
        <f>ROUND(D241/D83,0)</f>
        <v>18841</v>
      </c>
    </row>
    <row r="243" spans="1:15" x14ac:dyDescent="0.25">
      <c r="B243" s="204" t="s">
        <v>1363</v>
      </c>
      <c r="C243" s="168">
        <f>'Calcul éco'!X237+'Calcul éco'!X240</f>
        <v>0</v>
      </c>
      <c r="D243" s="168">
        <f>C243</f>
        <v>0</v>
      </c>
    </row>
    <row r="244" spans="1:15" x14ac:dyDescent="0.25">
      <c r="B244" s="204" t="s">
        <v>1364</v>
      </c>
      <c r="C244" s="168">
        <f>'Calcul éco'!AA237+'Calcul éco'!AA240</f>
        <v>0</v>
      </c>
      <c r="D244" s="168">
        <f>C244</f>
        <v>0</v>
      </c>
    </row>
    <row r="245" spans="1:15" x14ac:dyDescent="0.25">
      <c r="A245" s="2" t="s">
        <v>1340</v>
      </c>
      <c r="B245" s="14" t="s">
        <v>557</v>
      </c>
      <c r="C245" s="267">
        <f>Travail!F5</f>
        <v>262.5</v>
      </c>
      <c r="D245" s="168">
        <f>C245</f>
        <v>262.5</v>
      </c>
    </row>
    <row r="246" spans="1:15" x14ac:dyDescent="0.25">
      <c r="B246" s="14" t="s">
        <v>588</v>
      </c>
      <c r="C246" s="267">
        <f>Travail!F6</f>
        <v>0</v>
      </c>
      <c r="D246" s="168">
        <f t="shared" ref="D246:D247" si="112">C246</f>
        <v>0</v>
      </c>
    </row>
    <row r="247" spans="1:15" x14ac:dyDescent="0.25">
      <c r="B247" s="14" t="s">
        <v>721</v>
      </c>
      <c r="C247" s="267">
        <f>Travail!F7</f>
        <v>0</v>
      </c>
      <c r="D247" s="168">
        <f t="shared" si="112"/>
        <v>0</v>
      </c>
    </row>
    <row r="248" spans="1:15" x14ac:dyDescent="0.25">
      <c r="A248" s="43" t="s">
        <v>734</v>
      </c>
      <c r="B248" s="14" t="s">
        <v>557</v>
      </c>
      <c r="C248" s="267">
        <f>Travail!F9</f>
        <v>1204.9531199999992</v>
      </c>
      <c r="D248" s="261">
        <f>ROUND(SUM(AV163:BS163),1)</f>
        <v>1285</v>
      </c>
    </row>
    <row r="249" spans="1:15" x14ac:dyDescent="0.25">
      <c r="B249" s="14" t="s">
        <v>588</v>
      </c>
      <c r="C249" s="267">
        <f>Travail!F10</f>
        <v>0</v>
      </c>
      <c r="D249" s="261">
        <f>SUM(CB163:CY163)</f>
        <v>0</v>
      </c>
    </row>
    <row r="250" spans="1:15" x14ac:dyDescent="0.25">
      <c r="B250" s="14" t="s">
        <v>721</v>
      </c>
      <c r="C250" s="267">
        <f>Travail!F11</f>
        <v>0</v>
      </c>
      <c r="D250" s="261">
        <f>SUM(DE163:EB163)</f>
        <v>0</v>
      </c>
    </row>
    <row r="251" spans="1:15" x14ac:dyDescent="0.25">
      <c r="A251" s="43" t="s">
        <v>737</v>
      </c>
      <c r="B251" s="14" t="s">
        <v>557</v>
      </c>
      <c r="C251" s="267">
        <f>Travail!F16</f>
        <v>0</v>
      </c>
      <c r="D251" s="168">
        <f>C251</f>
        <v>0</v>
      </c>
      <c r="J251" s="40" t="s">
        <v>762</v>
      </c>
      <c r="M251" s="5"/>
      <c r="N251" s="5"/>
      <c r="O251" s="268"/>
    </row>
    <row r="252" spans="1:15" x14ac:dyDescent="0.25">
      <c r="A252" s="43"/>
      <c r="B252" s="14" t="s">
        <v>588</v>
      </c>
      <c r="C252" s="267">
        <f>Travail!F17</f>
        <v>0</v>
      </c>
      <c r="D252" s="168">
        <f t="shared" ref="D252:D253" si="113">C252</f>
        <v>0</v>
      </c>
      <c r="J252" s="37" t="s">
        <v>763</v>
      </c>
      <c r="K252" s="268" t="s">
        <v>52</v>
      </c>
      <c r="L252" t="s">
        <v>764</v>
      </c>
      <c r="M252" s="5"/>
      <c r="N252" s="5"/>
      <c r="O252" s="268"/>
    </row>
    <row r="253" spans="1:15" x14ac:dyDescent="0.25">
      <c r="A253" s="43"/>
      <c r="B253" s="14" t="s">
        <v>721</v>
      </c>
      <c r="C253" s="267">
        <f>Travail!F18</f>
        <v>0</v>
      </c>
      <c r="D253" s="168">
        <f t="shared" si="113"/>
        <v>0</v>
      </c>
      <c r="J253" s="14" t="s">
        <v>766</v>
      </c>
      <c r="K253" s="168">
        <f>C91+C92</f>
        <v>0</v>
      </c>
      <c r="L253" s="183">
        <f>IF(K253&gt;[1]Trav!$E$116,[1]Trav!C116,[1]Trav!B116)</f>
        <v>11</v>
      </c>
      <c r="M253" s="5"/>
      <c r="N253" s="269"/>
      <c r="O253">
        <f>K253*L253</f>
        <v>0</v>
      </c>
    </row>
    <row r="254" spans="1:15" x14ac:dyDescent="0.25">
      <c r="A254" s="43" t="s">
        <v>744</v>
      </c>
      <c r="B254" s="14" t="s">
        <v>557</v>
      </c>
      <c r="C254" s="267">
        <f>Travail!F20</f>
        <v>0</v>
      </c>
      <c r="D254" s="168">
        <f>Travail!G20</f>
        <v>0</v>
      </c>
      <c r="J254" s="14" t="s">
        <v>768</v>
      </c>
      <c r="K254" s="168">
        <f>D90</f>
        <v>3.5539999999999998</v>
      </c>
      <c r="L254" s="183">
        <f>IF(K254&gt;[1]Trav!E117,[1]Trav!C117,[1]Trav!B117)</f>
        <v>15.7</v>
      </c>
      <c r="M254" s="5"/>
      <c r="N254" s="269"/>
      <c r="O254">
        <f t="shared" ref="O254:O262" si="114">K254*L254</f>
        <v>55.797799999999995</v>
      </c>
    </row>
    <row r="255" spans="1:15" x14ac:dyDescent="0.25">
      <c r="A255" s="43"/>
      <c r="B255" s="14" t="s">
        <v>588</v>
      </c>
      <c r="C255" s="267">
        <f>Travail!F21</f>
        <v>0</v>
      </c>
      <c r="D255" s="168">
        <f>Travail!G21</f>
        <v>0</v>
      </c>
      <c r="J255" s="32" t="s">
        <v>770</v>
      </c>
      <c r="K255" s="168">
        <f>D73/[1]Trav!$B$124</f>
        <v>1.6452500000000001</v>
      </c>
      <c r="L255" s="183">
        <f>IF(K255&gt;[1]Trav!E118,[1]Trav!C118,[1]Trav!B118)</f>
        <v>3.7</v>
      </c>
      <c r="N255" s="269"/>
      <c r="O255">
        <f t="shared" si="114"/>
        <v>6.0874250000000005</v>
      </c>
    </row>
    <row r="256" spans="1:15" x14ac:dyDescent="0.25">
      <c r="B256" s="14" t="s">
        <v>721</v>
      </c>
      <c r="C256" s="267">
        <f>Travail!F22</f>
        <v>0</v>
      </c>
      <c r="D256" s="168">
        <f>Travail!G22</f>
        <v>0</v>
      </c>
      <c r="J256" s="32" t="s">
        <v>771</v>
      </c>
      <c r="K256" s="168">
        <f>D72</f>
        <v>0</v>
      </c>
      <c r="L256" s="183">
        <f>IF(K256&gt;[1]Trav!E118,[1]Trav!C118,[1]Trav!B118)</f>
        <v>3.7</v>
      </c>
      <c r="N256" s="269"/>
      <c r="O256">
        <f t="shared" si="114"/>
        <v>0</v>
      </c>
    </row>
    <row r="257" spans="1:15" x14ac:dyDescent="0.25">
      <c r="A257" s="2" t="s">
        <v>747</v>
      </c>
      <c r="B257" s="14" t="s">
        <v>557</v>
      </c>
      <c r="C257" s="267">
        <f>Travail!F31</f>
        <v>216</v>
      </c>
      <c r="D257" s="258">
        <f>ROUND(C257*D$82/C$82,0)</f>
        <v>284</v>
      </c>
      <c r="E257" s="17" t="s">
        <v>1341</v>
      </c>
      <c r="J257" s="32" t="s">
        <v>772</v>
      </c>
      <c r="K257" s="168">
        <f>D72+D73+D75</f>
        <v>42.646000000000001</v>
      </c>
      <c r="L257" s="183">
        <f>IF(K257&gt;[1]Trav!E119,[1]Trav!C119,[1]Trav!B119)</f>
        <v>1.4</v>
      </c>
      <c r="N257" s="269"/>
      <c r="O257">
        <f t="shared" si="114"/>
        <v>59.7044</v>
      </c>
    </row>
    <row r="258" spans="1:15" x14ac:dyDescent="0.25">
      <c r="A258" s="2"/>
      <c r="B258" s="14" t="s">
        <v>588</v>
      </c>
      <c r="C258" s="267">
        <f>Travail!F32</f>
        <v>0</v>
      </c>
      <c r="D258" s="258">
        <f t="shared" ref="D258:D259" si="115">ROUND(C258*D$82/C$82,0)</f>
        <v>0</v>
      </c>
      <c r="E258" s="17"/>
      <c r="J258" s="32" t="s">
        <v>773</v>
      </c>
      <c r="K258" s="168">
        <f>D85*((100-Scénario!K31)/100)</f>
        <v>25.563600000000001</v>
      </c>
      <c r="L258" s="183">
        <f>IF(K258&gt;[1]Trav!E121,[1]Trav!C121,[1]Trav!B121)</f>
        <v>7.2</v>
      </c>
      <c r="N258" s="269"/>
      <c r="O258">
        <f t="shared" si="114"/>
        <v>184.05792000000002</v>
      </c>
    </row>
    <row r="259" spans="1:15" x14ac:dyDescent="0.25">
      <c r="B259" s="14" t="s">
        <v>721</v>
      </c>
      <c r="C259" s="267">
        <f>Travail!F33</f>
        <v>0</v>
      </c>
      <c r="D259" s="258">
        <f t="shared" si="115"/>
        <v>0</v>
      </c>
      <c r="J259" s="32" t="s">
        <v>774</v>
      </c>
      <c r="K259" s="168">
        <f>D86</f>
        <v>5.8179999999999996</v>
      </c>
      <c r="L259" s="183">
        <f>IF(K259&gt;[1]Trav!E121,[1]Trav!C121,[1]Trav!B121)</f>
        <v>7.2</v>
      </c>
      <c r="N259" s="269"/>
      <c r="O259">
        <f t="shared" si="114"/>
        <v>41.889600000000002</v>
      </c>
    </row>
    <row r="260" spans="1:15" x14ac:dyDescent="0.25">
      <c r="A260" s="2" t="s">
        <v>750</v>
      </c>
      <c r="B260" s="14" t="s">
        <v>557</v>
      </c>
      <c r="C260" s="267">
        <f>ROUND(Travail!F35,0)</f>
        <v>0</v>
      </c>
      <c r="D260" s="261">
        <f>ROUND(Travail!B35+(Travail!D35*Travail!C35*'Synthèse résultats'!G63),0)</f>
        <v>0</v>
      </c>
      <c r="E260" s="17" t="s">
        <v>1342</v>
      </c>
      <c r="J260" s="32" t="s">
        <v>775</v>
      </c>
      <c r="K260" s="168">
        <f>D87</f>
        <v>0</v>
      </c>
      <c r="L260" s="183">
        <f>IF(K260&gt;[1]Trav!E121,[1]Trav!C121,[1]Trav!B121)</f>
        <v>7.2</v>
      </c>
      <c r="N260" s="269"/>
      <c r="O260">
        <f t="shared" si="114"/>
        <v>0</v>
      </c>
    </row>
    <row r="261" spans="1:15" x14ac:dyDescent="0.25">
      <c r="A261" s="2" t="s">
        <v>755</v>
      </c>
      <c r="B261" s="14" t="s">
        <v>557</v>
      </c>
      <c r="C261" s="267">
        <f>Travail!F39</f>
        <v>0</v>
      </c>
      <c r="D261" s="258">
        <f>ROUND(C261*G63,0)</f>
        <v>0</v>
      </c>
      <c r="E261" s="17" t="s">
        <v>1343</v>
      </c>
      <c r="J261" s="32" t="s">
        <v>776</v>
      </c>
      <c r="K261" s="168">
        <f>D88</f>
        <v>2.84</v>
      </c>
      <c r="L261" s="183">
        <f>IF(K261&gt;[1]Trav!E122,[1]Trav!C122,[1]Trav!B122)</f>
        <v>4.4000000000000004</v>
      </c>
      <c r="M261" s="5"/>
      <c r="N261" s="269"/>
      <c r="O261">
        <f t="shared" si="114"/>
        <v>12.496</v>
      </c>
    </row>
    <row r="262" spans="1:15" x14ac:dyDescent="0.25">
      <c r="A262" s="2" t="s">
        <v>1344</v>
      </c>
      <c r="B262" s="14" t="s">
        <v>766</v>
      </c>
      <c r="C262" s="267">
        <f>Travail!F50</f>
        <v>0</v>
      </c>
      <c r="D262" s="261">
        <f t="shared" ref="D262:D271" si="116">ROUND(K253*L253,0)</f>
        <v>0</v>
      </c>
      <c r="E262" s="17" t="s">
        <v>1345</v>
      </c>
      <c r="J262" s="32" t="s">
        <v>778</v>
      </c>
      <c r="K262" s="168">
        <f>D89</f>
        <v>0</v>
      </c>
      <c r="L262" s="183">
        <f>[1]Trav!$B$123</f>
        <v>7.2</v>
      </c>
      <c r="M262" s="5"/>
      <c r="N262" s="269"/>
      <c r="O262">
        <f t="shared" si="114"/>
        <v>0</v>
      </c>
    </row>
    <row r="263" spans="1:15" x14ac:dyDescent="0.25">
      <c r="B263" s="14" t="s">
        <v>768</v>
      </c>
      <c r="C263" s="267">
        <f>Travail!F51</f>
        <v>42</v>
      </c>
      <c r="D263" s="261">
        <f t="shared" si="116"/>
        <v>56</v>
      </c>
    </row>
    <row r="264" spans="1:15" x14ac:dyDescent="0.25">
      <c r="B264" s="32" t="s">
        <v>770</v>
      </c>
      <c r="C264" s="267">
        <f>Travail!F52</f>
        <v>1</v>
      </c>
      <c r="D264" s="261">
        <f t="shared" si="116"/>
        <v>6</v>
      </c>
    </row>
    <row r="265" spans="1:15" x14ac:dyDescent="0.25">
      <c r="B265" s="32" t="s">
        <v>771</v>
      </c>
      <c r="C265" s="267">
        <f>Travail!F53</f>
        <v>0</v>
      </c>
      <c r="D265" s="261">
        <f t="shared" si="116"/>
        <v>0</v>
      </c>
    </row>
    <row r="266" spans="1:15" x14ac:dyDescent="0.25">
      <c r="B266" s="32" t="s">
        <v>772</v>
      </c>
      <c r="C266" s="267">
        <f>Travail!F54</f>
        <v>46</v>
      </c>
      <c r="D266" s="261">
        <f t="shared" si="116"/>
        <v>60</v>
      </c>
    </row>
    <row r="267" spans="1:15" x14ac:dyDescent="0.25">
      <c r="B267" s="32" t="s">
        <v>773</v>
      </c>
      <c r="C267" s="267">
        <f>Travail!F55</f>
        <v>140</v>
      </c>
      <c r="D267" s="261">
        <f t="shared" si="116"/>
        <v>184</v>
      </c>
    </row>
    <row r="268" spans="1:15" x14ac:dyDescent="0.25">
      <c r="B268" s="32" t="s">
        <v>774</v>
      </c>
      <c r="C268" s="267">
        <f>Travail!F56</f>
        <v>32</v>
      </c>
      <c r="D268" s="261">
        <f t="shared" si="116"/>
        <v>42</v>
      </c>
    </row>
    <row r="269" spans="1:15" x14ac:dyDescent="0.25">
      <c r="B269" s="32" t="s">
        <v>775</v>
      </c>
      <c r="C269" s="267">
        <f>Travail!F57</f>
        <v>0</v>
      </c>
      <c r="D269" s="261">
        <f t="shared" si="116"/>
        <v>0</v>
      </c>
    </row>
    <row r="270" spans="1:15" x14ac:dyDescent="0.25">
      <c r="B270" s="32" t="s">
        <v>776</v>
      </c>
      <c r="C270" s="267">
        <f>Travail!F58</f>
        <v>9</v>
      </c>
      <c r="D270" s="261">
        <f t="shared" si="116"/>
        <v>12</v>
      </c>
    </row>
    <row r="271" spans="1:15" x14ac:dyDescent="0.25">
      <c r="B271" s="32" t="s">
        <v>778</v>
      </c>
      <c r="C271" s="267">
        <f>Travail!F59</f>
        <v>0</v>
      </c>
      <c r="D271" s="261">
        <f t="shared" si="116"/>
        <v>0</v>
      </c>
    </row>
    <row r="272" spans="1:15" x14ac:dyDescent="0.25">
      <c r="A272" s="23" t="s">
        <v>1346</v>
      </c>
      <c r="B272" s="32" t="s">
        <v>782</v>
      </c>
      <c r="C272" s="267">
        <f>Travail!F61</f>
        <v>120</v>
      </c>
      <c r="D272" s="168">
        <f>C272</f>
        <v>120</v>
      </c>
    </row>
    <row r="273" spans="1:4" x14ac:dyDescent="0.25">
      <c r="B273" s="32" t="s">
        <v>783</v>
      </c>
      <c r="C273" s="267">
        <f>Travail!F62</f>
        <v>120</v>
      </c>
      <c r="D273" s="168">
        <f t="shared" ref="D273:D274" si="117">C273</f>
        <v>120</v>
      </c>
    </row>
    <row r="274" spans="1:4" x14ac:dyDescent="0.25">
      <c r="B274" s="32" t="s">
        <v>1347</v>
      </c>
      <c r="C274" s="267">
        <f>SUM(Travail!F63:F65)</f>
        <v>160</v>
      </c>
      <c r="D274" s="168">
        <f t="shared" si="117"/>
        <v>160</v>
      </c>
    </row>
    <row r="275" spans="1:4" x14ac:dyDescent="0.25">
      <c r="A275" s="23" t="s">
        <v>1348</v>
      </c>
      <c r="B275" s="32" t="s">
        <v>1349</v>
      </c>
      <c r="C275" s="267">
        <f>C191*8</f>
        <v>0</v>
      </c>
      <c r="D275" s="168">
        <f>C275</f>
        <v>0</v>
      </c>
    </row>
    <row r="276" spans="1:4" x14ac:dyDescent="0.25">
      <c r="A276" s="23"/>
      <c r="B276" s="32" t="s">
        <v>1350</v>
      </c>
      <c r="C276" s="267">
        <f>C192*8</f>
        <v>0</v>
      </c>
      <c r="D276" s="261">
        <f>D192*8</f>
        <v>0</v>
      </c>
    </row>
    <row r="277" spans="1:4" x14ac:dyDescent="0.25">
      <c r="B277" s="32" t="s">
        <v>1415</v>
      </c>
      <c r="C277" s="267">
        <f>Travail!F75+Travail!F81</f>
        <v>0</v>
      </c>
      <c r="D277" s="168">
        <f>C277</f>
        <v>0</v>
      </c>
    </row>
    <row r="278" spans="1:4" x14ac:dyDescent="0.25">
      <c r="B278" s="32" t="s">
        <v>1416</v>
      </c>
      <c r="C278" s="267">
        <f>Travail!F76</f>
        <v>0</v>
      </c>
      <c r="D278" s="168">
        <f>C278</f>
        <v>0</v>
      </c>
    </row>
    <row r="279" spans="1:4" x14ac:dyDescent="0.25">
      <c r="B279" s="32" t="s">
        <v>1372</v>
      </c>
      <c r="C279" s="267">
        <f>Travail!F86</f>
        <v>0</v>
      </c>
      <c r="D279" s="267">
        <f>C279</f>
        <v>0</v>
      </c>
    </row>
    <row r="280" spans="1:4" x14ac:dyDescent="0.25">
      <c r="B280" s="32" t="s">
        <v>1373</v>
      </c>
      <c r="C280" s="267">
        <f>Travail!F87</f>
        <v>0</v>
      </c>
      <c r="D280" s="267">
        <f>C280</f>
        <v>0</v>
      </c>
    </row>
    <row r="281" spans="1:4" x14ac:dyDescent="0.25">
      <c r="A281" s="2" t="s">
        <v>1351</v>
      </c>
      <c r="B281" s="14" t="s">
        <v>1352</v>
      </c>
      <c r="C281" s="168">
        <f>ROUND(C245+C248+C251+C254+C257+C260+C261,0)</f>
        <v>1683</v>
      </c>
      <c r="D281" s="261">
        <f>ROUND(D245+D248+D251+D254+D257+D260+D261,0)</f>
        <v>1832</v>
      </c>
    </row>
    <row r="282" spans="1:4" x14ac:dyDescent="0.25">
      <c r="B282" s="14" t="s">
        <v>1353</v>
      </c>
      <c r="C282" s="168">
        <f>ROUND(C246+C249+C252+C255+C258,0)</f>
        <v>0</v>
      </c>
      <c r="D282" s="261">
        <f>ROUND(D246+D249+D252+D255+D258,0)</f>
        <v>0</v>
      </c>
    </row>
    <row r="283" spans="1:4" x14ac:dyDescent="0.25">
      <c r="B283" s="14" t="s">
        <v>1354</v>
      </c>
      <c r="C283" s="168">
        <f>ROUND(C247+C250+C253+C256+C259,0)</f>
        <v>0</v>
      </c>
      <c r="D283" s="261">
        <f>ROUND(D247+D250+D253+D256+D259,0)</f>
        <v>0</v>
      </c>
    </row>
    <row r="284" spans="1:4" x14ac:dyDescent="0.25">
      <c r="B284" s="14" t="s">
        <v>1355</v>
      </c>
      <c r="C284" s="168">
        <f>ROUND(C281/Troupeau!$B$17,2)</f>
        <v>42.08</v>
      </c>
      <c r="D284" s="168">
        <f>ROUND(D281/(Troupeau!$B$17*G63),2)</f>
        <v>34.799999999999997</v>
      </c>
    </row>
    <row r="285" spans="1:4" x14ac:dyDescent="0.25">
      <c r="B285" s="14" t="s">
        <v>1356</v>
      </c>
      <c r="C285" s="168">
        <f>IF(Troupeau!$C$17=0,0,ROUND(C282/Troupeau!$C$17,2))</f>
        <v>0</v>
      </c>
      <c r="D285" s="168">
        <f>IF(Troupeau!$C$17=0,0,ROUND(D282/Troupeau!$C$17*G63,2))</f>
        <v>0</v>
      </c>
    </row>
    <row r="286" spans="1:4" x14ac:dyDescent="0.25">
      <c r="B286" s="14" t="s">
        <v>1357</v>
      </c>
      <c r="C286" s="168">
        <f>IF(Troupeau!$D$17=0,0,ROUND(C283/Troupeau!$D$17,2))</f>
        <v>0</v>
      </c>
      <c r="D286" s="168">
        <f>IF(Troupeau!$D$17=0,0,ROUND(D283/Troupeau!$D$17*G63,2))</f>
        <v>0</v>
      </c>
    </row>
    <row r="287" spans="1:4" x14ac:dyDescent="0.25">
      <c r="B287" s="14" t="s">
        <v>1358</v>
      </c>
      <c r="C287" s="168">
        <f>SUM(C281:C283)</f>
        <v>1683</v>
      </c>
      <c r="D287" s="261">
        <f>SUM(D281:D283)</f>
        <v>1832</v>
      </c>
    </row>
    <row r="288" spans="1:4" x14ac:dyDescent="0.25">
      <c r="B288" s="14" t="s">
        <v>1359</v>
      </c>
      <c r="C288" s="168">
        <f>SUM(C272:C274)</f>
        <v>400</v>
      </c>
      <c r="D288" s="261">
        <f>SUM(D272:D274)</f>
        <v>400</v>
      </c>
    </row>
    <row r="289" spans="2:4" x14ac:dyDescent="0.25">
      <c r="B289" s="14" t="s">
        <v>1360</v>
      </c>
      <c r="C289" s="168">
        <f>SUM(C262:C271)</f>
        <v>270</v>
      </c>
      <c r="D289" s="261">
        <f>SUM(D262:D271)</f>
        <v>360</v>
      </c>
    </row>
    <row r="290" spans="2:4" x14ac:dyDescent="0.25">
      <c r="B290" s="14" t="s">
        <v>1417</v>
      </c>
      <c r="C290" s="267">
        <f>C275+C276+C277</f>
        <v>0</v>
      </c>
      <c r="D290" s="283">
        <f>D275+D276+D277</f>
        <v>0</v>
      </c>
    </row>
    <row r="291" spans="2:4" x14ac:dyDescent="0.25">
      <c r="B291" s="14" t="s">
        <v>1418</v>
      </c>
      <c r="C291" s="267">
        <f>C278+C279+C280</f>
        <v>0</v>
      </c>
      <c r="D291" s="267">
        <f>D278+D279+D280</f>
        <v>0</v>
      </c>
    </row>
    <row r="292" spans="2:4" x14ac:dyDescent="0.25">
      <c r="B292" s="14" t="s">
        <v>856</v>
      </c>
      <c r="C292" s="168">
        <f>ROUND(SUM(C287:C291),0)</f>
        <v>2353</v>
      </c>
      <c r="D292" s="261">
        <f>ROUND(SUM(D287:D291),0)</f>
        <v>2592</v>
      </c>
    </row>
    <row r="293" spans="2:4" x14ac:dyDescent="0.25">
      <c r="B293" s="14" t="s">
        <v>857</v>
      </c>
      <c r="C293" s="168">
        <f>ROUND(IF(Scénario!$K$129=1,SUM(C275:C280),SUM(C278:C280)),0)</f>
        <v>0</v>
      </c>
      <c r="D293" s="168">
        <f>ROUND(IF(Scénario!$K$129=1,SUM(D275:D280),SUM(D278:D280)),0)</f>
        <v>0</v>
      </c>
    </row>
    <row r="294" spans="2:4" x14ac:dyDescent="0.25">
      <c r="B294" s="14" t="s">
        <v>858</v>
      </c>
      <c r="C294" s="168">
        <f>ROUND((C292-C293)/C83,0)</f>
        <v>2353</v>
      </c>
      <c r="D294" s="168">
        <f>ROUND((D292-D293)/D83,0)</f>
        <v>2592</v>
      </c>
    </row>
    <row r="295" spans="2:4" x14ac:dyDescent="0.25">
      <c r="B295" s="14" t="s">
        <v>1443</v>
      </c>
      <c r="C295" s="168">
        <f>IF('Alim -Surf'!Q7=0,'Alim -Surf'!R7,0)+IF('Alim -Surf'!Q8=0,'Alim -Surf'!R8,0)+IF('Alim -Surf'!Q9=0,'Alim -Surf'!R9,0)+IF('Alim -Surf'!Q10=0,'Alim -Surf'!R10,0)+IF('Alim -Surf'!Q11=0,'Alim -Surf'!R11,0)+IF('Alim -Surf'!Q12=0,'Alim -Surf'!R12,0)+IF('Alim -Surf'!Q13=0,'Alim -Surf'!R13,0)+IF('Alim -Surf'!Q14=0,'Alim -Surf'!R14,0)+IF('Alim -Surf'!Q15=0,'Alim -Surf'!R15,0)+IF('Alim -Surf'!Q16=0,'Alim -Surf'!R16,0)</f>
        <v>0</v>
      </c>
    </row>
    <row r="296" spans="2:4" x14ac:dyDescent="0.25">
      <c r="B296" s="14" t="s">
        <v>1444</v>
      </c>
      <c r="C296" s="168">
        <f>IF('Alim -Surf'!Q29=0,'Alim -Surf'!R29,0)+IF('Alim -Surf'!Q30=0,'Alim -Surf'!R30,0)+IF('Alim -Surf'!Q31=0,'Alim -Surf'!R31,0)+IF('Alim -Surf'!Q32=0,'Alim -Surf'!R32,0)+IF('Alim -Surf'!Q33=0,'Alim -Surf'!R33,0)+IF('Alim -Surf'!Q34=0,'Alim -Surf'!R34,0)+IF('Alim -Surf'!Q35=0,'Alim -Surf'!R35,0)+IF('Alim -Surf'!Q36=0,'Alim -Surf'!R36,0)+IF('Alim -Surf'!Q37=0,'Alim -Surf'!R37,0)+IF('Alim -Surf'!Q38=0,'Alim -Surf'!R38,0)</f>
        <v>0</v>
      </c>
    </row>
    <row r="297" spans="2:4" x14ac:dyDescent="0.25">
      <c r="B297" s="14" t="s">
        <v>1445</v>
      </c>
      <c r="C297" s="168">
        <f>IF('Alim -Surf'!Q51=0,'Alim -Surf'!R51,0)+IF('Alim -Surf'!Q52=0,'Alim -Surf'!R52,0)+IF('Alim -Surf'!Q53=0,'Alim -Surf'!R53,0)+IF('Alim -Surf'!Q54=0,'Alim -Surf'!R54,0)+IF('Alim -Surf'!Q55=0,'Alim -Surf'!R55,0)</f>
        <v>0</v>
      </c>
    </row>
    <row r="298" spans="2:4" x14ac:dyDescent="0.25">
      <c r="B298" s="14" t="s">
        <v>1447</v>
      </c>
      <c r="C298" s="168">
        <f>IF(Troupeau!$B$3="OL",CdTrp1!AA220,0)</f>
        <v>0</v>
      </c>
    </row>
    <row r="299" spans="2:4" x14ac:dyDescent="0.25">
      <c r="B299" s="14" t="s">
        <v>1450</v>
      </c>
      <c r="C299" s="168">
        <f>IF(Troupeau!$B$3="OL",CdTrp1!AA221,0)</f>
        <v>0</v>
      </c>
    </row>
    <row r="300" spans="2:4" x14ac:dyDescent="0.25">
      <c r="B300" s="14" t="s">
        <v>1448</v>
      </c>
      <c r="C300" s="168">
        <f>IF(Troupeau!$B$3="BV",CdTrp1!AA220,0)+IF(Troupeau!$C$3="BV",CdTrp2!AA220,0)</f>
        <v>108.02710799999998</v>
      </c>
    </row>
    <row r="301" spans="2:4" x14ac:dyDescent="0.25">
      <c r="B301" s="14" t="s">
        <v>1451</v>
      </c>
      <c r="C301" s="168">
        <f>IF(Troupeau!$B$3="BV",CdTrp1!AA221,0)+IF(Troupeau!$C$3="BV",CdTrp2!AA221,0)</f>
        <v>0</v>
      </c>
    </row>
    <row r="302" spans="2:4" x14ac:dyDescent="0.25">
      <c r="B302" s="14" t="s">
        <v>1449</v>
      </c>
      <c r="C302" s="168">
        <f>IF(Troupeau!$B$3="VL",CdTrp1!AA220,0)</f>
        <v>0</v>
      </c>
    </row>
    <row r="303" spans="2:4" x14ac:dyDescent="0.25">
      <c r="B303" s="14" t="s">
        <v>1446</v>
      </c>
      <c r="C303" s="168">
        <f>'Alim -Surf'!H10</f>
        <v>35.1</v>
      </c>
    </row>
    <row r="304" spans="2:4" x14ac:dyDescent="0.25">
      <c r="B304" s="14" t="s">
        <v>1452</v>
      </c>
      <c r="C304" s="168">
        <f>Protection!BL31+Protection!BK31</f>
        <v>32.43</v>
      </c>
    </row>
    <row r="305" spans="2:3" x14ac:dyDescent="0.25">
      <c r="B305" s="14" t="s">
        <v>1453</v>
      </c>
      <c r="C305" s="168">
        <f>Protection!BJ31</f>
        <v>0</v>
      </c>
    </row>
    <row r="306" spans="2:3" x14ac:dyDescent="0.25">
      <c r="B306" s="14" t="s">
        <v>1454</v>
      </c>
      <c r="C306" s="168">
        <f>'Calcul éco'!X233</f>
        <v>0</v>
      </c>
    </row>
    <row r="307" spans="2:3" x14ac:dyDescent="0.25">
      <c r="B307" s="14" t="s">
        <v>1455</v>
      </c>
      <c r="C307" s="168">
        <f>'Calcul éco'!X234</f>
        <v>0</v>
      </c>
    </row>
    <row r="308" spans="2:3" x14ac:dyDescent="0.25">
      <c r="B308" s="14" t="s">
        <v>1456</v>
      </c>
      <c r="C308" s="168">
        <f>'Calcul éco'!X235</f>
        <v>0</v>
      </c>
    </row>
    <row r="309" spans="2:3" x14ac:dyDescent="0.25">
      <c r="B309" s="14" t="s">
        <v>1457</v>
      </c>
      <c r="C309" s="168">
        <f>'Calcul éco'!X236</f>
        <v>0</v>
      </c>
    </row>
    <row r="310" spans="2:3" x14ac:dyDescent="0.25">
      <c r="B310" s="14" t="s">
        <v>1458</v>
      </c>
      <c r="C310" s="168">
        <f>'Calcul éco'!X240</f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zoomScaleNormal="100" workbookViewId="0">
      <selection activeCell="J19" sqref="J19"/>
    </sheetView>
  </sheetViews>
  <sheetFormatPr baseColWidth="10" defaultRowHeight="15" x14ac:dyDescent="0.25"/>
  <cols>
    <col min="1" max="1" width="43.140625" customWidth="1"/>
    <col min="2" max="5" width="11.42578125" style="58"/>
    <col min="8" max="8" width="51.140625" bestFit="1" customWidth="1"/>
    <col min="9" max="9" width="3.28515625" style="17" customWidth="1"/>
    <col min="10" max="13" width="11.42578125" style="58"/>
  </cols>
  <sheetData>
    <row r="1" spans="1:13" x14ac:dyDescent="0.25">
      <c r="B1" s="58" t="s">
        <v>94</v>
      </c>
      <c r="C1" s="58" t="s">
        <v>95</v>
      </c>
      <c r="D1" s="58" t="s">
        <v>96</v>
      </c>
      <c r="E1" s="58" t="s">
        <v>97</v>
      </c>
    </row>
    <row r="2" spans="1:13" x14ac:dyDescent="0.25">
      <c r="A2" s="2" t="s">
        <v>114</v>
      </c>
    </row>
    <row r="3" spans="1:13" x14ac:dyDescent="0.25">
      <c r="A3" t="s">
        <v>98</v>
      </c>
      <c r="B3" s="77" t="s">
        <v>454</v>
      </c>
      <c r="C3" s="77"/>
      <c r="D3" s="77"/>
      <c r="E3" s="77"/>
    </row>
    <row r="4" spans="1:13" x14ac:dyDescent="0.25">
      <c r="A4" t="s">
        <v>99</v>
      </c>
      <c r="B4" s="77">
        <v>41</v>
      </c>
      <c r="C4" s="77"/>
      <c r="D4" s="77"/>
      <c r="E4" s="77"/>
      <c r="H4" s="59" t="s">
        <v>326</v>
      </c>
    </row>
    <row r="5" spans="1:13" s="5" customFormat="1" x14ac:dyDescent="0.25">
      <c r="A5" s="5" t="s">
        <v>110</v>
      </c>
      <c r="B5" s="77"/>
      <c r="C5" s="77"/>
      <c r="D5" s="77"/>
      <c r="E5" s="77"/>
      <c r="H5" s="5" t="s">
        <v>432</v>
      </c>
      <c r="I5" s="86"/>
      <c r="J5" s="21"/>
      <c r="K5" s="21"/>
      <c r="L5" s="21"/>
      <c r="M5" s="21"/>
    </row>
    <row r="6" spans="1:13" x14ac:dyDescent="0.25">
      <c r="A6" t="s">
        <v>103</v>
      </c>
      <c r="B6" s="77">
        <v>15</v>
      </c>
      <c r="C6" s="77"/>
      <c r="D6" s="77"/>
      <c r="E6" s="77"/>
      <c r="H6" t="s">
        <v>433</v>
      </c>
    </row>
    <row r="7" spans="1:13" x14ac:dyDescent="0.25">
      <c r="A7" t="s">
        <v>115</v>
      </c>
      <c r="B7" s="77">
        <v>3</v>
      </c>
      <c r="C7" s="77"/>
      <c r="D7" s="77"/>
      <c r="E7" s="77"/>
      <c r="H7" t="s">
        <v>434</v>
      </c>
    </row>
    <row r="8" spans="1:13" s="5" customFormat="1" x14ac:dyDescent="0.25">
      <c r="A8" t="s">
        <v>104</v>
      </c>
      <c r="B8" s="77">
        <v>15</v>
      </c>
      <c r="C8" s="77"/>
      <c r="D8" s="77"/>
      <c r="E8" s="77"/>
      <c r="I8" s="86"/>
      <c r="J8" s="21"/>
      <c r="K8" s="21"/>
      <c r="L8" s="21"/>
      <c r="M8" s="21"/>
    </row>
    <row r="9" spans="1:13" s="5" customFormat="1" x14ac:dyDescent="0.25">
      <c r="A9" t="s">
        <v>105</v>
      </c>
      <c r="B9" s="77">
        <v>0</v>
      </c>
      <c r="C9" s="77"/>
      <c r="D9" s="77"/>
      <c r="E9" s="77"/>
      <c r="I9" s="86"/>
      <c r="J9" s="21"/>
      <c r="K9" s="21"/>
      <c r="L9" s="21"/>
      <c r="M9" s="21"/>
    </row>
    <row r="10" spans="1:13" s="5" customFormat="1" x14ac:dyDescent="0.25">
      <c r="A10" t="s">
        <v>106</v>
      </c>
      <c r="B10" s="77">
        <v>0</v>
      </c>
      <c r="C10" s="77"/>
      <c r="D10" s="77"/>
      <c r="E10" s="77"/>
      <c r="I10" s="86"/>
      <c r="J10" s="21"/>
      <c r="K10" s="21"/>
      <c r="L10" s="21"/>
      <c r="M10" s="21"/>
    </row>
    <row r="11" spans="1:13" s="5" customFormat="1" x14ac:dyDescent="0.25">
      <c r="A11" t="s">
        <v>111</v>
      </c>
      <c r="B11" s="77">
        <v>0</v>
      </c>
      <c r="C11" s="77"/>
      <c r="D11" s="77"/>
      <c r="E11" s="77"/>
      <c r="I11" s="86"/>
      <c r="J11" s="21"/>
      <c r="K11" s="21"/>
      <c r="L11" s="21"/>
      <c r="M11" s="21"/>
    </row>
    <row r="12" spans="1:13" s="5" customFormat="1" x14ac:dyDescent="0.25">
      <c r="A12" s="5" t="s">
        <v>431</v>
      </c>
      <c r="B12" s="77">
        <v>20</v>
      </c>
      <c r="C12" s="77"/>
      <c r="D12" s="77"/>
      <c r="E12" s="77"/>
      <c r="H12" s="5" t="s">
        <v>429</v>
      </c>
      <c r="I12" s="86"/>
      <c r="J12" s="21"/>
      <c r="K12" s="21"/>
      <c r="L12" s="21"/>
      <c r="M12" s="21"/>
    </row>
    <row r="13" spans="1:13" s="5" customFormat="1" x14ac:dyDescent="0.25">
      <c r="A13" s="5" t="s">
        <v>112</v>
      </c>
      <c r="B13" s="77">
        <v>0</v>
      </c>
      <c r="C13" s="77"/>
      <c r="D13" s="77"/>
      <c r="E13" s="77"/>
      <c r="H13" s="5" t="s">
        <v>430</v>
      </c>
      <c r="I13" s="86"/>
      <c r="J13" s="21"/>
      <c r="K13" s="21"/>
      <c r="L13" s="21"/>
      <c r="M13" s="21"/>
    </row>
    <row r="14" spans="1:13" s="5" customFormat="1" x14ac:dyDescent="0.25">
      <c r="A14" s="5" t="s">
        <v>427</v>
      </c>
      <c r="B14" s="77">
        <v>15</v>
      </c>
      <c r="C14" s="77"/>
      <c r="D14" s="77"/>
      <c r="E14" s="77"/>
      <c r="I14" s="86"/>
      <c r="J14" s="21"/>
      <c r="K14" s="21"/>
      <c r="L14" s="21"/>
      <c r="M14" s="21"/>
    </row>
    <row r="15" spans="1:13" s="5" customFormat="1" x14ac:dyDescent="0.25">
      <c r="B15" s="21"/>
      <c r="C15" s="21"/>
      <c r="D15" s="21"/>
      <c r="E15" s="21"/>
      <c r="I15" s="86"/>
      <c r="J15" s="21"/>
      <c r="K15" s="21"/>
      <c r="L15" s="21"/>
      <c r="M15" s="21"/>
    </row>
    <row r="16" spans="1:13" x14ac:dyDescent="0.25">
      <c r="A16" s="2" t="s">
        <v>107</v>
      </c>
      <c r="J16" s="58" t="s">
        <v>94</v>
      </c>
      <c r="K16" s="58" t="s">
        <v>95</v>
      </c>
      <c r="L16" s="58" t="s">
        <v>96</v>
      </c>
      <c r="M16" s="58" t="s">
        <v>97</v>
      </c>
    </row>
    <row r="17" spans="1:13" x14ac:dyDescent="0.25">
      <c r="A17" t="s">
        <v>93</v>
      </c>
      <c r="B17" s="284">
        <v>40</v>
      </c>
      <c r="C17" s="60"/>
      <c r="D17" s="60"/>
      <c r="E17" s="60"/>
      <c r="H17" s="2" t="s">
        <v>153</v>
      </c>
      <c r="I17" s="22"/>
      <c r="J17" s="60">
        <v>11</v>
      </c>
      <c r="K17" s="60"/>
      <c r="L17" s="60"/>
      <c r="M17" s="60"/>
    </row>
    <row r="18" spans="1:13" x14ac:dyDescent="0.25">
      <c r="A18" t="s">
        <v>109</v>
      </c>
      <c r="B18" s="61">
        <f t="shared" ref="B18:E19" si="0">ROUNDDOWN(B17*J18/100,0)</f>
        <v>36</v>
      </c>
      <c r="C18" s="61">
        <f t="shared" si="0"/>
        <v>0</v>
      </c>
      <c r="D18" s="61">
        <f t="shared" si="0"/>
        <v>0</v>
      </c>
      <c r="E18" s="61">
        <f t="shared" si="0"/>
        <v>0</v>
      </c>
      <c r="H18" t="s">
        <v>117</v>
      </c>
      <c r="I18" s="17">
        <v>2</v>
      </c>
      <c r="J18" s="76">
        <f>HLOOKUP(J$17,[1]Anx!$C$8:$CO$37,$I18)</f>
        <v>90</v>
      </c>
      <c r="K18" s="76">
        <f>HLOOKUP(K$17,[1]Anx!$C$8:$CO$37,$I18)</f>
        <v>0</v>
      </c>
      <c r="L18" s="76">
        <f>HLOOKUP(L$17,[1]Anx!$C$8:$CO$37,$I18)</f>
        <v>0</v>
      </c>
      <c r="M18" s="76">
        <f>HLOOKUP(M$17,[1]Anx!$C$8:$CO$37,$I18)</f>
        <v>0</v>
      </c>
    </row>
    <row r="19" spans="1:13" x14ac:dyDescent="0.25">
      <c r="A19" t="s">
        <v>102</v>
      </c>
      <c r="B19" s="61">
        <f t="shared" si="0"/>
        <v>0</v>
      </c>
      <c r="C19" s="61">
        <f t="shared" si="0"/>
        <v>0</v>
      </c>
      <c r="D19" s="61">
        <f t="shared" si="0"/>
        <v>0</v>
      </c>
      <c r="E19" s="61">
        <f t="shared" si="0"/>
        <v>0</v>
      </c>
      <c r="H19" t="s">
        <v>118</v>
      </c>
      <c r="I19" s="17">
        <v>3</v>
      </c>
      <c r="J19" s="76">
        <f>HLOOKUP(J$17,[1]Anx!$C$8:$CO$37,$I19)</f>
        <v>0</v>
      </c>
      <c r="K19" s="76">
        <f>HLOOKUP(K$17,[1]Anx!$C$8:$CO$37,$I19)</f>
        <v>0</v>
      </c>
      <c r="L19" s="76">
        <f>HLOOKUP(L$17,[1]Anx!$C$8:$CO$37,$I19)</f>
        <v>0</v>
      </c>
      <c r="M19" s="76">
        <f>HLOOKUP(M$17,[1]Anx!$C$8:$CO$37,$I19)</f>
        <v>0</v>
      </c>
    </row>
    <row r="20" spans="1:13" x14ac:dyDescent="0.25">
      <c r="A20" t="s">
        <v>108</v>
      </c>
      <c r="B20" s="61">
        <f>ROUNDDOWN(B18*J20/100,0)</f>
        <v>36</v>
      </c>
      <c r="C20" s="61">
        <f>ROUNDDOWN(C18*K20/100,0)</f>
        <v>0</v>
      </c>
      <c r="D20" s="61">
        <f>ROUNDDOWN(D18*L20/100,0)</f>
        <v>0</v>
      </c>
      <c r="E20" s="61">
        <f>ROUNDDOWN(E18*M20/100,0)</f>
        <v>0</v>
      </c>
      <c r="H20" t="s">
        <v>119</v>
      </c>
      <c r="I20" s="17">
        <v>4</v>
      </c>
      <c r="J20" s="76">
        <f>HLOOKUP(J$17,[1]Anx!$C$8:$CO$37,$I20)</f>
        <v>100</v>
      </c>
      <c r="K20" s="76">
        <f>HLOOKUP(K$17,[1]Anx!$C$8:$CO$37,$I20)</f>
        <v>0</v>
      </c>
      <c r="L20" s="76">
        <f>HLOOKUP(L$17,[1]Anx!$C$8:$CO$37,$I20)</f>
        <v>0</v>
      </c>
      <c r="M20" s="76">
        <f>HLOOKUP(M$17,[1]Anx!$C$8:$CO$37,$I20)</f>
        <v>0</v>
      </c>
    </row>
    <row r="21" spans="1:13" x14ac:dyDescent="0.25">
      <c r="A21" t="s">
        <v>131</v>
      </c>
      <c r="B21" s="61">
        <f>ROUNDDOWN((B20*(100-J21))/100,0)</f>
        <v>33</v>
      </c>
      <c r="C21" s="61">
        <f>ROUNDDOWN((C20*(100-K21))/100,0)</f>
        <v>0</v>
      </c>
      <c r="D21" s="61">
        <f>ROUNDDOWN((D20*(100-L21))/100,0)</f>
        <v>0</v>
      </c>
      <c r="E21" s="61">
        <f>ROUNDDOWN((E20*(100-M21))/100,0)</f>
        <v>0</v>
      </c>
      <c r="H21" t="s">
        <v>132</v>
      </c>
      <c r="I21" s="17">
        <v>5</v>
      </c>
      <c r="J21" s="76">
        <f>HLOOKUP(J$17,[1]Anx!$C$8:$CO$37,$I21)</f>
        <v>6</v>
      </c>
      <c r="K21" s="76">
        <f>HLOOKUP(K$17,[1]Anx!$C$8:$CO$37,$I21)</f>
        <v>0</v>
      </c>
      <c r="L21" s="76">
        <f>HLOOKUP(L$17,[1]Anx!$C$8:$CO$37,$I21)</f>
        <v>0</v>
      </c>
      <c r="M21" s="76">
        <f>HLOOKUP(M$17,[1]Anx!$C$8:$CO$37,$I21)</f>
        <v>0</v>
      </c>
    </row>
    <row r="22" spans="1:13" x14ac:dyDescent="0.25">
      <c r="A22" t="s">
        <v>103</v>
      </c>
      <c r="B22" s="61">
        <f>ROUNDDOWN(B17*J22/100,0)</f>
        <v>6</v>
      </c>
      <c r="C22" s="61">
        <f>ROUNDDOWN(C17*K22/100,0)</f>
        <v>0</v>
      </c>
      <c r="D22" s="61">
        <f>ROUNDDOWN(D17*L22/100,0)</f>
        <v>0</v>
      </c>
      <c r="E22" s="61">
        <f>ROUNDDOWN(E17*M22/100,0)</f>
        <v>0</v>
      </c>
      <c r="H22" t="s">
        <v>147</v>
      </c>
      <c r="I22" s="17">
        <v>6</v>
      </c>
      <c r="J22" s="76">
        <f>HLOOKUP(J$17,[1]Anx!$C$8:$CO$37,$I22)</f>
        <v>15</v>
      </c>
      <c r="K22" s="76">
        <f>HLOOKUP(K$17,[1]Anx!$C$8:$CO$37,$I22)</f>
        <v>0</v>
      </c>
      <c r="L22" s="76">
        <f>HLOOKUP(L$17,[1]Anx!$C$8:$CO$37,$I22)</f>
        <v>0</v>
      </c>
      <c r="M22" s="76">
        <f>HLOOKUP(M$17,[1]Anx!$C$8:$CO$37,$I22)</f>
        <v>0</v>
      </c>
    </row>
    <row r="23" spans="1:13" x14ac:dyDescent="0.25">
      <c r="A23" t="s">
        <v>104</v>
      </c>
      <c r="B23" s="61">
        <f>IF(J$23&gt;1,B22,0)</f>
        <v>6</v>
      </c>
      <c r="C23" s="61">
        <f>IF(K$23&gt;1,C22,0)</f>
        <v>0</v>
      </c>
      <c r="D23" s="61">
        <f>IF(L$23&gt;1,D22,0)</f>
        <v>0</v>
      </c>
      <c r="E23" s="61">
        <f>IF(M$23&gt;1,E22,0)</f>
        <v>0</v>
      </c>
      <c r="H23" t="s">
        <v>116</v>
      </c>
      <c r="I23" s="17">
        <v>7</v>
      </c>
      <c r="J23" s="76">
        <f>HLOOKUP(J$17,[1]Anx!$C$8:$CO$37,$I23)</f>
        <v>3</v>
      </c>
      <c r="K23" s="76">
        <f>HLOOKUP(K$17,[1]Anx!$C$8:$CO$37,$I23)</f>
        <v>0</v>
      </c>
      <c r="L23" s="76">
        <f>HLOOKUP(L$17,[1]Anx!$C$8:$CO$37,$I23)</f>
        <v>0</v>
      </c>
      <c r="M23" s="76">
        <f>HLOOKUP(M$17,[1]Anx!$C$8:$CO$37,$I23)</f>
        <v>0</v>
      </c>
    </row>
    <row r="24" spans="1:13" x14ac:dyDescent="0.25">
      <c r="A24" t="s">
        <v>105</v>
      </c>
      <c r="B24" s="61">
        <f>IF(J$23&gt;2,B23,0)</f>
        <v>6</v>
      </c>
      <c r="C24" s="61">
        <f>IF(K$23&gt;2,C23,0)</f>
        <v>0</v>
      </c>
      <c r="D24" s="61">
        <f>IF(L$23&gt;2,D23,0)</f>
        <v>0</v>
      </c>
      <c r="E24" s="61">
        <f>IF(M$23&gt;2,E23,0)</f>
        <v>0</v>
      </c>
      <c r="H24" t="s">
        <v>120</v>
      </c>
      <c r="I24" s="17">
        <v>8</v>
      </c>
      <c r="J24" s="76">
        <f>HLOOKUP(J$17,[1]Anx!$C$8:$CO$37,$I24)</f>
        <v>3.3</v>
      </c>
      <c r="K24" s="76">
        <f>HLOOKUP(K$17,[1]Anx!$C$8:$CO$37,$I24)</f>
        <v>0</v>
      </c>
      <c r="L24" s="76">
        <f>HLOOKUP(L$17,[1]Anx!$C$8:$CO$37,$I24)</f>
        <v>0</v>
      </c>
      <c r="M24" s="76">
        <f>HLOOKUP(M$17,[1]Anx!$C$8:$CO$37,$I24)</f>
        <v>0</v>
      </c>
    </row>
    <row r="25" spans="1:13" x14ac:dyDescent="0.25">
      <c r="A25" t="s">
        <v>106</v>
      </c>
      <c r="B25" s="61">
        <f>IF(J$23&gt;3,B24,0)</f>
        <v>0</v>
      </c>
      <c r="C25" s="61">
        <f>IF(K$23&gt;3,C24,0)</f>
        <v>0</v>
      </c>
      <c r="D25" s="61">
        <f>IF(L$23&gt;3,D24,0)</f>
        <v>0</v>
      </c>
      <c r="E25" s="61">
        <f>IF(M$23&gt;3,E24,0)</f>
        <v>0</v>
      </c>
      <c r="H25" t="s">
        <v>121</v>
      </c>
      <c r="I25" s="17">
        <v>9</v>
      </c>
      <c r="J25" s="76">
        <f>HLOOKUP(J$17,[1]Anx!$C$8:$CO$37,$I25)</f>
        <v>0</v>
      </c>
      <c r="K25" s="76">
        <f>HLOOKUP(K$17,[1]Anx!$C$8:$CO$37,$I25)</f>
        <v>0</v>
      </c>
      <c r="L25" s="76">
        <f>HLOOKUP(L$17,[1]Anx!$C$8:$CO$37,$I25)</f>
        <v>0</v>
      </c>
      <c r="M25" s="76">
        <f>HLOOKUP(M$17,[1]Anx!$C$8:$CO$37,$I25)</f>
        <v>0</v>
      </c>
    </row>
    <row r="26" spans="1:13" x14ac:dyDescent="0.25">
      <c r="A26" t="s">
        <v>111</v>
      </c>
      <c r="B26" s="61">
        <f>ROUNDUP(B17*J24/100,0)</f>
        <v>2</v>
      </c>
      <c r="C26" s="61">
        <f>ROUNDUP(C17*K24/100,0)</f>
        <v>0</v>
      </c>
      <c r="D26" s="61">
        <f>ROUNDUP(D17*L24/100,0)</f>
        <v>0</v>
      </c>
      <c r="E26" s="61">
        <f>ROUNDUP(E17*M24/100,0)</f>
        <v>0</v>
      </c>
      <c r="H26" t="s">
        <v>122</v>
      </c>
      <c r="I26" s="17">
        <v>10</v>
      </c>
      <c r="J26" s="76">
        <f>HLOOKUP(J$17,[1]Anx!$C$8:$CO$37,$I26)</f>
        <v>0</v>
      </c>
      <c r="K26" s="76">
        <f>HLOOKUP(K$17,[1]Anx!$C$8:$CO$37,$I26)</f>
        <v>0</v>
      </c>
      <c r="L26" s="76">
        <f>HLOOKUP(L$17,[1]Anx!$C$8:$CO$37,$I26)</f>
        <v>0</v>
      </c>
      <c r="M26" s="76">
        <f>HLOOKUP(M$17,[1]Anx!$C$8:$CO$37,$I26)</f>
        <v>0</v>
      </c>
    </row>
    <row r="27" spans="1:13" x14ac:dyDescent="0.25">
      <c r="A27" s="5" t="s">
        <v>123</v>
      </c>
      <c r="B27" s="61">
        <f>IF(J$27&gt;1,(B21/2*J25)/100,0)</f>
        <v>0</v>
      </c>
      <c r="C27" s="61">
        <f>IF(K$27&gt;1,(C21/2*K25)/100,0)</f>
        <v>0</v>
      </c>
      <c r="D27" s="61">
        <f>IF(L$27&gt;1,(D21/2*L25)/100,0)</f>
        <v>0</v>
      </c>
      <c r="E27" s="61">
        <f>IF(M$27&gt;1,(E21/2*M25)/100,0)</f>
        <v>0</v>
      </c>
      <c r="H27" t="s">
        <v>148</v>
      </c>
      <c r="I27" s="17">
        <v>11</v>
      </c>
      <c r="J27" s="76">
        <f>HLOOKUP(J$17,[1]Anx!$C$8:$CO$37,$I27)</f>
        <v>0.5</v>
      </c>
      <c r="K27" s="76">
        <f>HLOOKUP(K$17,[1]Anx!$C$8:$CO$37,$I27)</f>
        <v>0</v>
      </c>
      <c r="L27" s="76">
        <f>HLOOKUP(L$17,[1]Anx!$C$8:$CO$37,$I27)</f>
        <v>0</v>
      </c>
      <c r="M27" s="76">
        <f>HLOOKUP(M$17,[1]Anx!$C$8:$CO$37,$I27)</f>
        <v>0</v>
      </c>
    </row>
    <row r="28" spans="1:13" x14ac:dyDescent="0.25">
      <c r="A28" s="5" t="s">
        <v>124</v>
      </c>
      <c r="B28" s="61">
        <f>IF(J$27&gt;2,B27,0)</f>
        <v>0</v>
      </c>
      <c r="C28" s="61">
        <f>IF(K$27&gt;2,C27,0)</f>
        <v>0</v>
      </c>
      <c r="D28" s="61">
        <f>IF(L$27&gt;2,D27,0)</f>
        <v>0</v>
      </c>
      <c r="E28" s="61">
        <f>IF(M$27&gt;2,E27,0)</f>
        <v>0</v>
      </c>
      <c r="H28" t="s">
        <v>149</v>
      </c>
      <c r="I28" s="17">
        <v>12</v>
      </c>
      <c r="J28" s="76">
        <f>HLOOKUP(J$17,[1]Anx!$C$8:$CO$37,$I28)</f>
        <v>0.57999999999999996</v>
      </c>
      <c r="K28" s="76">
        <f>HLOOKUP(K$17,[1]Anx!$C$8:$CO$37,$I28)</f>
        <v>0</v>
      </c>
      <c r="L28" s="76">
        <f>HLOOKUP(L$17,[1]Anx!$C$8:$CO$37,$I28)</f>
        <v>0</v>
      </c>
      <c r="M28" s="76">
        <f>HLOOKUP(M$17,[1]Anx!$C$8:$CO$37,$I28)</f>
        <v>0</v>
      </c>
    </row>
    <row r="29" spans="1:13" x14ac:dyDescent="0.25">
      <c r="A29" s="5" t="s">
        <v>125</v>
      </c>
      <c r="B29" s="61">
        <f>IF(J$27&gt;3,B28,0)</f>
        <v>0</v>
      </c>
      <c r="C29" s="61">
        <f>IF(K$27&gt;3,C28,0)</f>
        <v>0</v>
      </c>
      <c r="D29" s="61">
        <f>IF(L$27&gt;3,D28,0)</f>
        <v>0</v>
      </c>
      <c r="E29" s="61">
        <f>IF(M$27&gt;3,E28,0)</f>
        <v>0</v>
      </c>
    </row>
    <row r="30" spans="1:13" s="5" customFormat="1" x14ac:dyDescent="0.25">
      <c r="A30" s="5" t="s">
        <v>126</v>
      </c>
      <c r="B30" s="61">
        <f>IF(J$28&gt;1,((B21/2-B22)*J$26)/100,0)</f>
        <v>0</v>
      </c>
      <c r="C30" s="61">
        <f>IF(K$28&gt;1,((C21/2-C22)*K$26)/100,0)</f>
        <v>0</v>
      </c>
      <c r="D30" s="61">
        <f>IF(L$28&gt;1,((D21/2-D22)*L$26)/100,0)</f>
        <v>0</v>
      </c>
      <c r="E30" s="61">
        <f>IF(M$28&gt;1,((E21/2-E22)*M$26)/100,0)</f>
        <v>0</v>
      </c>
      <c r="H30"/>
      <c r="I30" s="17"/>
      <c r="J30" s="58"/>
      <c r="K30" s="58"/>
      <c r="L30" s="58"/>
      <c r="M30" s="21"/>
    </row>
    <row r="31" spans="1:13" s="5" customFormat="1" x14ac:dyDescent="0.25">
      <c r="A31" s="5" t="s">
        <v>127</v>
      </c>
      <c r="B31" s="61">
        <f>IF(J$28&gt;2,B30,0)</f>
        <v>0</v>
      </c>
      <c r="C31" s="61">
        <f>IF(K$28&gt;2,C30,0)</f>
        <v>0</v>
      </c>
      <c r="D31" s="61">
        <f>IF(L$28&gt;2,D30,0)</f>
        <v>0</v>
      </c>
      <c r="E31" s="61">
        <f>IF(M$28&gt;2,E30,0)</f>
        <v>0</v>
      </c>
      <c r="H31"/>
      <c r="I31" s="17"/>
      <c r="J31" s="58"/>
      <c r="K31" s="58"/>
      <c r="L31" s="58"/>
      <c r="M31" s="21"/>
    </row>
    <row r="32" spans="1:13" s="5" customFormat="1" x14ac:dyDescent="0.25">
      <c r="A32" s="5" t="s">
        <v>128</v>
      </c>
      <c r="B32" s="61">
        <f>IF(J$28&gt;3,B31,0)</f>
        <v>0</v>
      </c>
      <c r="C32" s="61">
        <f>IF(K$28&gt;3,C31,0)</f>
        <v>0</v>
      </c>
      <c r="D32" s="61">
        <f>IF(L$28&gt;3,D31,0)</f>
        <v>0</v>
      </c>
      <c r="E32" s="61">
        <f>IF(M$28&gt;3,E31,0)</f>
        <v>0</v>
      </c>
      <c r="H32"/>
      <c r="I32" s="17"/>
      <c r="J32" s="58"/>
      <c r="K32" s="58"/>
      <c r="L32" s="58"/>
      <c r="M32" s="21"/>
    </row>
    <row r="33" spans="1:13" s="5" customFormat="1" x14ac:dyDescent="0.25">
      <c r="B33" s="21"/>
      <c r="C33" s="21"/>
      <c r="D33" s="21"/>
      <c r="E33" s="21"/>
      <c r="H33"/>
      <c r="I33" s="17"/>
      <c r="J33" s="58"/>
      <c r="K33" s="58"/>
      <c r="L33" s="58"/>
      <c r="M33" s="21"/>
    </row>
    <row r="34" spans="1:13" s="5" customFormat="1" x14ac:dyDescent="0.25">
      <c r="A34" s="23" t="s">
        <v>133</v>
      </c>
      <c r="B34" s="21"/>
      <c r="C34" s="21"/>
      <c r="D34" s="21"/>
      <c r="E34" s="21"/>
      <c r="I34" s="86"/>
      <c r="J34" s="21"/>
      <c r="K34" s="21"/>
      <c r="L34" s="21"/>
      <c r="M34" s="21"/>
    </row>
    <row r="35" spans="1:13" s="5" customFormat="1" x14ac:dyDescent="0.25">
      <c r="A35" s="5" t="s">
        <v>129</v>
      </c>
      <c r="B35" s="61">
        <f>B19*J35</f>
        <v>0</v>
      </c>
      <c r="C35" s="61">
        <f>C19*K35</f>
        <v>0</v>
      </c>
      <c r="D35" s="61">
        <f>D19*L35</f>
        <v>0</v>
      </c>
      <c r="E35" s="61">
        <f>E19*M35</f>
        <v>0</v>
      </c>
      <c r="H35" s="5" t="s">
        <v>130</v>
      </c>
      <c r="I35" s="86">
        <v>13</v>
      </c>
      <c r="J35" s="76">
        <f>HLOOKUP(J$17,[1]Anx!$C$8:$CO$37,$I35)</f>
        <v>0</v>
      </c>
      <c r="K35" s="76">
        <f>HLOOKUP(K$17,[1]Anx!$C$8:$CO$37,$I35)</f>
        <v>0</v>
      </c>
      <c r="L35" s="76">
        <f>HLOOKUP(L$17,[1]Anx!$C$8:$CO$37,$I35)</f>
        <v>0</v>
      </c>
      <c r="M35" s="76">
        <f>HLOOKUP(M$17,[1]Anx!$C$8:$CO$37,$I35)</f>
        <v>0</v>
      </c>
    </row>
    <row r="36" spans="1:13" s="5" customFormat="1" x14ac:dyDescent="0.25">
      <c r="A36" s="5" t="s">
        <v>144</v>
      </c>
      <c r="B36" s="61">
        <f>ROUNDDOWN(B17*J36/100,0)</f>
        <v>0</v>
      </c>
      <c r="C36" s="61">
        <f>ROUNDDOWN(C17*K36/100,0)</f>
        <v>0</v>
      </c>
      <c r="D36" s="61">
        <f>ROUNDDOWN(D17*L36/100,0)</f>
        <v>0</v>
      </c>
      <c r="E36" s="61">
        <f>ROUNDDOWN(E17*M36/100,0)</f>
        <v>0</v>
      </c>
      <c r="H36" s="5" t="s">
        <v>145</v>
      </c>
      <c r="I36" s="86">
        <v>14</v>
      </c>
      <c r="J36" s="76">
        <f>HLOOKUP(J$17,[1]Anx!$C$8:$CO$37,$I36)</f>
        <v>1.6666666666666667</v>
      </c>
      <c r="K36" s="76">
        <f>HLOOKUP(K$17,[1]Anx!$C$8:$CO$37,$I36)</f>
        <v>0</v>
      </c>
      <c r="L36" s="76">
        <f>HLOOKUP(L$17,[1]Anx!$C$8:$CO$37,$I36)</f>
        <v>0</v>
      </c>
      <c r="M36" s="76">
        <f>HLOOKUP(M$17,[1]Anx!$C$8:$CO$37,$I36)</f>
        <v>0</v>
      </c>
    </row>
    <row r="37" spans="1:13" s="5" customFormat="1" x14ac:dyDescent="0.25">
      <c r="A37" s="5" t="s">
        <v>134</v>
      </c>
      <c r="B37" s="61">
        <f>B22-B36</f>
        <v>6</v>
      </c>
      <c r="C37" s="61">
        <f>C22-C36</f>
        <v>0</v>
      </c>
      <c r="D37" s="61">
        <f t="shared" ref="D37:E37" si="1">D22-D36</f>
        <v>0</v>
      </c>
      <c r="E37" s="61">
        <f t="shared" si="1"/>
        <v>0</v>
      </c>
      <c r="H37" s="5" t="s">
        <v>146</v>
      </c>
      <c r="I37" s="86">
        <v>15</v>
      </c>
      <c r="J37" s="76">
        <f>HLOOKUP(J$17,[1]Anx!$C$8:$CO$37,$I37)</f>
        <v>33.333333333333329</v>
      </c>
      <c r="K37" s="76">
        <f>HLOOKUP(K$17,[1]Anx!$C$8:$CO$37,$I37)</f>
        <v>0</v>
      </c>
      <c r="L37" s="76">
        <f>HLOOKUP(L$17,[1]Anx!$C$8:$CO$37,$I37)</f>
        <v>0</v>
      </c>
      <c r="M37" s="76">
        <f>HLOOKUP(M$17,[1]Anx!$C$8:$CO$37,$I37)</f>
        <v>0</v>
      </c>
    </row>
    <row r="38" spans="1:13" s="5" customFormat="1" x14ac:dyDescent="0.25">
      <c r="A38" s="5" t="s">
        <v>135</v>
      </c>
      <c r="B38" s="61">
        <f>B26*J37/100</f>
        <v>0.66666666666666652</v>
      </c>
      <c r="C38" s="61">
        <f>C26*K37/100</f>
        <v>0</v>
      </c>
      <c r="D38" s="61">
        <f>D26*L37/100</f>
        <v>0</v>
      </c>
      <c r="E38" s="61">
        <f>E26*M37/100</f>
        <v>0</v>
      </c>
      <c r="I38" s="86"/>
      <c r="J38" s="21"/>
      <c r="K38" s="21"/>
      <c r="L38" s="21"/>
      <c r="M38" s="21"/>
    </row>
    <row r="39" spans="1:13" s="5" customFormat="1" x14ac:dyDescent="0.25">
      <c r="A39" s="5" t="s">
        <v>136</v>
      </c>
      <c r="B39" s="61">
        <f>IF(J26=0,B21/2-B22,B21/2-B22-B30)</f>
        <v>10.5</v>
      </c>
      <c r="C39" s="61">
        <f t="shared" ref="C39:E39" si="2">IF(K26=0,C21/2-C22,C21/2-C22-C30)</f>
        <v>0</v>
      </c>
      <c r="D39" s="61">
        <f t="shared" si="2"/>
        <v>0</v>
      </c>
      <c r="E39" s="61">
        <f t="shared" si="2"/>
        <v>0</v>
      </c>
      <c r="I39" s="86"/>
      <c r="J39" s="21"/>
      <c r="K39" s="21"/>
      <c r="L39" s="21"/>
      <c r="M39" s="21"/>
    </row>
    <row r="40" spans="1:13" s="5" customFormat="1" x14ac:dyDescent="0.25">
      <c r="A40" s="5" t="s">
        <v>137</v>
      </c>
      <c r="B40" s="61">
        <f>IF(J$28&lt;=2,B30,0)</f>
        <v>0</v>
      </c>
      <c r="C40" s="61">
        <f>IF(K$28&lt;=2,C30,0)</f>
        <v>0</v>
      </c>
      <c r="D40" s="61">
        <f>IF(L$28&lt;=2,D30,0)</f>
        <v>0</v>
      </c>
      <c r="E40" s="61">
        <f>IF(M$28&lt;=2,E30,0)</f>
        <v>0</v>
      </c>
      <c r="I40" s="86"/>
      <c r="J40" s="21"/>
      <c r="K40" s="21"/>
      <c r="L40" s="21"/>
      <c r="M40" s="21"/>
    </row>
    <row r="41" spans="1:13" s="5" customFormat="1" x14ac:dyDescent="0.25">
      <c r="A41" s="5" t="s">
        <v>138</v>
      </c>
      <c r="B41" s="61">
        <f>IF(J$28&lt;=3,B31,0)</f>
        <v>0</v>
      </c>
      <c r="C41" s="61">
        <f>IF(K$28&lt;=3,C31,0)</f>
        <v>0</v>
      </c>
      <c r="D41" s="61">
        <f>IF(L$28&lt;=3,D31,0)</f>
        <v>0</v>
      </c>
      <c r="E41" s="61">
        <f>IF(M$28&lt;=3,E31,0)</f>
        <v>0</v>
      </c>
      <c r="I41" s="86"/>
      <c r="J41" s="21"/>
      <c r="K41" s="21"/>
      <c r="L41" s="21"/>
      <c r="M41" s="21"/>
    </row>
    <row r="42" spans="1:13" s="5" customFormat="1" x14ac:dyDescent="0.25">
      <c r="A42" s="5" t="s">
        <v>139</v>
      </c>
      <c r="B42" s="61">
        <f>IF(J$28&lt;=4,B32,0)</f>
        <v>0</v>
      </c>
      <c r="C42" s="61">
        <f>IF(K$28&lt;=4,C32,0)</f>
        <v>0</v>
      </c>
      <c r="D42" s="61">
        <f>IF(L$28&lt;=4,D32,0)</f>
        <v>0</v>
      </c>
      <c r="E42" s="61">
        <f>IF(M$28&lt;=4,E32,0)</f>
        <v>0</v>
      </c>
      <c r="I42" s="86"/>
      <c r="J42" s="21"/>
      <c r="K42" s="21"/>
      <c r="L42" s="21"/>
      <c r="M42" s="21"/>
    </row>
    <row r="43" spans="1:13" s="5" customFormat="1" x14ac:dyDescent="0.25">
      <c r="A43" s="5" t="s">
        <v>140</v>
      </c>
      <c r="B43" s="61">
        <f>IF(J$27&lt;=1,B21/2,0)</f>
        <v>16.5</v>
      </c>
      <c r="C43" s="61">
        <f>IF(K$27&lt;=1,C21/2,0)</f>
        <v>0</v>
      </c>
      <c r="D43" s="61">
        <f>IF(L$27&lt;=1,D21/2,0)</f>
        <v>0</v>
      </c>
      <c r="E43" s="61">
        <f>IF(M$27&lt;=1,E21/2,0)</f>
        <v>0</v>
      </c>
      <c r="I43" s="86"/>
      <c r="J43" s="21"/>
      <c r="K43" s="21"/>
      <c r="L43" s="21"/>
      <c r="M43" s="21"/>
    </row>
    <row r="44" spans="1:13" s="5" customFormat="1" x14ac:dyDescent="0.25">
      <c r="A44" s="5" t="s">
        <v>141</v>
      </c>
      <c r="B44" s="61">
        <f>IF(J$27&lt;=2,B27,0)</f>
        <v>0</v>
      </c>
      <c r="C44" s="61">
        <f>IF(K$27&lt;=2,C27,0)</f>
        <v>0</v>
      </c>
      <c r="D44" s="61">
        <f>IF(L$27&lt;=2,D27,0)</f>
        <v>0</v>
      </c>
      <c r="E44" s="61">
        <f>IF(M$27&lt;=2,E27,0)</f>
        <v>0</v>
      </c>
      <c r="I44" s="86"/>
      <c r="J44" s="21"/>
      <c r="K44" s="21"/>
      <c r="L44" s="21"/>
      <c r="M44" s="21"/>
    </row>
    <row r="45" spans="1:13" s="5" customFormat="1" x14ac:dyDescent="0.25">
      <c r="A45" s="5" t="s">
        <v>142</v>
      </c>
      <c r="B45" s="61">
        <f>IF(J$27&lt;=3,B28,0)</f>
        <v>0</v>
      </c>
      <c r="C45" s="61">
        <f>IF(K$27&lt;=3,C28,0)</f>
        <v>0</v>
      </c>
      <c r="D45" s="61">
        <f>IF(L$27&lt;=3,D28,0)</f>
        <v>0</v>
      </c>
      <c r="E45" s="61">
        <f>IF(M$27&lt;=3,E28,0)</f>
        <v>0</v>
      </c>
      <c r="I45" s="86"/>
      <c r="J45" s="21"/>
      <c r="K45" s="21"/>
      <c r="L45" s="21"/>
      <c r="M45" s="21"/>
    </row>
    <row r="46" spans="1:13" s="5" customFormat="1" x14ac:dyDescent="0.25">
      <c r="A46" s="5" t="s">
        <v>143</v>
      </c>
      <c r="B46" s="61">
        <f>IF(J$27&lt;=4,B29,0)</f>
        <v>0</v>
      </c>
      <c r="C46" s="61">
        <f>IF(K$27&lt;=4,C29,0)</f>
        <v>0</v>
      </c>
      <c r="D46" s="61">
        <f>IF(L$27&lt;=4,D29,0)</f>
        <v>0</v>
      </c>
      <c r="E46" s="61">
        <f>IF(M$27&lt;=4,E29,0)</f>
        <v>0</v>
      </c>
      <c r="I46" s="86"/>
      <c r="J46" s="21"/>
      <c r="K46" s="21"/>
      <c r="L46" s="21"/>
      <c r="M46" s="21"/>
    </row>
    <row r="47" spans="1:13" s="5" customFormat="1" x14ac:dyDescent="0.25">
      <c r="A47"/>
      <c r="B47" s="21"/>
      <c r="C47" s="21"/>
      <c r="D47" s="21"/>
      <c r="E47" s="21"/>
      <c r="I47" s="86"/>
      <c r="J47" s="21"/>
      <c r="K47" s="21"/>
      <c r="L47" s="21"/>
      <c r="M47" s="21"/>
    </row>
    <row r="48" spans="1:13" s="5" customFormat="1" x14ac:dyDescent="0.25">
      <c r="A48"/>
      <c r="B48" s="21"/>
      <c r="C48" s="21"/>
      <c r="D48" s="21"/>
      <c r="E48" s="21"/>
      <c r="I48" s="86"/>
      <c r="J48" s="21"/>
      <c r="K48" s="21"/>
      <c r="L48" s="21"/>
      <c r="M48" s="21"/>
    </row>
    <row r="49" spans="1:13" x14ac:dyDescent="0.25">
      <c r="A49" s="2" t="s">
        <v>152</v>
      </c>
      <c r="B49" s="75">
        <f>SUM(B50:B61)</f>
        <v>46.5</v>
      </c>
      <c r="C49" s="75">
        <f>SUM(C50:C61)</f>
        <v>0</v>
      </c>
      <c r="D49" s="75">
        <f>SUM(D50:D61)</f>
        <v>0</v>
      </c>
      <c r="E49" s="75">
        <f>SUM(E50:E61)</f>
        <v>0</v>
      </c>
      <c r="H49" s="23" t="s">
        <v>150</v>
      </c>
      <c r="I49" s="89"/>
      <c r="J49" s="21"/>
    </row>
    <row r="50" spans="1:13" x14ac:dyDescent="0.25">
      <c r="A50" s="5" t="s">
        <v>151</v>
      </c>
      <c r="B50" s="61">
        <f>B17*J50</f>
        <v>34</v>
      </c>
      <c r="C50" s="61">
        <f>C17*K50</f>
        <v>0</v>
      </c>
      <c r="D50" s="61">
        <f>D17*L50</f>
        <v>0</v>
      </c>
      <c r="E50" s="61">
        <f>E17*M50</f>
        <v>0</v>
      </c>
      <c r="H50" s="5" t="s">
        <v>151</v>
      </c>
      <c r="I50" s="86">
        <v>16</v>
      </c>
      <c r="J50" s="76">
        <f>HLOOKUP(J$17,[1]Anx!$C$8:$CO$37,$I50)</f>
        <v>0.85</v>
      </c>
      <c r="K50" s="76">
        <f>HLOOKUP(K$17,[1]Anx!$C$8:$CO$37,$I50)</f>
        <v>0</v>
      </c>
      <c r="L50" s="76">
        <f>HLOOKUP(L$17,[1]Anx!$C$8:$CO$37,$I50)</f>
        <v>0</v>
      </c>
      <c r="M50" s="76">
        <f>HLOOKUP(M$17,[1]Anx!$C$8:$CO$37,$I50)</f>
        <v>0</v>
      </c>
    </row>
    <row r="51" spans="1:13" x14ac:dyDescent="0.25">
      <c r="A51" t="s">
        <v>103</v>
      </c>
      <c r="B51" s="61">
        <f t="shared" ref="B51:B61" si="3">B22*J51</f>
        <v>2.0999999999999996</v>
      </c>
      <c r="C51" s="61">
        <f t="shared" ref="C51:C61" si="4">C22*K51</f>
        <v>0</v>
      </c>
      <c r="D51" s="61">
        <f t="shared" ref="D51:D61" si="5">D22*L51</f>
        <v>0</v>
      </c>
      <c r="E51" s="61">
        <f t="shared" ref="E51:E61" si="6">E22*M51</f>
        <v>0</v>
      </c>
      <c r="H51" t="s">
        <v>103</v>
      </c>
      <c r="I51" s="17">
        <v>17</v>
      </c>
      <c r="J51" s="76">
        <f>HLOOKUP(J$17,[1]Anx!$C$8:$CO$37,$I51)</f>
        <v>0.35</v>
      </c>
      <c r="K51" s="76">
        <f>HLOOKUP(K$17,[1]Anx!$C$8:$CO$37,$I51)</f>
        <v>0</v>
      </c>
      <c r="L51" s="76">
        <f>HLOOKUP(L$17,[1]Anx!$C$8:$CO$37,$I51)</f>
        <v>0</v>
      </c>
      <c r="M51" s="76">
        <f>HLOOKUP(M$17,[1]Anx!$C$8:$CO$37,$I51)</f>
        <v>0</v>
      </c>
    </row>
    <row r="52" spans="1:13" x14ac:dyDescent="0.25">
      <c r="A52" t="s">
        <v>104</v>
      </c>
      <c r="B52" s="61">
        <f t="shared" si="3"/>
        <v>3.5999999999999996</v>
      </c>
      <c r="C52" s="61">
        <f t="shared" si="4"/>
        <v>0</v>
      </c>
      <c r="D52" s="61">
        <f t="shared" si="5"/>
        <v>0</v>
      </c>
      <c r="E52" s="61">
        <f t="shared" si="6"/>
        <v>0</v>
      </c>
      <c r="H52" t="s">
        <v>104</v>
      </c>
      <c r="I52" s="86">
        <v>18</v>
      </c>
      <c r="J52" s="76">
        <f>HLOOKUP(J$17,[1]Anx!$C$8:$CO$37,$I52)</f>
        <v>0.6</v>
      </c>
      <c r="K52" s="76">
        <f>HLOOKUP(K$17,[1]Anx!$C$8:$CO$37,$I52)</f>
        <v>0</v>
      </c>
      <c r="L52" s="76">
        <f>HLOOKUP(L$17,[1]Anx!$C$8:$CO$37,$I52)</f>
        <v>0</v>
      </c>
      <c r="M52" s="76">
        <f>HLOOKUP(M$17,[1]Anx!$C$8:$CO$37,$I52)</f>
        <v>0</v>
      </c>
    </row>
    <row r="53" spans="1:13" x14ac:dyDescent="0.25">
      <c r="A53" t="s">
        <v>105</v>
      </c>
      <c r="B53" s="61">
        <f t="shared" si="3"/>
        <v>4.8000000000000007</v>
      </c>
      <c r="C53" s="61">
        <f t="shared" si="4"/>
        <v>0</v>
      </c>
      <c r="D53" s="61">
        <f t="shared" si="5"/>
        <v>0</v>
      </c>
      <c r="E53" s="61">
        <f t="shared" si="6"/>
        <v>0</v>
      </c>
      <c r="H53" t="s">
        <v>105</v>
      </c>
      <c r="I53" s="17">
        <v>19</v>
      </c>
      <c r="J53" s="76">
        <f>HLOOKUP(J$17,[1]Anx!$C$8:$CO$37,$I53)</f>
        <v>0.8</v>
      </c>
      <c r="K53" s="76">
        <f>HLOOKUP(K$17,[1]Anx!$C$8:$CO$37,$I53)</f>
        <v>0</v>
      </c>
      <c r="L53" s="76">
        <f>HLOOKUP(L$17,[1]Anx!$C$8:$CO$37,$I53)</f>
        <v>0</v>
      </c>
      <c r="M53" s="76">
        <f>HLOOKUP(M$17,[1]Anx!$C$8:$CO$37,$I53)</f>
        <v>0</v>
      </c>
    </row>
    <row r="54" spans="1:13" x14ac:dyDescent="0.25">
      <c r="A54" t="s">
        <v>106</v>
      </c>
      <c r="B54" s="61">
        <f t="shared" si="3"/>
        <v>0</v>
      </c>
      <c r="C54" s="61">
        <f t="shared" si="4"/>
        <v>0</v>
      </c>
      <c r="D54" s="61">
        <f t="shared" si="5"/>
        <v>0</v>
      </c>
      <c r="E54" s="61">
        <f t="shared" si="6"/>
        <v>0</v>
      </c>
      <c r="H54" t="s">
        <v>106</v>
      </c>
      <c r="I54" s="86">
        <v>20</v>
      </c>
      <c r="J54" s="76">
        <f>HLOOKUP(J$17,[1]Anx!$C$8:$CO$37,$I54)</f>
        <v>0.85</v>
      </c>
      <c r="K54" s="76">
        <f>HLOOKUP(K$17,[1]Anx!$C$8:$CO$37,$I54)</f>
        <v>0</v>
      </c>
      <c r="L54" s="76">
        <f>HLOOKUP(L$17,[1]Anx!$C$8:$CO$37,$I54)</f>
        <v>0</v>
      </c>
      <c r="M54" s="76">
        <f>HLOOKUP(M$17,[1]Anx!$C$8:$CO$37,$I54)</f>
        <v>0</v>
      </c>
    </row>
    <row r="55" spans="1:13" x14ac:dyDescent="0.25">
      <c r="A55" t="s">
        <v>111</v>
      </c>
      <c r="B55" s="61">
        <f t="shared" si="3"/>
        <v>2</v>
      </c>
      <c r="C55" s="61">
        <f t="shared" si="4"/>
        <v>0</v>
      </c>
      <c r="D55" s="61">
        <f t="shared" si="5"/>
        <v>0</v>
      </c>
      <c r="E55" s="61">
        <f t="shared" si="6"/>
        <v>0</v>
      </c>
      <c r="H55" t="s">
        <v>111</v>
      </c>
      <c r="I55" s="17">
        <v>21</v>
      </c>
      <c r="J55" s="76">
        <f>HLOOKUP(J$17,[1]Anx!$C$8:$CO$37,$I55)</f>
        <v>1</v>
      </c>
      <c r="K55" s="76">
        <f>HLOOKUP(K$17,[1]Anx!$C$8:$CO$37,$I55)</f>
        <v>0</v>
      </c>
      <c r="L55" s="76">
        <f>HLOOKUP(L$17,[1]Anx!$C$8:$CO$37,$I55)</f>
        <v>0</v>
      </c>
      <c r="M55" s="76">
        <f>HLOOKUP(M$17,[1]Anx!$C$8:$CO$37,$I55)</f>
        <v>0</v>
      </c>
    </row>
    <row r="56" spans="1:13" x14ac:dyDescent="0.25">
      <c r="A56" s="5" t="s">
        <v>123</v>
      </c>
      <c r="B56" s="61">
        <f t="shared" si="3"/>
        <v>0</v>
      </c>
      <c r="C56" s="61">
        <f t="shared" si="4"/>
        <v>0</v>
      </c>
      <c r="D56" s="61">
        <f t="shared" si="5"/>
        <v>0</v>
      </c>
      <c r="E56" s="61">
        <f t="shared" si="6"/>
        <v>0</v>
      </c>
      <c r="H56" s="5" t="s">
        <v>123</v>
      </c>
      <c r="I56" s="86">
        <v>22</v>
      </c>
      <c r="J56" s="76">
        <f>HLOOKUP(J$17,[1]Anx!$C$8:$CO$37,$I56)</f>
        <v>0</v>
      </c>
      <c r="K56" s="76">
        <f>HLOOKUP(K$17,[1]Anx!$C$8:$CO$37,$I56)</f>
        <v>0</v>
      </c>
      <c r="L56" s="76">
        <f>HLOOKUP(L$17,[1]Anx!$C$8:$CO$37,$I56)</f>
        <v>0</v>
      </c>
      <c r="M56" s="76">
        <f>HLOOKUP(M$17,[1]Anx!$C$8:$CO$37,$I56)</f>
        <v>0</v>
      </c>
    </row>
    <row r="57" spans="1:13" x14ac:dyDescent="0.25">
      <c r="A57" s="5" t="s">
        <v>124</v>
      </c>
      <c r="B57" s="61">
        <f t="shared" si="3"/>
        <v>0</v>
      </c>
      <c r="C57" s="61">
        <f t="shared" si="4"/>
        <v>0</v>
      </c>
      <c r="D57" s="61">
        <f t="shared" si="5"/>
        <v>0</v>
      </c>
      <c r="E57" s="61">
        <f t="shared" si="6"/>
        <v>0</v>
      </c>
      <c r="H57" s="5" t="s">
        <v>124</v>
      </c>
      <c r="I57" s="17">
        <v>23</v>
      </c>
      <c r="J57" s="76">
        <f>HLOOKUP(J$17,[1]Anx!$C$8:$CO$37,$I57)</f>
        <v>0</v>
      </c>
      <c r="K57" s="76">
        <f>HLOOKUP(K$17,[1]Anx!$C$8:$CO$37,$I57)</f>
        <v>0</v>
      </c>
      <c r="L57" s="76">
        <f>HLOOKUP(L$17,[1]Anx!$C$8:$CO$37,$I57)</f>
        <v>0</v>
      </c>
      <c r="M57" s="76">
        <f>HLOOKUP(M$17,[1]Anx!$C$8:$CO$37,$I57)</f>
        <v>0</v>
      </c>
    </row>
    <row r="58" spans="1:13" x14ac:dyDescent="0.25">
      <c r="A58" s="5" t="s">
        <v>125</v>
      </c>
      <c r="B58" s="61">
        <f t="shared" si="3"/>
        <v>0</v>
      </c>
      <c r="C58" s="61">
        <f t="shared" si="4"/>
        <v>0</v>
      </c>
      <c r="D58" s="61">
        <f t="shared" si="5"/>
        <v>0</v>
      </c>
      <c r="E58" s="61">
        <f t="shared" si="6"/>
        <v>0</v>
      </c>
      <c r="H58" s="5" t="s">
        <v>125</v>
      </c>
      <c r="I58" s="86">
        <v>24</v>
      </c>
      <c r="J58" s="76">
        <f>HLOOKUP(J$17,[1]Anx!$C$8:$CO$37,$I58)</f>
        <v>0</v>
      </c>
      <c r="K58" s="76">
        <f>HLOOKUP(K$17,[1]Anx!$C$8:$CO$37,$I58)</f>
        <v>0</v>
      </c>
      <c r="L58" s="76">
        <f>HLOOKUP(L$17,[1]Anx!$C$8:$CO$37,$I58)</f>
        <v>0</v>
      </c>
      <c r="M58" s="76">
        <f>HLOOKUP(M$17,[1]Anx!$C$8:$CO$37,$I58)</f>
        <v>0</v>
      </c>
    </row>
    <row r="59" spans="1:13" x14ac:dyDescent="0.25">
      <c r="A59" s="5" t="s">
        <v>126</v>
      </c>
      <c r="B59" s="61">
        <f t="shared" si="3"/>
        <v>0</v>
      </c>
      <c r="C59" s="61">
        <f t="shared" si="4"/>
        <v>0</v>
      </c>
      <c r="D59" s="61">
        <f t="shared" si="5"/>
        <v>0</v>
      </c>
      <c r="E59" s="61">
        <f t="shared" si="6"/>
        <v>0</v>
      </c>
      <c r="H59" s="5" t="s">
        <v>126</v>
      </c>
      <c r="I59" s="17">
        <v>25</v>
      </c>
      <c r="J59" s="76">
        <f>HLOOKUP(J$17,[1]Anx!$C$8:$CO$37,$I59)</f>
        <v>0</v>
      </c>
      <c r="K59" s="76">
        <f>HLOOKUP(K$17,[1]Anx!$C$8:$CO$37,$I59)</f>
        <v>0</v>
      </c>
      <c r="L59" s="76">
        <f>HLOOKUP(L$17,[1]Anx!$C$8:$CO$37,$I59)</f>
        <v>0</v>
      </c>
      <c r="M59" s="76">
        <f>HLOOKUP(M$17,[1]Anx!$C$8:$CO$37,$I59)</f>
        <v>0</v>
      </c>
    </row>
    <row r="60" spans="1:13" x14ac:dyDescent="0.25">
      <c r="A60" s="5" t="s">
        <v>127</v>
      </c>
      <c r="B60" s="61">
        <f t="shared" si="3"/>
        <v>0</v>
      </c>
      <c r="C60" s="61">
        <f t="shared" si="4"/>
        <v>0</v>
      </c>
      <c r="D60" s="61">
        <f t="shared" si="5"/>
        <v>0</v>
      </c>
      <c r="E60" s="61">
        <f t="shared" si="6"/>
        <v>0</v>
      </c>
      <c r="H60" s="5" t="s">
        <v>127</v>
      </c>
      <c r="I60" s="86">
        <v>26</v>
      </c>
      <c r="J60" s="76">
        <f>HLOOKUP(J$17,[1]Anx!$C$8:$CO$37,$I60)</f>
        <v>0</v>
      </c>
      <c r="K60" s="76">
        <f>HLOOKUP(K$17,[1]Anx!$C$8:$CO$37,$I60)</f>
        <v>0</v>
      </c>
      <c r="L60" s="76">
        <f>HLOOKUP(L$17,[1]Anx!$C$8:$CO$37,$I60)</f>
        <v>0</v>
      </c>
      <c r="M60" s="76">
        <f>HLOOKUP(M$17,[1]Anx!$C$8:$CO$37,$I60)</f>
        <v>0</v>
      </c>
    </row>
    <row r="61" spans="1:13" x14ac:dyDescent="0.25">
      <c r="A61" s="5" t="s">
        <v>128</v>
      </c>
      <c r="B61" s="61">
        <f t="shared" si="3"/>
        <v>0</v>
      </c>
      <c r="C61" s="61">
        <f t="shared" si="4"/>
        <v>0</v>
      </c>
      <c r="D61" s="61">
        <f t="shared" si="5"/>
        <v>0</v>
      </c>
      <c r="E61" s="61">
        <f t="shared" si="6"/>
        <v>0</v>
      </c>
      <c r="H61" s="5" t="s">
        <v>128</v>
      </c>
      <c r="I61" s="17">
        <v>27</v>
      </c>
      <c r="J61" s="76">
        <f>HLOOKUP(J$17,[1]Anx!$C$8:$CO$37,$I61)</f>
        <v>0</v>
      </c>
      <c r="K61" s="76">
        <f>HLOOKUP(K$17,[1]Anx!$C$8:$CO$37,$I61)</f>
        <v>0</v>
      </c>
      <c r="L61" s="76">
        <f>HLOOKUP(L$17,[1]Anx!$C$8:$CO$37,$I61)</f>
        <v>0</v>
      </c>
      <c r="M61" s="76">
        <f>HLOOKUP(M$17,[1]Anx!$C$8:$CO$37,$I61)</f>
        <v>0</v>
      </c>
    </row>
    <row r="62" spans="1:13" s="5" customFormat="1" x14ac:dyDescent="0.25">
      <c r="B62" s="63"/>
      <c r="C62" s="63"/>
      <c r="D62" s="63"/>
      <c r="E62" s="63"/>
      <c r="I62" s="86"/>
      <c r="J62" s="63"/>
      <c r="K62" s="63"/>
      <c r="L62" s="63"/>
      <c r="M62" s="63"/>
    </row>
    <row r="63" spans="1:13" s="5" customFormat="1" x14ac:dyDescent="0.25">
      <c r="B63" s="63"/>
      <c r="C63" s="63"/>
      <c r="D63" s="63"/>
      <c r="E63" s="63"/>
      <c r="I63" s="86"/>
      <c r="J63" s="63"/>
      <c r="K63" s="63"/>
      <c r="L63" s="63"/>
      <c r="M63" s="63"/>
    </row>
    <row r="64" spans="1:13" s="5" customFormat="1" x14ac:dyDescent="0.25">
      <c r="A64" s="2" t="s">
        <v>296</v>
      </c>
      <c r="B64" s="58"/>
      <c r="C64" s="58"/>
      <c r="D64" s="58"/>
      <c r="E64" s="58"/>
      <c r="F64"/>
      <c r="G64"/>
      <c r="H64"/>
      <c r="I64" s="17"/>
      <c r="J64" s="58"/>
      <c r="K64" s="58"/>
      <c r="L64" s="58"/>
      <c r="M64" s="58"/>
    </row>
    <row r="65" spans="1:13" s="5" customFormat="1" x14ac:dyDescent="0.25">
      <c r="A65" t="s">
        <v>282</v>
      </c>
      <c r="B65" s="61">
        <f>B17*J65/1000</f>
        <v>0</v>
      </c>
      <c r="C65" s="61">
        <f>C17*K65/1000</f>
        <v>0</v>
      </c>
      <c r="D65" s="61">
        <f>D17*L65/1000</f>
        <v>0</v>
      </c>
      <c r="E65" s="61">
        <f>E17*M65/1000</f>
        <v>0</v>
      </c>
      <c r="F65"/>
      <c r="G65"/>
      <c r="H65" t="s">
        <v>281</v>
      </c>
      <c r="I65" s="17">
        <v>8</v>
      </c>
      <c r="J65" s="76">
        <f>HLOOKUP(J$17,[1]Anx!$C$36:$CO$48,$I65)</f>
        <v>0</v>
      </c>
      <c r="K65" s="76">
        <f>HLOOKUP(K$17,[1]Anx!$C$36:$CO$48,$I65)</f>
        <v>0</v>
      </c>
      <c r="L65" s="76">
        <f>HLOOKUP(L$17,[1]Anx!$C$36:$CO$48,$I65)</f>
        <v>0</v>
      </c>
      <c r="M65" s="76">
        <f>HLOOKUP(M$17,[1]Anx!$C$36:$CO$48,$I65)</f>
        <v>0</v>
      </c>
    </row>
    <row r="66" spans="1:13" s="5" customFormat="1" x14ac:dyDescent="0.25">
      <c r="A66" t="s">
        <v>288</v>
      </c>
      <c r="B66" s="61">
        <f>B17*J66</f>
        <v>32</v>
      </c>
      <c r="C66" s="61">
        <f>C17*K66</f>
        <v>0</v>
      </c>
      <c r="D66" s="61">
        <f>D17*L66</f>
        <v>0</v>
      </c>
      <c r="E66" s="61">
        <f>E17*M66</f>
        <v>0</v>
      </c>
      <c r="F66"/>
      <c r="G66"/>
      <c r="H66" t="s">
        <v>291</v>
      </c>
      <c r="I66" s="17">
        <v>9</v>
      </c>
      <c r="J66" s="76">
        <f>HLOOKUP(J$17,[1]Anx!$C$36:$CO$48,$I66)</f>
        <v>0.8</v>
      </c>
      <c r="K66" s="76">
        <f>HLOOKUP(K$17,[1]Anx!$C$36:$CO$48,$I66)</f>
        <v>0</v>
      </c>
      <c r="L66" s="76">
        <f>HLOOKUP(L$17,[1]Anx!$C$36:$CO$48,$I66)</f>
        <v>0</v>
      </c>
      <c r="M66" s="76">
        <f>HLOOKUP(M$17,[1]Anx!$C$36:$CO$48,$I66)</f>
        <v>0</v>
      </c>
    </row>
    <row r="67" spans="1:13" s="5" customFormat="1" x14ac:dyDescent="0.25">
      <c r="A67" s="2" t="s">
        <v>295</v>
      </c>
      <c r="B67" s="58"/>
      <c r="C67" s="58"/>
      <c r="D67" s="58"/>
      <c r="E67" s="58"/>
      <c r="F67"/>
      <c r="G67"/>
      <c r="H67" t="s">
        <v>297</v>
      </c>
      <c r="I67" s="17">
        <v>11</v>
      </c>
      <c r="J67" s="76">
        <f>HLOOKUP(J$17,[1]Anx!$C$36:$CO$48,$I67)</f>
        <v>5</v>
      </c>
      <c r="K67" s="76">
        <f>HLOOKUP(K$17,[1]Anx!$C$36:$CO$48,$I67)</f>
        <v>0</v>
      </c>
      <c r="L67" s="76">
        <f>HLOOKUP(L$17,[1]Anx!$C$36:$CO$48,$I67)</f>
        <v>0</v>
      </c>
      <c r="M67" s="76">
        <f>HLOOKUP(M$17,[1]Anx!$C$36:$CO$48,$I67)</f>
        <v>0</v>
      </c>
    </row>
    <row r="68" spans="1:13" s="5" customFormat="1" x14ac:dyDescent="0.25">
      <c r="A68" t="s">
        <v>288</v>
      </c>
      <c r="B68" s="61">
        <f>B66*(1+J67/100)</f>
        <v>33.6</v>
      </c>
      <c r="C68" s="61">
        <f t="shared" ref="C68:E68" si="7">C66*(1+K67/100)</f>
        <v>0</v>
      </c>
      <c r="D68" s="61">
        <f t="shared" si="7"/>
        <v>0</v>
      </c>
      <c r="E68" s="61">
        <f t="shared" si="7"/>
        <v>0</v>
      </c>
      <c r="F68"/>
      <c r="G68"/>
      <c r="H68"/>
      <c r="I68" s="17"/>
      <c r="J68" s="58"/>
      <c r="K68" s="58"/>
      <c r="L68" s="58"/>
      <c r="M68" s="58"/>
    </row>
    <row r="69" spans="1:13" s="5" customFormat="1" x14ac:dyDescent="0.25">
      <c r="A69"/>
      <c r="B69" s="58"/>
      <c r="C69" s="58"/>
      <c r="D69" s="58"/>
      <c r="E69" s="58"/>
      <c r="F69"/>
      <c r="G69"/>
      <c r="H69"/>
      <c r="I69" s="17"/>
      <c r="J69" s="58"/>
      <c r="K69" s="58"/>
      <c r="L69" s="58"/>
      <c r="M69" s="58"/>
    </row>
    <row r="71" spans="1:13" x14ac:dyDescent="0.25">
      <c r="A71" s="2" t="s">
        <v>242</v>
      </c>
    </row>
    <row r="72" spans="1:13" x14ac:dyDescent="0.25">
      <c r="A72" t="s">
        <v>228</v>
      </c>
      <c r="B72" s="61">
        <f>B$17*J72</f>
        <v>2620</v>
      </c>
      <c r="C72" s="61">
        <f t="shared" ref="C72:E76" si="8">C$17*K72</f>
        <v>0</v>
      </c>
      <c r="D72" s="61">
        <f t="shared" si="8"/>
        <v>0</v>
      </c>
      <c r="E72" s="61">
        <f t="shared" si="8"/>
        <v>0</v>
      </c>
      <c r="H72" t="s">
        <v>228</v>
      </c>
      <c r="I72" s="17">
        <v>2</v>
      </c>
      <c r="J72" s="76">
        <f>HLOOKUP(J$17,[1]Anx!$C$50:$CO$85,$I72)</f>
        <v>65.5</v>
      </c>
      <c r="K72" s="76">
        <f>HLOOKUP(K$17,[1]Anx!$C$50:$CO$85,$I72)</f>
        <v>0</v>
      </c>
      <c r="L72" s="76">
        <f>HLOOKUP(L$17,[1]Anx!$C$50:$CO$85,$I72)</f>
        <v>0</v>
      </c>
      <c r="M72" s="76">
        <f>HLOOKUP(M$17,[1]Anx!$C$50:$CO$85,$I72)</f>
        <v>0</v>
      </c>
    </row>
    <row r="73" spans="1:13" x14ac:dyDescent="0.25">
      <c r="A73" t="s">
        <v>229</v>
      </c>
      <c r="B73" s="61">
        <f t="shared" ref="B73:B76" si="9">B$17*J73</f>
        <v>1120</v>
      </c>
      <c r="C73" s="61">
        <f t="shared" si="8"/>
        <v>0</v>
      </c>
      <c r="D73" s="61">
        <f t="shared" si="8"/>
        <v>0</v>
      </c>
      <c r="E73" s="61">
        <f t="shared" si="8"/>
        <v>0</v>
      </c>
      <c r="H73" t="s">
        <v>229</v>
      </c>
      <c r="I73" s="17">
        <v>3</v>
      </c>
      <c r="J73" s="76">
        <f>HLOOKUP(J$17,[1]Anx!$C$50:$CO$85,$I73)</f>
        <v>28</v>
      </c>
      <c r="K73" s="76">
        <f>HLOOKUP(K$17,[1]Anx!$C$50:$CO$85,$I73)</f>
        <v>0</v>
      </c>
      <c r="L73" s="76">
        <f>HLOOKUP(L$17,[1]Anx!$C$50:$CO$85,$I73)</f>
        <v>0</v>
      </c>
      <c r="M73" s="76">
        <f>HLOOKUP(M$17,[1]Anx!$C$50:$CO$85,$I73)</f>
        <v>0</v>
      </c>
    </row>
    <row r="74" spans="1:13" x14ac:dyDescent="0.25">
      <c r="A74" t="s">
        <v>230</v>
      </c>
      <c r="B74" s="61">
        <f t="shared" si="9"/>
        <v>0</v>
      </c>
      <c r="C74" s="61">
        <f t="shared" si="8"/>
        <v>0</v>
      </c>
      <c r="D74" s="61">
        <f t="shared" si="8"/>
        <v>0</v>
      </c>
      <c r="E74" s="61">
        <f t="shared" si="8"/>
        <v>0</v>
      </c>
      <c r="H74" t="s">
        <v>230</v>
      </c>
      <c r="I74" s="17">
        <v>4</v>
      </c>
      <c r="J74" s="76">
        <f>HLOOKUP(J$17,[1]Anx!$C$50:$CO$85,$I74)</f>
        <v>0</v>
      </c>
      <c r="K74" s="76">
        <f>HLOOKUP(K$17,[1]Anx!$C$50:$CO$85,$I74)</f>
        <v>0</v>
      </c>
      <c r="L74" s="76">
        <f>HLOOKUP(L$17,[1]Anx!$C$50:$CO$85,$I74)</f>
        <v>0</v>
      </c>
      <c r="M74" s="76">
        <f>HLOOKUP(M$17,[1]Anx!$C$50:$CO$85,$I74)</f>
        <v>0</v>
      </c>
    </row>
    <row r="75" spans="1:13" x14ac:dyDescent="0.25">
      <c r="A75" t="s">
        <v>354</v>
      </c>
      <c r="B75" s="61">
        <f t="shared" si="9"/>
        <v>0</v>
      </c>
      <c r="C75" s="61">
        <f t="shared" si="8"/>
        <v>0</v>
      </c>
      <c r="D75" s="61">
        <f t="shared" si="8"/>
        <v>0</v>
      </c>
      <c r="E75" s="61">
        <f t="shared" si="8"/>
        <v>0</v>
      </c>
      <c r="H75" t="s">
        <v>231</v>
      </c>
      <c r="I75" s="17">
        <v>5</v>
      </c>
      <c r="J75" s="76">
        <f>HLOOKUP(J$17,[1]Anx!$C$50:$CO$85,$I75)</f>
        <v>0</v>
      </c>
      <c r="K75" s="76">
        <f>HLOOKUP(K$17,[1]Anx!$C$50:$CO$85,$I75)</f>
        <v>0</v>
      </c>
      <c r="L75" s="76">
        <f>HLOOKUP(L$17,[1]Anx!$C$50:$CO$85,$I75)</f>
        <v>0</v>
      </c>
      <c r="M75" s="76">
        <f>HLOOKUP(M$17,[1]Anx!$C$50:$CO$85,$I75)</f>
        <v>0</v>
      </c>
    </row>
    <row r="76" spans="1:13" x14ac:dyDescent="0.25">
      <c r="A76" t="s">
        <v>355</v>
      </c>
      <c r="B76" s="61">
        <f t="shared" si="9"/>
        <v>0</v>
      </c>
      <c r="C76" s="61">
        <f t="shared" si="8"/>
        <v>0</v>
      </c>
      <c r="D76" s="61">
        <f t="shared" si="8"/>
        <v>0</v>
      </c>
      <c r="E76" s="61">
        <f t="shared" si="8"/>
        <v>0</v>
      </c>
      <c r="H76" t="s">
        <v>232</v>
      </c>
      <c r="I76" s="17">
        <v>6</v>
      </c>
      <c r="J76" s="76">
        <f>HLOOKUP(J$17,[1]Anx!$C$50:$CO$85,$I76)</f>
        <v>0</v>
      </c>
      <c r="K76" s="76">
        <f>HLOOKUP(K$17,[1]Anx!$C$50:$CO$85,$I76)</f>
        <v>0</v>
      </c>
      <c r="L76" s="76">
        <f>HLOOKUP(L$17,[1]Anx!$C$50:$CO$85,$I76)</f>
        <v>0</v>
      </c>
      <c r="M76" s="76">
        <f>HLOOKUP(M$17,[1]Anx!$C$50:$CO$85,$I76)</f>
        <v>0</v>
      </c>
    </row>
    <row r="77" spans="1:13" x14ac:dyDescent="0.25">
      <c r="A77" t="s">
        <v>231</v>
      </c>
      <c r="B77" s="61">
        <f>B$22*J77</f>
        <v>2310</v>
      </c>
      <c r="C77" s="61">
        <f t="shared" ref="C77:E81" si="10">C$22*K77</f>
        <v>0</v>
      </c>
      <c r="D77" s="61">
        <f t="shared" si="10"/>
        <v>0</v>
      </c>
      <c r="E77" s="61">
        <f t="shared" si="10"/>
        <v>0</v>
      </c>
      <c r="H77" t="s">
        <v>237</v>
      </c>
      <c r="I77" s="17">
        <v>7</v>
      </c>
      <c r="J77" s="76">
        <f>HLOOKUP(J$17,[1]Anx!$C$50:$CO$85,$I77)</f>
        <v>385</v>
      </c>
      <c r="K77" s="76">
        <f>HLOOKUP(K$17,[1]Anx!$C$50:$CO$85,$I77)</f>
        <v>0</v>
      </c>
      <c r="L77" s="76">
        <f>HLOOKUP(L$17,[1]Anx!$C$50:$CO$85,$I77)</f>
        <v>0</v>
      </c>
      <c r="M77" s="76">
        <f>HLOOKUP(M$17,[1]Anx!$C$50:$CO$85,$I77)</f>
        <v>0</v>
      </c>
    </row>
    <row r="78" spans="1:13" x14ac:dyDescent="0.25">
      <c r="A78" t="s">
        <v>232</v>
      </c>
      <c r="B78" s="61">
        <f t="shared" ref="B78:B81" si="11">B$22*J78</f>
        <v>990</v>
      </c>
      <c r="C78" s="61">
        <f t="shared" si="10"/>
        <v>0</v>
      </c>
      <c r="D78" s="61">
        <f t="shared" si="10"/>
        <v>0</v>
      </c>
      <c r="E78" s="61">
        <f t="shared" si="10"/>
        <v>0</v>
      </c>
      <c r="H78" t="s">
        <v>238</v>
      </c>
      <c r="I78" s="17">
        <v>8</v>
      </c>
      <c r="J78" s="76">
        <f>HLOOKUP(J$17,[1]Anx!$C$50:$CO$85,$I78)</f>
        <v>165</v>
      </c>
      <c r="K78" s="76">
        <f>HLOOKUP(K$17,[1]Anx!$C$50:$CO$85,$I78)</f>
        <v>0</v>
      </c>
      <c r="L78" s="76">
        <f>HLOOKUP(L$17,[1]Anx!$C$50:$CO$85,$I78)</f>
        <v>0</v>
      </c>
      <c r="M78" s="76">
        <f>HLOOKUP(M$17,[1]Anx!$C$50:$CO$85,$I78)</f>
        <v>0</v>
      </c>
    </row>
    <row r="79" spans="1:13" x14ac:dyDescent="0.25">
      <c r="A79" t="s">
        <v>356</v>
      </c>
      <c r="B79" s="61">
        <f t="shared" si="11"/>
        <v>0</v>
      </c>
      <c r="C79" s="61">
        <f t="shared" si="10"/>
        <v>0</v>
      </c>
      <c r="D79" s="61">
        <f t="shared" si="10"/>
        <v>0</v>
      </c>
      <c r="E79" s="61">
        <f t="shared" si="10"/>
        <v>0</v>
      </c>
      <c r="H79" t="s">
        <v>240</v>
      </c>
      <c r="I79" s="17">
        <v>9</v>
      </c>
      <c r="J79" s="76">
        <f>HLOOKUP(J$17,[1]Anx!$C$50:$CO$85,$I79)</f>
        <v>0</v>
      </c>
      <c r="K79" s="76">
        <f>HLOOKUP(K$17,[1]Anx!$C$50:$CO$85,$I79)</f>
        <v>0</v>
      </c>
      <c r="L79" s="76">
        <f>HLOOKUP(L$17,[1]Anx!$C$50:$CO$85,$I79)</f>
        <v>0</v>
      </c>
      <c r="M79" s="76">
        <f>HLOOKUP(M$17,[1]Anx!$C$50:$CO$85,$I79)</f>
        <v>0</v>
      </c>
    </row>
    <row r="80" spans="1:13" x14ac:dyDescent="0.25">
      <c r="A80" t="s">
        <v>357</v>
      </c>
      <c r="B80" s="61">
        <f t="shared" si="11"/>
        <v>0</v>
      </c>
      <c r="C80" s="61">
        <f t="shared" si="10"/>
        <v>0</v>
      </c>
      <c r="D80" s="61">
        <f t="shared" si="10"/>
        <v>0</v>
      </c>
      <c r="E80" s="61">
        <f t="shared" si="10"/>
        <v>0</v>
      </c>
      <c r="H80" t="s">
        <v>239</v>
      </c>
      <c r="I80" s="17">
        <v>10</v>
      </c>
      <c r="J80" s="76">
        <f>HLOOKUP(J$17,[1]Anx!$C$50:$CO$85,$I80)</f>
        <v>0</v>
      </c>
      <c r="K80" s="76">
        <f>HLOOKUP(K$17,[1]Anx!$C$50:$CO$85,$I80)</f>
        <v>0</v>
      </c>
      <c r="L80" s="76">
        <f>HLOOKUP(L$17,[1]Anx!$C$50:$CO$85,$I80)</f>
        <v>0</v>
      </c>
      <c r="M80" s="76">
        <f>HLOOKUP(M$17,[1]Anx!$C$50:$CO$85,$I80)</f>
        <v>0</v>
      </c>
    </row>
    <row r="81" spans="1:13" x14ac:dyDescent="0.25">
      <c r="A81" t="s">
        <v>358</v>
      </c>
      <c r="B81" s="61">
        <f t="shared" si="11"/>
        <v>0</v>
      </c>
      <c r="C81" s="61">
        <f t="shared" si="10"/>
        <v>0</v>
      </c>
      <c r="D81" s="61">
        <f t="shared" si="10"/>
        <v>0</v>
      </c>
      <c r="E81" s="61">
        <f t="shared" si="10"/>
        <v>0</v>
      </c>
      <c r="H81" t="s">
        <v>241</v>
      </c>
      <c r="I81" s="17">
        <v>11</v>
      </c>
      <c r="J81" s="76">
        <f>HLOOKUP(J$17,[1]Anx!$C$50:$CO$85,$I81)</f>
        <v>0</v>
      </c>
      <c r="K81" s="76">
        <f>HLOOKUP(K$17,[1]Anx!$C$50:$CO$85,$I81)</f>
        <v>0</v>
      </c>
      <c r="L81" s="76">
        <f>HLOOKUP(L$17,[1]Anx!$C$50:$CO$85,$I81)</f>
        <v>0</v>
      </c>
      <c r="M81" s="76">
        <f>HLOOKUP(M$17,[1]Anx!$C$50:$CO$85,$I81)</f>
        <v>0</v>
      </c>
    </row>
    <row r="82" spans="1:13" x14ac:dyDescent="0.25">
      <c r="A82" t="s">
        <v>237</v>
      </c>
      <c r="B82" s="61">
        <f>(B$21/2)*J82</f>
        <v>2178</v>
      </c>
      <c r="C82" s="61">
        <f t="shared" ref="C82:E91" si="12">(C$21/2)*K82</f>
        <v>0</v>
      </c>
      <c r="D82" s="61">
        <f t="shared" si="12"/>
        <v>0</v>
      </c>
      <c r="E82" s="61">
        <f t="shared" si="12"/>
        <v>0</v>
      </c>
      <c r="H82" t="s">
        <v>233</v>
      </c>
      <c r="I82" s="17">
        <v>12</v>
      </c>
      <c r="J82" s="76">
        <f>HLOOKUP(J$17,[1]Anx!$C$50:$CO$85,$I82)</f>
        <v>132</v>
      </c>
      <c r="K82" s="76">
        <f>HLOOKUP(K$17,[1]Anx!$C$50:$CO$85,$I82)</f>
        <v>0</v>
      </c>
      <c r="L82" s="76">
        <f>HLOOKUP(L$17,[1]Anx!$C$50:$CO$85,$I82)</f>
        <v>0</v>
      </c>
      <c r="M82" s="76">
        <f>HLOOKUP(M$17,[1]Anx!$C$50:$CO$85,$I82)</f>
        <v>0</v>
      </c>
    </row>
    <row r="83" spans="1:13" x14ac:dyDescent="0.25">
      <c r="A83" t="s">
        <v>238</v>
      </c>
      <c r="B83" s="61">
        <f t="shared" ref="B83:B91" si="13">(B$21/2)*J83</f>
        <v>0</v>
      </c>
      <c r="C83" s="61">
        <f t="shared" si="12"/>
        <v>0</v>
      </c>
      <c r="D83" s="61">
        <f t="shared" si="12"/>
        <v>0</v>
      </c>
      <c r="E83" s="61">
        <f t="shared" si="12"/>
        <v>0</v>
      </c>
      <c r="H83" t="s">
        <v>234</v>
      </c>
      <c r="I83" s="17">
        <v>13</v>
      </c>
      <c r="J83" s="76">
        <f>HLOOKUP(J$17,[1]Anx!$C$50:$CO$85,$I83)</f>
        <v>0</v>
      </c>
      <c r="K83" s="76">
        <f>HLOOKUP(K$17,[1]Anx!$C$50:$CO$85,$I83)</f>
        <v>0</v>
      </c>
      <c r="L83" s="76">
        <f>HLOOKUP(L$17,[1]Anx!$C$50:$CO$85,$I83)</f>
        <v>0</v>
      </c>
      <c r="M83" s="76">
        <f>HLOOKUP(M$17,[1]Anx!$C$50:$CO$85,$I83)</f>
        <v>0</v>
      </c>
    </row>
    <row r="84" spans="1:13" x14ac:dyDescent="0.25">
      <c r="A84" t="s">
        <v>359</v>
      </c>
      <c r="B84" s="61">
        <f t="shared" si="13"/>
        <v>0</v>
      </c>
      <c r="C84" s="61">
        <f t="shared" si="12"/>
        <v>0</v>
      </c>
      <c r="D84" s="61">
        <f t="shared" si="12"/>
        <v>0</v>
      </c>
      <c r="E84" s="61">
        <f t="shared" si="12"/>
        <v>0</v>
      </c>
      <c r="H84" t="s">
        <v>235</v>
      </c>
      <c r="I84" s="17">
        <v>14</v>
      </c>
      <c r="J84" s="76">
        <f>HLOOKUP(J$17,[1]Anx!$C$50:$CO$85,$I84)</f>
        <v>0</v>
      </c>
      <c r="K84" s="76">
        <f>HLOOKUP(K$17,[1]Anx!$C$50:$CO$85,$I84)</f>
        <v>0</v>
      </c>
      <c r="L84" s="76">
        <f>HLOOKUP(L$17,[1]Anx!$C$50:$CO$85,$I84)</f>
        <v>0</v>
      </c>
      <c r="M84" s="76">
        <f>HLOOKUP(M$17,[1]Anx!$C$50:$CO$85,$I84)</f>
        <v>0</v>
      </c>
    </row>
    <row r="85" spans="1:13" x14ac:dyDescent="0.25">
      <c r="A85" t="s">
        <v>360</v>
      </c>
      <c r="B85" s="61">
        <f t="shared" si="13"/>
        <v>0</v>
      </c>
      <c r="C85" s="61">
        <f t="shared" si="12"/>
        <v>0</v>
      </c>
      <c r="D85" s="61">
        <f t="shared" si="12"/>
        <v>0</v>
      </c>
      <c r="E85" s="61">
        <f t="shared" si="12"/>
        <v>0</v>
      </c>
      <c r="H85" t="s">
        <v>236</v>
      </c>
      <c r="I85" s="17">
        <v>15</v>
      </c>
      <c r="J85" s="76">
        <f>HLOOKUP(J$17,[1]Anx!$C$50:$CO$85,$I85)</f>
        <v>0</v>
      </c>
      <c r="K85" s="76">
        <f>HLOOKUP(K$17,[1]Anx!$C$50:$CO$85,$I85)</f>
        <v>0</v>
      </c>
      <c r="L85" s="76">
        <f>HLOOKUP(L$17,[1]Anx!$C$50:$CO$85,$I85)</f>
        <v>0</v>
      </c>
      <c r="M85" s="76">
        <f>HLOOKUP(M$17,[1]Anx!$C$50:$CO$85,$I85)</f>
        <v>0</v>
      </c>
    </row>
    <row r="86" spans="1:13" x14ac:dyDescent="0.25">
      <c r="A86" t="s">
        <v>361</v>
      </c>
      <c r="B86" s="61">
        <f t="shared" si="13"/>
        <v>0</v>
      </c>
      <c r="C86" s="61">
        <f t="shared" si="12"/>
        <v>0</v>
      </c>
      <c r="D86" s="61">
        <f t="shared" si="12"/>
        <v>0</v>
      </c>
      <c r="E86" s="61">
        <f t="shared" si="12"/>
        <v>0</v>
      </c>
      <c r="I86" s="17">
        <v>16</v>
      </c>
      <c r="J86" s="76">
        <f>HLOOKUP(J$17,[1]Anx!$C$50:$CO$85,$I86)</f>
        <v>0</v>
      </c>
      <c r="K86" s="76">
        <f>HLOOKUP(K$17,[1]Anx!$C$50:$CO$85,$I86)</f>
        <v>0</v>
      </c>
      <c r="L86" s="76">
        <f>HLOOKUP(L$17,[1]Anx!$C$50:$CO$85,$I86)</f>
        <v>0</v>
      </c>
      <c r="M86" s="76">
        <f>HLOOKUP(M$17,[1]Anx!$C$50:$CO$85,$I86)</f>
        <v>0</v>
      </c>
    </row>
    <row r="87" spans="1:13" x14ac:dyDescent="0.25">
      <c r="A87" t="s">
        <v>240</v>
      </c>
      <c r="B87" s="61">
        <f t="shared" si="13"/>
        <v>2178</v>
      </c>
      <c r="C87" s="61">
        <f t="shared" si="12"/>
        <v>0</v>
      </c>
      <c r="D87" s="61">
        <f t="shared" si="12"/>
        <v>0</v>
      </c>
      <c r="E87" s="61">
        <f t="shared" si="12"/>
        <v>0</v>
      </c>
      <c r="I87" s="17">
        <v>17</v>
      </c>
      <c r="J87" s="76">
        <f>HLOOKUP(J$17,[1]Anx!$C$50:$CO$85,$I87)</f>
        <v>132</v>
      </c>
      <c r="K87" s="76">
        <f>HLOOKUP(K$17,[1]Anx!$C$50:$CO$85,$I87)</f>
        <v>0</v>
      </c>
      <c r="L87" s="76">
        <f>HLOOKUP(L$17,[1]Anx!$C$50:$CO$85,$I87)</f>
        <v>0</v>
      </c>
      <c r="M87" s="76">
        <f>HLOOKUP(M$17,[1]Anx!$C$50:$CO$85,$I87)</f>
        <v>0</v>
      </c>
    </row>
    <row r="88" spans="1:13" x14ac:dyDescent="0.25">
      <c r="A88" t="s">
        <v>239</v>
      </c>
      <c r="B88" s="61">
        <f t="shared" si="13"/>
        <v>0</v>
      </c>
      <c r="C88" s="61">
        <f t="shared" si="12"/>
        <v>0</v>
      </c>
      <c r="D88" s="61">
        <f t="shared" si="12"/>
        <v>0</v>
      </c>
      <c r="E88" s="61">
        <f t="shared" si="12"/>
        <v>0</v>
      </c>
      <c r="I88" s="17">
        <v>18</v>
      </c>
      <c r="J88" s="76">
        <f>HLOOKUP(J$17,[1]Anx!$C$50:$CO$85,$I88)</f>
        <v>0</v>
      </c>
      <c r="K88" s="76">
        <f>HLOOKUP(K$17,[1]Anx!$C$50:$CO$85,$I88)</f>
        <v>0</v>
      </c>
      <c r="L88" s="76">
        <f>HLOOKUP(L$17,[1]Anx!$C$50:$CO$85,$I88)</f>
        <v>0</v>
      </c>
      <c r="M88" s="76">
        <f>HLOOKUP(M$17,[1]Anx!$C$50:$CO$85,$I88)</f>
        <v>0</v>
      </c>
    </row>
    <row r="89" spans="1:13" x14ac:dyDescent="0.25">
      <c r="A89" t="s">
        <v>362</v>
      </c>
      <c r="B89" s="61">
        <f t="shared" si="13"/>
        <v>0</v>
      </c>
      <c r="C89" s="61">
        <f t="shared" si="12"/>
        <v>0</v>
      </c>
      <c r="D89" s="61">
        <f t="shared" si="12"/>
        <v>0</v>
      </c>
      <c r="E89" s="61">
        <f t="shared" si="12"/>
        <v>0</v>
      </c>
      <c r="I89" s="17">
        <v>19</v>
      </c>
      <c r="J89" s="76">
        <f>HLOOKUP(J$17,[1]Anx!$C$50:$CO$85,$I89)</f>
        <v>0</v>
      </c>
      <c r="K89" s="76">
        <f>HLOOKUP(K$17,[1]Anx!$C$50:$CO$85,$I89)</f>
        <v>0</v>
      </c>
      <c r="L89" s="76">
        <f>HLOOKUP(L$17,[1]Anx!$C$50:$CO$85,$I89)</f>
        <v>0</v>
      </c>
      <c r="M89" s="76">
        <f>HLOOKUP(M$17,[1]Anx!$C$50:$CO$85,$I89)</f>
        <v>0</v>
      </c>
    </row>
    <row r="90" spans="1:13" x14ac:dyDescent="0.25">
      <c r="A90" t="s">
        <v>363</v>
      </c>
      <c r="B90" s="61">
        <f t="shared" si="13"/>
        <v>0</v>
      </c>
      <c r="C90" s="61">
        <f t="shared" si="12"/>
        <v>0</v>
      </c>
      <c r="D90" s="61">
        <f t="shared" si="12"/>
        <v>0</v>
      </c>
      <c r="E90" s="61">
        <f t="shared" si="12"/>
        <v>0</v>
      </c>
      <c r="I90" s="17">
        <v>20</v>
      </c>
      <c r="J90" s="76">
        <f>HLOOKUP(J$17,[1]Anx!$C$50:$CO$85,$I90)</f>
        <v>0</v>
      </c>
      <c r="K90" s="76">
        <f>HLOOKUP(K$17,[1]Anx!$C$50:$CO$85,$I90)</f>
        <v>0</v>
      </c>
      <c r="L90" s="76">
        <f>HLOOKUP(L$17,[1]Anx!$C$50:$CO$85,$I90)</f>
        <v>0</v>
      </c>
      <c r="M90" s="76">
        <f>HLOOKUP(M$17,[1]Anx!$C$50:$CO$85,$I90)</f>
        <v>0</v>
      </c>
    </row>
    <row r="91" spans="1:13" x14ac:dyDescent="0.25">
      <c r="A91" t="s">
        <v>364</v>
      </c>
      <c r="B91" s="61">
        <f t="shared" si="13"/>
        <v>0</v>
      </c>
      <c r="C91" s="61">
        <f t="shared" si="12"/>
        <v>0</v>
      </c>
      <c r="D91" s="61">
        <f t="shared" si="12"/>
        <v>0</v>
      </c>
      <c r="E91" s="61">
        <f t="shared" si="12"/>
        <v>0</v>
      </c>
      <c r="I91" s="17">
        <v>21</v>
      </c>
      <c r="J91" s="76">
        <f>HLOOKUP(J$17,[1]Anx!$C$50:$CO$85,$I91)</f>
        <v>0</v>
      </c>
      <c r="K91" s="76">
        <f>HLOOKUP(K$17,[1]Anx!$C$50:$CO$85,$I91)</f>
        <v>0</v>
      </c>
      <c r="L91" s="76">
        <f>HLOOKUP(L$17,[1]Anx!$C$50:$CO$85,$I91)</f>
        <v>0</v>
      </c>
      <c r="M91" s="76">
        <f>HLOOKUP(M$17,[1]Anx!$C$50:$CO$85,$I91)</f>
        <v>0</v>
      </c>
    </row>
    <row r="92" spans="1:13" x14ac:dyDescent="0.25">
      <c r="A92" t="s">
        <v>365</v>
      </c>
      <c r="B92" s="61">
        <f>B$26*J92</f>
        <v>440</v>
      </c>
      <c r="C92" s="61">
        <f t="shared" ref="C92:E92" si="14">C$26*K92</f>
        <v>0</v>
      </c>
      <c r="D92" s="61">
        <f t="shared" si="14"/>
        <v>0</v>
      </c>
      <c r="E92" s="61">
        <f t="shared" si="14"/>
        <v>0</v>
      </c>
      <c r="I92" s="17">
        <v>22</v>
      </c>
      <c r="J92" s="76">
        <f>HLOOKUP(J$17,[1]Anx!$C$50:$CO$85,$I92)</f>
        <v>220</v>
      </c>
      <c r="K92" s="76">
        <f>HLOOKUP(K$17,[1]Anx!$C$50:$CO$85,$I92)</f>
        <v>0</v>
      </c>
      <c r="L92" s="76">
        <f>HLOOKUP(L$17,[1]Anx!$C$50:$CO$85,$I92)</f>
        <v>0</v>
      </c>
      <c r="M92" s="76">
        <f>HLOOKUP(M$17,[1]Anx!$C$50:$CO$85,$I92)</f>
        <v>0</v>
      </c>
    </row>
    <row r="93" spans="1:13" x14ac:dyDescent="0.25">
      <c r="A93" t="s">
        <v>366</v>
      </c>
      <c r="B93" s="61">
        <f>B$26*J93</f>
        <v>110</v>
      </c>
      <c r="C93" s="61">
        <f t="shared" ref="C93:E96" si="15">C$26*K93</f>
        <v>0</v>
      </c>
      <c r="D93" s="61">
        <f t="shared" si="15"/>
        <v>0</v>
      </c>
      <c r="E93" s="61">
        <f t="shared" si="15"/>
        <v>0</v>
      </c>
      <c r="I93" s="17">
        <v>23</v>
      </c>
      <c r="J93" s="76">
        <f>HLOOKUP(J$17,[1]Anx!$C$50:$CO$85,$I93)</f>
        <v>55</v>
      </c>
      <c r="K93" s="76">
        <f>HLOOKUP(K$17,[1]Anx!$C$50:$CO$85,$I93)</f>
        <v>0</v>
      </c>
      <c r="L93" s="76">
        <f>HLOOKUP(L$17,[1]Anx!$C$50:$CO$85,$I93)</f>
        <v>0</v>
      </c>
      <c r="M93" s="76">
        <f>HLOOKUP(M$17,[1]Anx!$C$50:$CO$85,$I93)</f>
        <v>0</v>
      </c>
    </row>
    <row r="94" spans="1:13" x14ac:dyDescent="0.25">
      <c r="A94" t="s">
        <v>367</v>
      </c>
      <c r="B94" s="61">
        <f t="shared" ref="B94:B96" si="16">B$26*J94</f>
        <v>0</v>
      </c>
      <c r="C94" s="61">
        <f t="shared" si="15"/>
        <v>0</v>
      </c>
      <c r="D94" s="61">
        <f t="shared" si="15"/>
        <v>0</v>
      </c>
      <c r="E94" s="61">
        <f t="shared" si="15"/>
        <v>0</v>
      </c>
      <c r="I94" s="17">
        <v>24</v>
      </c>
      <c r="J94" s="76">
        <f>HLOOKUP(J$17,[1]Anx!$C$50:$CO$85,$I94)</f>
        <v>0</v>
      </c>
      <c r="K94" s="76">
        <f>HLOOKUP(K$17,[1]Anx!$C$50:$CO$85,$I94)</f>
        <v>0</v>
      </c>
      <c r="L94" s="76">
        <f>HLOOKUP(L$17,[1]Anx!$C$50:$CO$85,$I94)</f>
        <v>0</v>
      </c>
      <c r="M94" s="76">
        <f>HLOOKUP(M$17,[1]Anx!$C$50:$CO$85,$I94)</f>
        <v>0</v>
      </c>
    </row>
    <row r="95" spans="1:13" x14ac:dyDescent="0.25">
      <c r="A95" t="s">
        <v>368</v>
      </c>
      <c r="B95" s="61">
        <f t="shared" si="16"/>
        <v>0</v>
      </c>
      <c r="C95" s="61">
        <f t="shared" si="15"/>
        <v>0</v>
      </c>
      <c r="D95" s="61">
        <f t="shared" si="15"/>
        <v>0</v>
      </c>
      <c r="E95" s="61">
        <f t="shared" si="15"/>
        <v>0</v>
      </c>
      <c r="I95" s="17">
        <v>25</v>
      </c>
      <c r="J95" s="76">
        <f>HLOOKUP(J$17,[1]Anx!$C$50:$CO$85,$I95)</f>
        <v>0</v>
      </c>
      <c r="K95" s="76">
        <f>HLOOKUP(K$17,[1]Anx!$C$50:$CO$85,$I95)</f>
        <v>0</v>
      </c>
      <c r="L95" s="76">
        <f>HLOOKUP(L$17,[1]Anx!$C$50:$CO$85,$I95)</f>
        <v>0</v>
      </c>
      <c r="M95" s="76">
        <f>HLOOKUP(M$17,[1]Anx!$C$50:$CO$85,$I95)</f>
        <v>0</v>
      </c>
    </row>
    <row r="96" spans="1:13" x14ac:dyDescent="0.25">
      <c r="A96" t="s">
        <v>369</v>
      </c>
      <c r="B96" s="61">
        <f t="shared" si="16"/>
        <v>0</v>
      </c>
      <c r="C96" s="61">
        <f t="shared" si="15"/>
        <v>0</v>
      </c>
      <c r="D96" s="61">
        <f t="shared" si="15"/>
        <v>0</v>
      </c>
      <c r="E96" s="61">
        <f t="shared" si="15"/>
        <v>0</v>
      </c>
      <c r="I96" s="17">
        <v>26</v>
      </c>
      <c r="J96" s="76">
        <f>HLOOKUP(J$17,[1]Anx!$C$50:$CO$85,$I96)</f>
        <v>0</v>
      </c>
      <c r="K96" s="76">
        <f>HLOOKUP(K$17,[1]Anx!$C$50:$CO$85,$I96)</f>
        <v>0</v>
      </c>
      <c r="L96" s="76">
        <f>HLOOKUP(L$17,[1]Anx!$C$50:$CO$85,$I96)</f>
        <v>0</v>
      </c>
      <c r="M96" s="76">
        <f>HLOOKUP(M$17,[1]Anx!$C$50:$CO$85,$I96)</f>
        <v>0</v>
      </c>
    </row>
    <row r="97" spans="1:13" x14ac:dyDescent="0.25">
      <c r="A97" t="s">
        <v>233</v>
      </c>
      <c r="B97" s="61">
        <f>B$30*J97</f>
        <v>0</v>
      </c>
      <c r="C97" s="61">
        <f t="shared" ref="C97:E101" si="17">C$30*K97</f>
        <v>0</v>
      </c>
      <c r="D97" s="61">
        <f t="shared" si="17"/>
        <v>0</v>
      </c>
      <c r="E97" s="61">
        <f t="shared" si="17"/>
        <v>0</v>
      </c>
      <c r="I97" s="17">
        <v>27</v>
      </c>
      <c r="J97" s="76">
        <f>HLOOKUP(J$17,[1]Anx!$C$50:$CO$85,$I97)</f>
        <v>0</v>
      </c>
      <c r="K97" s="76">
        <f>HLOOKUP(K$17,[1]Anx!$C$50:$CO$85,$I97)</f>
        <v>0</v>
      </c>
      <c r="L97" s="76">
        <f>HLOOKUP(L$17,[1]Anx!$C$50:$CO$85,$I97)</f>
        <v>0</v>
      </c>
      <c r="M97" s="76">
        <f>HLOOKUP(M$17,[1]Anx!$C$50:$CO$85,$I97)</f>
        <v>0</v>
      </c>
    </row>
    <row r="98" spans="1:13" x14ac:dyDescent="0.25">
      <c r="A98" t="s">
        <v>234</v>
      </c>
      <c r="B98" s="61">
        <f t="shared" ref="B98:B101" si="18">B$30*J98</f>
        <v>0</v>
      </c>
      <c r="C98" s="61">
        <f t="shared" si="17"/>
        <v>0</v>
      </c>
      <c r="D98" s="61">
        <f t="shared" si="17"/>
        <v>0</v>
      </c>
      <c r="E98" s="61">
        <f t="shared" si="17"/>
        <v>0</v>
      </c>
      <c r="I98" s="17">
        <v>28</v>
      </c>
      <c r="J98" s="76">
        <f>HLOOKUP(J$17,[1]Anx!$C$50:$CO$85,$I98)</f>
        <v>0</v>
      </c>
      <c r="K98" s="76">
        <f>HLOOKUP(K$17,[1]Anx!$C$50:$CO$85,$I98)</f>
        <v>0</v>
      </c>
      <c r="L98" s="76">
        <f>HLOOKUP(L$17,[1]Anx!$C$50:$CO$85,$I98)</f>
        <v>0</v>
      </c>
      <c r="M98" s="76">
        <f>HLOOKUP(M$17,[1]Anx!$C$50:$CO$85,$I98)</f>
        <v>0</v>
      </c>
    </row>
    <row r="99" spans="1:13" x14ac:dyDescent="0.25">
      <c r="A99" t="s">
        <v>370</v>
      </c>
      <c r="B99" s="61">
        <f t="shared" si="18"/>
        <v>0</v>
      </c>
      <c r="C99" s="61">
        <f t="shared" si="17"/>
        <v>0</v>
      </c>
      <c r="D99" s="61">
        <f t="shared" si="17"/>
        <v>0</v>
      </c>
      <c r="E99" s="61">
        <f t="shared" si="17"/>
        <v>0</v>
      </c>
      <c r="I99" s="17">
        <v>29</v>
      </c>
      <c r="J99" s="76">
        <f>HLOOKUP(J$17,[1]Anx!$C$50:$CO$85,$I99)</f>
        <v>0</v>
      </c>
      <c r="K99" s="76">
        <f>HLOOKUP(K$17,[1]Anx!$C$50:$CO$85,$I99)</f>
        <v>0</v>
      </c>
      <c r="L99" s="76">
        <f>HLOOKUP(L$17,[1]Anx!$C$50:$CO$85,$I99)</f>
        <v>0</v>
      </c>
      <c r="M99" s="76">
        <f>HLOOKUP(M$17,[1]Anx!$C$50:$CO$85,$I99)</f>
        <v>0</v>
      </c>
    </row>
    <row r="100" spans="1:13" x14ac:dyDescent="0.25">
      <c r="A100" t="s">
        <v>371</v>
      </c>
      <c r="B100" s="61">
        <f t="shared" si="18"/>
        <v>0</v>
      </c>
      <c r="C100" s="61">
        <f t="shared" si="17"/>
        <v>0</v>
      </c>
      <c r="D100" s="61">
        <f t="shared" si="17"/>
        <v>0</v>
      </c>
      <c r="E100" s="61">
        <f t="shared" si="17"/>
        <v>0</v>
      </c>
      <c r="I100" s="17">
        <v>30</v>
      </c>
      <c r="J100" s="76">
        <f>HLOOKUP(J$17,[1]Anx!$C$50:$CO$85,$I100)</f>
        <v>0</v>
      </c>
      <c r="K100" s="76">
        <f>HLOOKUP(K$17,[1]Anx!$C$50:$CO$85,$I100)</f>
        <v>0</v>
      </c>
      <c r="L100" s="76">
        <f>HLOOKUP(L$17,[1]Anx!$C$50:$CO$85,$I100)</f>
        <v>0</v>
      </c>
      <c r="M100" s="76">
        <f>HLOOKUP(M$17,[1]Anx!$C$50:$CO$85,$I100)</f>
        <v>0</v>
      </c>
    </row>
    <row r="101" spans="1:13" x14ac:dyDescent="0.25">
      <c r="A101" t="s">
        <v>372</v>
      </c>
      <c r="B101" s="61">
        <f t="shared" si="18"/>
        <v>0</v>
      </c>
      <c r="C101" s="61">
        <f t="shared" si="17"/>
        <v>0</v>
      </c>
      <c r="D101" s="61">
        <f t="shared" si="17"/>
        <v>0</v>
      </c>
      <c r="E101" s="61">
        <f t="shared" si="17"/>
        <v>0</v>
      </c>
      <c r="I101" s="17">
        <v>31</v>
      </c>
      <c r="J101" s="76">
        <f>HLOOKUP(J$17,[1]Anx!$C$50:$CO$85,$I101)</f>
        <v>0</v>
      </c>
      <c r="K101" s="76">
        <f>HLOOKUP(K$17,[1]Anx!$C$50:$CO$85,$I101)</f>
        <v>0</v>
      </c>
      <c r="L101" s="76">
        <f>HLOOKUP(L$17,[1]Anx!$C$50:$CO$85,$I101)</f>
        <v>0</v>
      </c>
      <c r="M101" s="76">
        <f>HLOOKUP(M$17,[1]Anx!$C$50:$CO$85,$I101)</f>
        <v>0</v>
      </c>
    </row>
    <row r="102" spans="1:13" x14ac:dyDescent="0.25">
      <c r="A102" t="s">
        <v>235</v>
      </c>
      <c r="B102" s="61">
        <f>B$27*J102</f>
        <v>0</v>
      </c>
      <c r="C102" s="61">
        <f t="shared" ref="C102:E106" si="19">C$27*K102</f>
        <v>0</v>
      </c>
      <c r="D102" s="61">
        <f t="shared" si="19"/>
        <v>0</v>
      </c>
      <c r="E102" s="61">
        <f t="shared" si="19"/>
        <v>0</v>
      </c>
      <c r="I102" s="17">
        <v>32</v>
      </c>
      <c r="J102" s="76">
        <f>HLOOKUP(J$17,[1]Anx!$C$50:$CO$85,$I102)</f>
        <v>0</v>
      </c>
      <c r="K102" s="76">
        <f>HLOOKUP(K$17,[1]Anx!$C$50:$CO$85,$I102)</f>
        <v>0</v>
      </c>
      <c r="L102" s="76">
        <f>HLOOKUP(L$17,[1]Anx!$C$50:$CO$85,$I102)</f>
        <v>0</v>
      </c>
      <c r="M102" s="76">
        <f>HLOOKUP(M$17,[1]Anx!$C$50:$CO$85,$I102)</f>
        <v>0</v>
      </c>
    </row>
    <row r="103" spans="1:13" x14ac:dyDescent="0.25">
      <c r="A103" t="s">
        <v>236</v>
      </c>
      <c r="B103" s="61">
        <f t="shared" ref="B103:B106" si="20">B$27*J103</f>
        <v>0</v>
      </c>
      <c r="C103" s="61">
        <f t="shared" si="19"/>
        <v>0</v>
      </c>
      <c r="D103" s="61">
        <f t="shared" si="19"/>
        <v>0</v>
      </c>
      <c r="E103" s="61">
        <f t="shared" si="19"/>
        <v>0</v>
      </c>
      <c r="I103" s="17">
        <v>33</v>
      </c>
      <c r="J103" s="76">
        <f>HLOOKUP(J$17,[1]Anx!$C$50:$CO$85,$I103)</f>
        <v>0</v>
      </c>
      <c r="K103" s="76">
        <f>HLOOKUP(K$17,[1]Anx!$C$50:$CO$85,$I103)</f>
        <v>0</v>
      </c>
      <c r="L103" s="76">
        <f>HLOOKUP(L$17,[1]Anx!$C$50:$CO$85,$I103)</f>
        <v>0</v>
      </c>
      <c r="M103" s="76">
        <f>HLOOKUP(M$17,[1]Anx!$C$50:$CO$85,$I103)</f>
        <v>0</v>
      </c>
    </row>
    <row r="104" spans="1:13" x14ac:dyDescent="0.25">
      <c r="A104" t="s">
        <v>373</v>
      </c>
      <c r="B104" s="61">
        <f t="shared" si="20"/>
        <v>0</v>
      </c>
      <c r="C104" s="61">
        <f t="shared" si="19"/>
        <v>0</v>
      </c>
      <c r="D104" s="61">
        <f t="shared" si="19"/>
        <v>0</v>
      </c>
      <c r="E104" s="61">
        <f t="shared" si="19"/>
        <v>0</v>
      </c>
      <c r="I104" s="17">
        <v>34</v>
      </c>
      <c r="J104" s="76">
        <f>HLOOKUP(J$17,[1]Anx!$C$50:$CO$85,$I104)</f>
        <v>0</v>
      </c>
      <c r="K104" s="76">
        <f>HLOOKUP(K$17,[1]Anx!$C$50:$CO$85,$I104)</f>
        <v>0</v>
      </c>
      <c r="L104" s="76">
        <f>HLOOKUP(L$17,[1]Anx!$C$50:$CO$85,$I104)</f>
        <v>0</v>
      </c>
      <c r="M104" s="76">
        <f>HLOOKUP(M$17,[1]Anx!$C$50:$CO$85,$I104)</f>
        <v>0</v>
      </c>
    </row>
    <row r="105" spans="1:13" x14ac:dyDescent="0.25">
      <c r="A105" t="s">
        <v>374</v>
      </c>
      <c r="B105" s="61">
        <f t="shared" si="20"/>
        <v>0</v>
      </c>
      <c r="C105" s="61">
        <f t="shared" si="19"/>
        <v>0</v>
      </c>
      <c r="D105" s="61">
        <f t="shared" si="19"/>
        <v>0</v>
      </c>
      <c r="E105" s="61">
        <f t="shared" si="19"/>
        <v>0</v>
      </c>
      <c r="I105" s="17">
        <v>35</v>
      </c>
      <c r="J105" s="76">
        <f>HLOOKUP(J$17,[1]Anx!$C$50:$CO$85,$I105)</f>
        <v>0</v>
      </c>
      <c r="K105" s="76">
        <f>HLOOKUP(K$17,[1]Anx!$C$50:$CO$85,$I105)</f>
        <v>0</v>
      </c>
      <c r="L105" s="76">
        <f>HLOOKUP(L$17,[1]Anx!$C$50:$CO$85,$I105)</f>
        <v>0</v>
      </c>
      <c r="M105" s="76">
        <f>HLOOKUP(M$17,[1]Anx!$C$50:$CO$85,$I105)</f>
        <v>0</v>
      </c>
    </row>
    <row r="106" spans="1:13" x14ac:dyDescent="0.25">
      <c r="A106" t="s">
        <v>375</v>
      </c>
      <c r="B106" s="61">
        <f t="shared" si="20"/>
        <v>0</v>
      </c>
      <c r="C106" s="61">
        <f t="shared" si="19"/>
        <v>0</v>
      </c>
      <c r="D106" s="61">
        <f t="shared" si="19"/>
        <v>0</v>
      </c>
      <c r="E106" s="61">
        <f t="shared" si="19"/>
        <v>0</v>
      </c>
      <c r="I106" s="17">
        <v>36</v>
      </c>
      <c r="J106" s="76">
        <f>HLOOKUP(J$17,[1]Anx!$C$50:$CO$85,$I106)</f>
        <v>0</v>
      </c>
      <c r="K106" s="76">
        <f>HLOOKUP(K$17,[1]Anx!$C$50:$CO$85,$I106)</f>
        <v>0</v>
      </c>
      <c r="L106" s="76">
        <f>HLOOKUP(L$17,[1]Anx!$C$50:$CO$85,$I106)</f>
        <v>0</v>
      </c>
      <c r="M106" s="76">
        <f>HLOOKUP(M$17,[1]Anx!$C$50:$CO$85,$I106)</f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221"/>
  <sheetViews>
    <sheetView workbookViewId="0">
      <pane ySplit="1" topLeftCell="A99" activePane="bottomLeft" state="frozen"/>
      <selection pane="bottomLeft" activeCell="B125" sqref="B125:Y125"/>
    </sheetView>
  </sheetViews>
  <sheetFormatPr baseColWidth="10" defaultRowHeight="15" x14ac:dyDescent="0.25"/>
  <cols>
    <col min="1" max="1" width="25.7109375" customWidth="1"/>
    <col min="2" max="2" width="5.5703125" style="49" customWidth="1"/>
    <col min="3" max="25" width="4.85546875" style="49" customWidth="1"/>
    <col min="26" max="26" width="2.5703125" style="5" customWidth="1"/>
    <col min="27" max="27" width="9.28515625" customWidth="1"/>
    <col min="28" max="28" width="9" customWidth="1"/>
    <col min="29" max="29" width="35.85546875" bestFit="1" customWidth="1"/>
    <col min="30" max="30" width="4.5703125" customWidth="1"/>
    <col min="31" max="31" width="3" style="17" customWidth="1"/>
    <col min="33" max="33" width="25" customWidth="1"/>
    <col min="34" max="34" width="6.28515625" customWidth="1"/>
    <col min="36" max="36" width="8.42578125" customWidth="1"/>
    <col min="37" max="83" width="4.85546875" customWidth="1"/>
  </cols>
  <sheetData>
    <row r="1" spans="1:61" x14ac:dyDescent="0.25">
      <c r="A1" t="s">
        <v>428</v>
      </c>
      <c r="B1" s="305" t="s">
        <v>2</v>
      </c>
      <c r="C1" s="305"/>
      <c r="D1" s="305" t="s">
        <v>0</v>
      </c>
      <c r="E1" s="305"/>
      <c r="F1" s="305" t="s">
        <v>1</v>
      </c>
      <c r="G1" s="305"/>
      <c r="H1" s="305" t="s">
        <v>3</v>
      </c>
      <c r="I1" s="305"/>
      <c r="J1" s="305" t="s">
        <v>4</v>
      </c>
      <c r="K1" s="305"/>
      <c r="L1" s="305" t="s">
        <v>5</v>
      </c>
      <c r="M1" s="305"/>
      <c r="N1" s="305" t="s">
        <v>6</v>
      </c>
      <c r="O1" s="305"/>
      <c r="P1" s="305" t="s">
        <v>7</v>
      </c>
      <c r="Q1" s="305"/>
      <c r="R1" s="305" t="s">
        <v>8</v>
      </c>
      <c r="S1" s="305"/>
      <c r="T1" s="305" t="s">
        <v>9</v>
      </c>
      <c r="U1" s="305"/>
      <c r="V1" s="305" t="s">
        <v>10</v>
      </c>
      <c r="W1" s="305"/>
      <c r="X1" s="305" t="s">
        <v>11</v>
      </c>
      <c r="Y1" s="305"/>
      <c r="Z1" s="21"/>
      <c r="AA1" t="s">
        <v>177</v>
      </c>
      <c r="AK1" t="s">
        <v>1388</v>
      </c>
    </row>
    <row r="2" spans="1:61" x14ac:dyDescent="0.25">
      <c r="B2" s="49">
        <v>1</v>
      </c>
      <c r="C2" s="49">
        <v>2</v>
      </c>
      <c r="D2" s="49">
        <v>3</v>
      </c>
      <c r="E2" s="49">
        <v>4</v>
      </c>
      <c r="F2" s="49">
        <v>5</v>
      </c>
      <c r="G2" s="49">
        <v>6</v>
      </c>
      <c r="H2" s="49">
        <v>7</v>
      </c>
      <c r="I2" s="49">
        <v>8</v>
      </c>
      <c r="J2" s="49">
        <v>9</v>
      </c>
      <c r="K2" s="49">
        <v>10</v>
      </c>
      <c r="L2" s="49">
        <v>11</v>
      </c>
      <c r="M2" s="49">
        <v>12</v>
      </c>
      <c r="N2" s="49">
        <v>13</v>
      </c>
      <c r="O2" s="49">
        <v>14</v>
      </c>
      <c r="P2" s="49">
        <v>15</v>
      </c>
      <c r="Q2" s="49">
        <v>16</v>
      </c>
      <c r="R2" s="49">
        <v>17</v>
      </c>
      <c r="S2" s="49">
        <v>18</v>
      </c>
      <c r="T2" s="49">
        <v>19</v>
      </c>
      <c r="U2" s="49">
        <v>20</v>
      </c>
      <c r="V2" s="49">
        <v>21</v>
      </c>
      <c r="W2" s="49">
        <v>22</v>
      </c>
      <c r="X2" s="49">
        <v>23</v>
      </c>
      <c r="Y2" s="49">
        <v>24</v>
      </c>
      <c r="AH2" s="14" t="s">
        <v>1389</v>
      </c>
      <c r="AI2" s="1">
        <v>50</v>
      </c>
      <c r="AK2" s="50" t="s">
        <v>227</v>
      </c>
      <c r="AL2" s="60">
        <v>41</v>
      </c>
      <c r="AM2" s="60">
        <v>41</v>
      </c>
      <c r="AN2" s="60">
        <v>41</v>
      </c>
      <c r="AO2" s="60">
        <v>41</v>
      </c>
      <c r="AP2" s="60">
        <v>41</v>
      </c>
      <c r="AQ2" s="60">
        <v>41</v>
      </c>
      <c r="AR2" s="60">
        <v>41</v>
      </c>
      <c r="AS2" s="60">
        <v>41</v>
      </c>
      <c r="AT2" s="60">
        <v>41</v>
      </c>
      <c r="AU2" s="60">
        <v>41</v>
      </c>
      <c r="AV2" s="60">
        <v>41</v>
      </c>
      <c r="AW2" s="60">
        <v>41</v>
      </c>
      <c r="AX2" s="60">
        <v>41</v>
      </c>
      <c r="AY2" s="60">
        <v>41</v>
      </c>
      <c r="AZ2" s="60">
        <v>41</v>
      </c>
      <c r="BA2" s="60">
        <v>39</v>
      </c>
      <c r="BB2" s="60">
        <v>37</v>
      </c>
      <c r="BC2" s="60">
        <v>35</v>
      </c>
      <c r="BD2" s="60">
        <v>36</v>
      </c>
      <c r="BE2" s="60">
        <v>37</v>
      </c>
      <c r="BF2" s="60">
        <v>38</v>
      </c>
      <c r="BG2" s="60">
        <v>41</v>
      </c>
      <c r="BH2" s="60">
        <v>41</v>
      </c>
      <c r="BI2" s="60">
        <v>41</v>
      </c>
    </row>
    <row r="3" spans="1:61" x14ac:dyDescent="0.25">
      <c r="A3" t="s">
        <v>176</v>
      </c>
      <c r="B3" s="49">
        <v>15.5</v>
      </c>
      <c r="C3" s="49">
        <v>15.5</v>
      </c>
      <c r="D3" s="49">
        <v>14</v>
      </c>
      <c r="E3" s="49">
        <v>14</v>
      </c>
      <c r="F3" s="49">
        <v>15.5</v>
      </c>
      <c r="G3" s="49">
        <v>15.5</v>
      </c>
      <c r="H3" s="49">
        <v>15</v>
      </c>
      <c r="I3" s="49">
        <v>15</v>
      </c>
      <c r="J3" s="49">
        <v>15.5</v>
      </c>
      <c r="K3" s="49">
        <v>15.5</v>
      </c>
      <c r="L3" s="49">
        <v>15</v>
      </c>
      <c r="M3" s="49">
        <v>15</v>
      </c>
      <c r="N3" s="49">
        <v>15.5</v>
      </c>
      <c r="O3" s="49">
        <v>15.5</v>
      </c>
      <c r="P3" s="49">
        <v>15.5</v>
      </c>
      <c r="Q3" s="49">
        <v>15.5</v>
      </c>
      <c r="R3" s="49">
        <v>15</v>
      </c>
      <c r="S3" s="49">
        <v>15</v>
      </c>
      <c r="T3" s="49">
        <v>15.5</v>
      </c>
      <c r="U3" s="49">
        <v>15.5</v>
      </c>
      <c r="V3" s="49">
        <v>15</v>
      </c>
      <c r="W3" s="49">
        <v>15</v>
      </c>
      <c r="X3" s="49">
        <v>15.5</v>
      </c>
      <c r="Y3" s="49">
        <v>15.5</v>
      </c>
      <c r="AA3">
        <f>SUM(B3:Y3)</f>
        <v>365</v>
      </c>
      <c r="AB3" t="s">
        <v>35</v>
      </c>
      <c r="AC3" s="2" t="s">
        <v>181</v>
      </c>
      <c r="AK3" s="50" t="s">
        <v>156</v>
      </c>
      <c r="AL3" s="60">
        <v>12</v>
      </c>
      <c r="AM3" s="60">
        <v>12</v>
      </c>
      <c r="AN3" s="60">
        <v>12</v>
      </c>
      <c r="AO3" s="60">
        <v>12</v>
      </c>
      <c r="AP3" s="60">
        <v>12</v>
      </c>
      <c r="AQ3" s="60">
        <v>12</v>
      </c>
      <c r="AR3" s="60">
        <v>12</v>
      </c>
      <c r="AS3" s="60">
        <v>12</v>
      </c>
      <c r="AT3" s="60">
        <v>12</v>
      </c>
      <c r="AU3" s="60">
        <v>12</v>
      </c>
      <c r="AV3" s="60">
        <v>12</v>
      </c>
      <c r="AW3" s="60">
        <v>12</v>
      </c>
      <c r="AX3" s="60">
        <v>12</v>
      </c>
      <c r="AY3" s="60">
        <v>12</v>
      </c>
      <c r="AZ3" s="60">
        <v>12</v>
      </c>
      <c r="BA3" s="60">
        <v>12</v>
      </c>
      <c r="BB3" s="60">
        <v>12</v>
      </c>
      <c r="BC3" s="60">
        <v>12</v>
      </c>
      <c r="BD3" s="60">
        <v>12</v>
      </c>
      <c r="BE3" s="60">
        <v>12</v>
      </c>
      <c r="BF3" s="60">
        <v>12</v>
      </c>
      <c r="BG3" s="60">
        <v>12</v>
      </c>
      <c r="BH3" s="60">
        <v>12</v>
      </c>
      <c r="BI3" s="60">
        <v>12</v>
      </c>
    </row>
    <row r="4" spans="1:61" x14ac:dyDescent="0.25">
      <c r="A4" s="2" t="s">
        <v>327</v>
      </c>
      <c r="AC4" t="s">
        <v>182</v>
      </c>
      <c r="AF4" s="45">
        <f>+Troupeau!J17</f>
        <v>11</v>
      </c>
      <c r="AK4" s="50" t="s">
        <v>157</v>
      </c>
      <c r="AL4" s="60">
        <v>12</v>
      </c>
      <c r="AM4" s="60">
        <v>12</v>
      </c>
      <c r="AN4" s="60">
        <v>14</v>
      </c>
      <c r="AO4" s="60">
        <v>15</v>
      </c>
      <c r="AP4" s="60">
        <v>17</v>
      </c>
      <c r="AQ4" s="60">
        <v>20</v>
      </c>
      <c r="AR4" s="60">
        <v>21</v>
      </c>
      <c r="AS4" s="60">
        <v>23</v>
      </c>
      <c r="AT4" s="60">
        <v>24</v>
      </c>
      <c r="AU4" s="60">
        <v>24</v>
      </c>
      <c r="AV4" s="60">
        <v>24</v>
      </c>
      <c r="AW4" s="60">
        <v>24</v>
      </c>
      <c r="AX4" s="60">
        <v>24</v>
      </c>
      <c r="AY4" s="60">
        <v>24</v>
      </c>
      <c r="AZ4" s="60">
        <v>24</v>
      </c>
      <c r="BA4" s="60">
        <v>24</v>
      </c>
      <c r="BB4" s="60">
        <v>24</v>
      </c>
      <c r="BC4" s="60">
        <v>24</v>
      </c>
      <c r="BD4" s="60">
        <v>21</v>
      </c>
      <c r="BE4" s="60">
        <v>18</v>
      </c>
      <c r="BF4" s="60">
        <v>15</v>
      </c>
      <c r="BG4" s="60">
        <v>12</v>
      </c>
      <c r="BH4" s="60">
        <v>12</v>
      </c>
      <c r="BI4" s="60">
        <v>12</v>
      </c>
    </row>
    <row r="5" spans="1:61" x14ac:dyDescent="0.25">
      <c r="A5" s="51" t="s">
        <v>328</v>
      </c>
      <c r="B5" s="60">
        <v>1</v>
      </c>
      <c r="C5" s="60">
        <v>1</v>
      </c>
      <c r="D5" s="60">
        <v>1</v>
      </c>
      <c r="E5" s="60">
        <v>1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>
        <v>1</v>
      </c>
      <c r="W5" s="60">
        <v>1</v>
      </c>
      <c r="X5" s="60">
        <v>1</v>
      </c>
      <c r="Y5" s="60">
        <v>1</v>
      </c>
      <c r="Z5" s="52"/>
      <c r="AC5" t="s">
        <v>183</v>
      </c>
      <c r="AE5" s="17">
        <v>2</v>
      </c>
      <c r="AF5" s="125">
        <f>HLOOKUP(AF$4,[1]Anx!$C$36:$CO$48,AE5)</f>
        <v>8.2352941176470598</v>
      </c>
      <c r="AG5" s="5"/>
      <c r="AK5" s="50" t="s">
        <v>158</v>
      </c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</row>
    <row r="6" spans="1:61" x14ac:dyDescent="0.25">
      <c r="A6" s="51" t="s">
        <v>329</v>
      </c>
      <c r="B6" s="60">
        <v>1</v>
      </c>
      <c r="C6" s="60">
        <v>1</v>
      </c>
      <c r="D6" s="60">
        <v>1</v>
      </c>
      <c r="E6" s="60">
        <v>1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52"/>
      <c r="AC6" t="s">
        <v>198</v>
      </c>
      <c r="AD6">
        <v>1</v>
      </c>
      <c r="AE6" s="17">
        <v>3</v>
      </c>
      <c r="AF6" s="125">
        <f>HLOOKUP(AF$4,[1]Anx!$C$36:$CO$48,AE6)</f>
        <v>12.25</v>
      </c>
      <c r="AG6" t="s">
        <v>193</v>
      </c>
      <c r="AK6" s="50" t="s">
        <v>159</v>
      </c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</row>
    <row r="7" spans="1:61" x14ac:dyDescent="0.25">
      <c r="A7" s="137" t="s">
        <v>331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>
        <v>1</v>
      </c>
      <c r="S7" s="60">
        <v>1</v>
      </c>
      <c r="T7" s="60">
        <v>1</v>
      </c>
      <c r="U7" s="60">
        <v>1</v>
      </c>
      <c r="V7" s="60">
        <v>1</v>
      </c>
      <c r="W7" s="60">
        <v>1</v>
      </c>
      <c r="X7" s="60">
        <v>1</v>
      </c>
      <c r="Y7" s="60">
        <v>1</v>
      </c>
      <c r="Z7" s="52"/>
      <c r="AC7" t="s">
        <v>199</v>
      </c>
      <c r="AD7">
        <v>2</v>
      </c>
      <c r="AE7" s="17">
        <v>4</v>
      </c>
      <c r="AF7" s="125">
        <f>HLOOKUP(AF$4,[1]Anx!$C$36:$CO$48,AE7)</f>
        <v>14</v>
      </c>
      <c r="AG7" t="s">
        <v>194</v>
      </c>
      <c r="AK7" s="50" t="s">
        <v>160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</row>
    <row r="8" spans="1:61" x14ac:dyDescent="0.25">
      <c r="A8" s="51" t="s">
        <v>330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52"/>
      <c r="AC8" t="s">
        <v>200</v>
      </c>
      <c r="AD8">
        <v>3</v>
      </c>
      <c r="AE8" s="17">
        <v>5</v>
      </c>
      <c r="AF8" s="125">
        <f>HLOOKUP(AF$4,[1]Anx!$C$36:$CO$48,AE8)</f>
        <v>11</v>
      </c>
      <c r="AG8" t="s">
        <v>195</v>
      </c>
      <c r="AK8" s="50" t="s">
        <v>161</v>
      </c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</row>
    <row r="9" spans="1:61" x14ac:dyDescent="0.25">
      <c r="A9" s="51" t="s">
        <v>435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>
        <v>1</v>
      </c>
      <c r="R9" s="60">
        <v>1</v>
      </c>
      <c r="S9" s="60">
        <v>1</v>
      </c>
      <c r="T9" s="60">
        <v>1</v>
      </c>
      <c r="U9" s="60">
        <v>1</v>
      </c>
      <c r="V9" s="60">
        <v>1</v>
      </c>
      <c r="W9" s="60"/>
      <c r="X9" s="60"/>
      <c r="Y9" s="60"/>
      <c r="Z9" s="52"/>
      <c r="AC9" t="s">
        <v>201</v>
      </c>
      <c r="AD9">
        <v>4</v>
      </c>
      <c r="AE9" s="17">
        <v>6</v>
      </c>
      <c r="AF9" s="125">
        <f>HLOOKUP(AF$4,[1]Anx!$C$36:$CO$48,AE9)</f>
        <v>10</v>
      </c>
      <c r="AG9" t="s">
        <v>196</v>
      </c>
      <c r="AK9" s="50" t="s">
        <v>162</v>
      </c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</row>
    <row r="10" spans="1:61" x14ac:dyDescent="0.25">
      <c r="A10" s="51" t="s">
        <v>436</v>
      </c>
      <c r="B10" s="60"/>
      <c r="C10" s="60"/>
      <c r="D10" s="60">
        <v>1</v>
      </c>
      <c r="E10" s="60">
        <v>1</v>
      </c>
      <c r="F10" s="60">
        <v>1</v>
      </c>
      <c r="G10" s="60">
        <v>1</v>
      </c>
      <c r="H10" s="60">
        <v>1</v>
      </c>
      <c r="I10" s="60">
        <v>1</v>
      </c>
      <c r="J10" s="60">
        <v>1</v>
      </c>
      <c r="K10" s="60">
        <v>1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52"/>
      <c r="AC10" t="s">
        <v>202</v>
      </c>
      <c r="AD10">
        <v>5</v>
      </c>
      <c r="AE10" s="17">
        <v>7</v>
      </c>
      <c r="AF10" s="125">
        <f>HLOOKUP(AF$4,[1]Anx!$C$36:$CO$48,AE10)</f>
        <v>13</v>
      </c>
      <c r="AG10" t="s">
        <v>197</v>
      </c>
      <c r="AK10" s="50" t="s">
        <v>163</v>
      </c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</row>
    <row r="11" spans="1:61" x14ac:dyDescent="0.25">
      <c r="A11" s="51" t="s">
        <v>167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52"/>
      <c r="AC11" t="s">
        <v>289</v>
      </c>
      <c r="AE11" s="17">
        <v>10</v>
      </c>
      <c r="AF11" s="125">
        <f>HLOOKUP(AF$4,[1]Anx!$C$36:$CO$48,AE11)</f>
        <v>10</v>
      </c>
      <c r="AK11" s="50" t="s">
        <v>164</v>
      </c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</row>
    <row r="12" spans="1:61" x14ac:dyDescent="0.25">
      <c r="A12" s="51" t="s">
        <v>168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AC12" t="s">
        <v>290</v>
      </c>
      <c r="AE12" s="17">
        <v>11</v>
      </c>
      <c r="AF12" s="125">
        <f>HLOOKUP(AF$4,[1]Anx!$C$36:$CO$48,AE12)</f>
        <v>5</v>
      </c>
    </row>
    <row r="13" spans="1:61" x14ac:dyDescent="0.25">
      <c r="A13" s="2" t="s">
        <v>12</v>
      </c>
      <c r="B13" s="65" t="s">
        <v>174</v>
      </c>
    </row>
    <row r="14" spans="1:61" x14ac:dyDescent="0.25">
      <c r="A14" s="44" t="s">
        <v>173</v>
      </c>
    </row>
    <row r="15" spans="1:61" x14ac:dyDescent="0.25">
      <c r="A15" s="50" t="s">
        <v>437</v>
      </c>
      <c r="B15" s="60">
        <f>AL2*Troupeau!$B$17/CdTrp1!$AI$2</f>
        <v>32.799999999999997</v>
      </c>
      <c r="C15" s="60">
        <f>AM2*Troupeau!$B$17/CdTrp1!$AI$2</f>
        <v>32.799999999999997</v>
      </c>
      <c r="D15" s="60">
        <f>AN2*Troupeau!$B$17/CdTrp1!$AI$2</f>
        <v>32.799999999999997</v>
      </c>
      <c r="E15" s="60">
        <f>AO2*Troupeau!$B$17/CdTrp1!$AI$2</f>
        <v>32.799999999999997</v>
      </c>
      <c r="F15" s="60">
        <f>AP2*Troupeau!$B$17/CdTrp1!$AI$2</f>
        <v>32.799999999999997</v>
      </c>
      <c r="G15" s="60">
        <f>AQ2*Troupeau!$B$17/CdTrp1!$AI$2</f>
        <v>32.799999999999997</v>
      </c>
      <c r="H15" s="60">
        <f>AR2*Troupeau!$B$17/CdTrp1!$AI$2</f>
        <v>32.799999999999997</v>
      </c>
      <c r="I15" s="60">
        <f>AS2*Troupeau!$B$17/CdTrp1!$AI$2</f>
        <v>32.799999999999997</v>
      </c>
      <c r="J15" s="60">
        <f>AT2*Troupeau!$B$17/CdTrp1!$AI$2</f>
        <v>32.799999999999997</v>
      </c>
      <c r="K15" s="60">
        <f>AU2*Troupeau!$B$17/CdTrp1!$AI$2</f>
        <v>32.799999999999997</v>
      </c>
      <c r="L15" s="60">
        <f>AV2*Troupeau!$B$17/CdTrp1!$AI$2</f>
        <v>32.799999999999997</v>
      </c>
      <c r="M15" s="60">
        <f>AW2*Troupeau!$B$17/CdTrp1!$AI$2</f>
        <v>32.799999999999997</v>
      </c>
      <c r="N15" s="60">
        <f>AX2*Troupeau!$B$17/CdTrp1!$AI$2</f>
        <v>32.799999999999997</v>
      </c>
      <c r="O15" s="60">
        <f>AY2*Troupeau!$B$17/CdTrp1!$AI$2</f>
        <v>32.799999999999997</v>
      </c>
      <c r="P15" s="60">
        <f>AZ2*Troupeau!$B$17/CdTrp1!$AI$2</f>
        <v>32.799999999999997</v>
      </c>
      <c r="Q15" s="60">
        <f>BA2*Troupeau!$B$17/CdTrp1!$AI$2</f>
        <v>31.2</v>
      </c>
      <c r="R15" s="60">
        <f>BB2*Troupeau!$B$17/CdTrp1!$AI$2</f>
        <v>29.6</v>
      </c>
      <c r="S15" s="60">
        <f>BC2*Troupeau!$B$17/CdTrp1!$AI$2</f>
        <v>28</v>
      </c>
      <c r="T15" s="60">
        <f>BD2*Troupeau!$B$17/CdTrp1!$AI$2</f>
        <v>28.8</v>
      </c>
      <c r="U15" s="60">
        <f>BE2*Troupeau!$B$17/CdTrp1!$AI$2</f>
        <v>29.6</v>
      </c>
      <c r="V15" s="60">
        <f>BF2*Troupeau!$B$17/CdTrp1!$AI$2</f>
        <v>30.4</v>
      </c>
      <c r="W15" s="60">
        <f>BG2*Troupeau!$B$17/CdTrp1!$AI$2</f>
        <v>32.799999999999997</v>
      </c>
      <c r="X15" s="60">
        <f>BH2*Troupeau!$B$17/CdTrp1!$AI$2</f>
        <v>32.799999999999997</v>
      </c>
      <c r="Y15" s="60">
        <f>BI2*Troupeau!$B$17/CdTrp1!$AI$2</f>
        <v>32.799999999999997</v>
      </c>
      <c r="Z15" s="52"/>
    </row>
    <row r="16" spans="1:61" x14ac:dyDescent="0.25">
      <c r="A16" s="50" t="s">
        <v>438</v>
      </c>
      <c r="B16" s="60">
        <f>AL3*Troupeau!$B$17/CdTrp1!$AI$2</f>
        <v>9.6</v>
      </c>
      <c r="C16" s="60">
        <f>AM3*Troupeau!$B$17/CdTrp1!$AI$2</f>
        <v>9.6</v>
      </c>
      <c r="D16" s="60">
        <f>AN3*Troupeau!$B$17/CdTrp1!$AI$2</f>
        <v>9.6</v>
      </c>
      <c r="E16" s="60">
        <f>AO3*Troupeau!$B$17/CdTrp1!$AI$2</f>
        <v>9.6</v>
      </c>
      <c r="F16" s="60">
        <f>AP3*Troupeau!$B$17/CdTrp1!$AI$2</f>
        <v>9.6</v>
      </c>
      <c r="G16" s="60">
        <f>AQ3*Troupeau!$B$17/CdTrp1!$AI$2</f>
        <v>9.6</v>
      </c>
      <c r="H16" s="60">
        <f>AR3*Troupeau!$B$17/CdTrp1!$AI$2</f>
        <v>9.6</v>
      </c>
      <c r="I16" s="60">
        <f>AS3*Troupeau!$B$17/CdTrp1!$AI$2</f>
        <v>9.6</v>
      </c>
      <c r="J16" s="60">
        <f>AT3*Troupeau!$B$17/CdTrp1!$AI$2</f>
        <v>9.6</v>
      </c>
      <c r="K16" s="60">
        <f>AU3*Troupeau!$B$17/CdTrp1!$AI$2</f>
        <v>9.6</v>
      </c>
      <c r="L16" s="60">
        <f>AV3*Troupeau!$B$17/CdTrp1!$AI$2</f>
        <v>9.6</v>
      </c>
      <c r="M16" s="60">
        <f>AW3*Troupeau!$B$17/CdTrp1!$AI$2</f>
        <v>9.6</v>
      </c>
      <c r="N16" s="60">
        <f>AX3*Troupeau!$B$17/CdTrp1!$AI$2</f>
        <v>9.6</v>
      </c>
      <c r="O16" s="60">
        <f>AY3*Troupeau!$B$17/CdTrp1!$AI$2</f>
        <v>9.6</v>
      </c>
      <c r="P16" s="60">
        <f>AZ3*Troupeau!$B$17/CdTrp1!$AI$2</f>
        <v>9.6</v>
      </c>
      <c r="Q16" s="60">
        <f>BA3*Troupeau!$B$17/CdTrp1!$AI$2</f>
        <v>9.6</v>
      </c>
      <c r="R16" s="60">
        <f>BB3*Troupeau!$B$17/CdTrp1!$AI$2</f>
        <v>9.6</v>
      </c>
      <c r="S16" s="60">
        <f>BC3*Troupeau!$B$17/CdTrp1!$AI$2</f>
        <v>9.6</v>
      </c>
      <c r="T16" s="60">
        <f>BD3*Troupeau!$B$17/CdTrp1!$AI$2</f>
        <v>9.6</v>
      </c>
      <c r="U16" s="60">
        <f>BE3*Troupeau!$B$17/CdTrp1!$AI$2</f>
        <v>9.6</v>
      </c>
      <c r="V16" s="60">
        <f>BF3*Troupeau!$B$17/CdTrp1!$AI$2</f>
        <v>9.6</v>
      </c>
      <c r="W16" s="60">
        <f>BG3*Troupeau!$B$17/CdTrp1!$AI$2</f>
        <v>9.6</v>
      </c>
      <c r="X16" s="60">
        <f>BH3*Troupeau!$B$17/CdTrp1!$AI$2</f>
        <v>9.6</v>
      </c>
      <c r="Y16" s="60">
        <f>BI3*Troupeau!$B$17/CdTrp1!$AI$2</f>
        <v>9.6</v>
      </c>
      <c r="Z16" s="52"/>
      <c r="AC16" s="2" t="s">
        <v>421</v>
      </c>
      <c r="AI16" t="s">
        <v>287</v>
      </c>
      <c r="AK16" t="s">
        <v>190</v>
      </c>
    </row>
    <row r="17" spans="1:83" x14ac:dyDescent="0.25">
      <c r="A17" s="50" t="s">
        <v>462</v>
      </c>
      <c r="B17" s="60">
        <v>9.6</v>
      </c>
      <c r="C17" s="60">
        <v>9.6</v>
      </c>
      <c r="D17" s="60">
        <v>9.6</v>
      </c>
      <c r="E17" s="60">
        <v>9.6</v>
      </c>
      <c r="F17" s="60">
        <v>9.6</v>
      </c>
      <c r="G17" s="60">
        <v>9.6</v>
      </c>
      <c r="H17" s="60">
        <v>9.6</v>
      </c>
      <c r="I17" s="60">
        <v>9.6</v>
      </c>
      <c r="J17" s="60">
        <v>9.6</v>
      </c>
      <c r="K17" s="60">
        <v>9.6</v>
      </c>
      <c r="L17" s="60">
        <v>9.6</v>
      </c>
      <c r="M17" s="60">
        <v>9.6</v>
      </c>
      <c r="N17" s="60">
        <v>9.6</v>
      </c>
      <c r="O17" s="60">
        <v>9.6</v>
      </c>
      <c r="P17" s="60">
        <v>9.6</v>
      </c>
      <c r="Q17" s="60">
        <v>9.6</v>
      </c>
      <c r="R17" s="60">
        <v>9.6</v>
      </c>
      <c r="S17" s="60">
        <v>9.6</v>
      </c>
      <c r="T17" s="60">
        <v>9.6</v>
      </c>
      <c r="U17" s="60">
        <v>9.6</v>
      </c>
      <c r="V17" s="60">
        <v>9.6</v>
      </c>
      <c r="W17" s="60">
        <f>BG4*Troupeau!$B$17/CdTrp1!$AI$2</f>
        <v>9.6</v>
      </c>
      <c r="X17" s="60">
        <f>BH4*Troupeau!$B$17/CdTrp1!$AI$2</f>
        <v>9.6</v>
      </c>
      <c r="Y17" s="60">
        <f>BI4*Troupeau!$B$17/CdTrp1!$AI$2</f>
        <v>9.6</v>
      </c>
      <c r="Z17" s="52"/>
      <c r="AG17" t="s">
        <v>285</v>
      </c>
      <c r="AH17" t="s">
        <v>286</v>
      </c>
      <c r="AI17" t="s">
        <v>320</v>
      </c>
      <c r="AK17" s="4">
        <v>1</v>
      </c>
      <c r="AL17" s="4">
        <v>2</v>
      </c>
      <c r="AM17" s="4">
        <v>3</v>
      </c>
      <c r="AN17" s="4">
        <v>4</v>
      </c>
      <c r="AO17" s="4">
        <v>5</v>
      </c>
      <c r="AP17" s="4">
        <v>6</v>
      </c>
      <c r="AQ17" s="4">
        <v>7</v>
      </c>
      <c r="AR17" s="4">
        <v>8</v>
      </c>
      <c r="AS17" s="4">
        <v>9</v>
      </c>
      <c r="AT17" s="4">
        <v>10</v>
      </c>
      <c r="AU17" s="4">
        <v>11</v>
      </c>
      <c r="AV17" s="4">
        <v>12</v>
      </c>
      <c r="AW17" s="4">
        <v>13</v>
      </c>
      <c r="AX17" s="4">
        <v>14</v>
      </c>
      <c r="AY17" s="4">
        <v>15</v>
      </c>
      <c r="AZ17" s="4">
        <v>16</v>
      </c>
      <c r="BA17" s="4">
        <v>17</v>
      </c>
      <c r="BB17" s="4">
        <v>18</v>
      </c>
      <c r="BC17" s="4">
        <v>19</v>
      </c>
      <c r="BD17" s="4">
        <v>20</v>
      </c>
      <c r="BE17" s="4">
        <v>21</v>
      </c>
      <c r="BF17" s="4">
        <v>22</v>
      </c>
      <c r="BG17" s="4">
        <v>23</v>
      </c>
      <c r="BH17" s="4">
        <v>24</v>
      </c>
      <c r="BI17" s="4">
        <v>25</v>
      </c>
      <c r="BJ17" s="4">
        <v>26</v>
      </c>
      <c r="BK17" s="4">
        <v>27</v>
      </c>
      <c r="BL17" s="4">
        <v>28</v>
      </c>
      <c r="BM17" s="4">
        <v>29</v>
      </c>
      <c r="BN17" s="4">
        <v>30</v>
      </c>
      <c r="BO17" s="4">
        <v>31</v>
      </c>
      <c r="BP17" s="4">
        <v>32</v>
      </c>
      <c r="BQ17" s="4">
        <v>33</v>
      </c>
      <c r="BR17" s="4">
        <v>34</v>
      </c>
      <c r="BS17" s="4">
        <v>35</v>
      </c>
      <c r="BT17" s="4">
        <v>36</v>
      </c>
      <c r="BU17" s="4">
        <v>37</v>
      </c>
      <c r="BV17" s="4">
        <v>38</v>
      </c>
      <c r="BW17" s="4">
        <v>39</v>
      </c>
      <c r="BX17" s="4">
        <v>40</v>
      </c>
      <c r="BY17" s="4">
        <v>41</v>
      </c>
      <c r="BZ17" s="4">
        <v>42</v>
      </c>
      <c r="CA17" s="4">
        <v>43</v>
      </c>
      <c r="CB17" s="4">
        <v>44</v>
      </c>
      <c r="CC17" s="4">
        <v>45</v>
      </c>
      <c r="CD17" s="4">
        <v>46</v>
      </c>
      <c r="CE17" s="4">
        <v>47</v>
      </c>
    </row>
    <row r="18" spans="1:83" x14ac:dyDescent="0.25">
      <c r="A18" s="50" t="s">
        <v>436</v>
      </c>
      <c r="B18" s="60">
        <f>B15</f>
        <v>32.799999999999997</v>
      </c>
      <c r="C18" s="60">
        <f t="shared" ref="C18:G18" si="0">C15</f>
        <v>32.799999999999997</v>
      </c>
      <c r="D18" s="60">
        <f t="shared" si="0"/>
        <v>32.799999999999997</v>
      </c>
      <c r="E18" s="60">
        <f t="shared" si="0"/>
        <v>32.799999999999997</v>
      </c>
      <c r="F18" s="60">
        <f t="shared" si="0"/>
        <v>32.799999999999997</v>
      </c>
      <c r="G18" s="60">
        <f t="shared" si="0"/>
        <v>32.799999999999997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>
        <f t="shared" ref="U18:Y18" si="1">U15</f>
        <v>29.6</v>
      </c>
      <c r="V18" s="60">
        <f t="shared" si="1"/>
        <v>30.4</v>
      </c>
      <c r="W18" s="60">
        <f t="shared" si="1"/>
        <v>32.799999999999997</v>
      </c>
      <c r="X18" s="60">
        <f t="shared" si="1"/>
        <v>32.799999999999997</v>
      </c>
      <c r="Y18" s="60">
        <f t="shared" si="1"/>
        <v>32.799999999999997</v>
      </c>
      <c r="Z18" s="52"/>
      <c r="AC18" t="s">
        <v>376</v>
      </c>
      <c r="AE18" s="17">
        <v>2</v>
      </c>
      <c r="AG18" s="126" t="str">
        <f>HLOOKUP(AF$4,[1]Anx!$C$86:$CO$121,AE18)</f>
        <v>1 -maïs-grain</v>
      </c>
      <c r="AH18" s="61">
        <f>VALUE(LEFT(AG18,2))</f>
        <v>1</v>
      </c>
      <c r="AI18" s="129">
        <f>Troupeau!B72</f>
        <v>2620</v>
      </c>
      <c r="AK18" s="54">
        <f>IF($AH18=AK$17,ROUND($AI18/1000,1),0)</f>
        <v>2.6</v>
      </c>
      <c r="AL18" s="54">
        <f>IF($AH18=AL$17,ROUND($AI18/1000,1),0)</f>
        <v>0</v>
      </c>
      <c r="AM18" s="54">
        <f>IF($AH18=AM$17,ROUND($AI18/1000,1),0)</f>
        <v>0</v>
      </c>
      <c r="AN18" s="54">
        <f t="shared" ref="AN18:BC33" si="2">IF($AH18=AN$17,ROUND($AI18/1000,1),0)</f>
        <v>0</v>
      </c>
      <c r="AO18" s="54">
        <f t="shared" si="2"/>
        <v>0</v>
      </c>
      <c r="AP18" s="54">
        <f t="shared" si="2"/>
        <v>0</v>
      </c>
      <c r="AQ18" s="54">
        <f t="shared" si="2"/>
        <v>0</v>
      </c>
      <c r="AR18" s="54">
        <f t="shared" si="2"/>
        <v>0</v>
      </c>
      <c r="AS18" s="54">
        <f t="shared" si="2"/>
        <v>0</v>
      </c>
      <c r="AT18" s="54">
        <f t="shared" si="2"/>
        <v>0</v>
      </c>
      <c r="AU18" s="54">
        <f t="shared" si="2"/>
        <v>0</v>
      </c>
      <c r="AV18" s="54">
        <f t="shared" si="2"/>
        <v>0</v>
      </c>
      <c r="AW18" s="54">
        <f t="shared" si="2"/>
        <v>0</v>
      </c>
      <c r="AX18" s="54">
        <f t="shared" si="2"/>
        <v>0</v>
      </c>
      <c r="AY18" s="54">
        <f t="shared" si="2"/>
        <v>0</v>
      </c>
      <c r="AZ18" s="54">
        <f t="shared" si="2"/>
        <v>0</v>
      </c>
      <c r="BA18" s="54">
        <f t="shared" si="2"/>
        <v>0</v>
      </c>
      <c r="BB18" s="54">
        <f t="shared" si="2"/>
        <v>0</v>
      </c>
      <c r="BC18" s="54">
        <f t="shared" si="2"/>
        <v>0</v>
      </c>
      <c r="BD18" s="54">
        <f t="shared" ref="BC18:CE26" si="3">IF($AH18=BD$17,ROUND($AI18/1000,1),0)</f>
        <v>0</v>
      </c>
      <c r="BE18" s="54">
        <f t="shared" si="3"/>
        <v>0</v>
      </c>
      <c r="BF18" s="54">
        <f t="shared" si="3"/>
        <v>0</v>
      </c>
      <c r="BG18" s="54">
        <f t="shared" si="3"/>
        <v>0</v>
      </c>
      <c r="BH18" s="54">
        <f t="shared" si="3"/>
        <v>0</v>
      </c>
      <c r="BI18" s="54">
        <f t="shared" si="3"/>
        <v>0</v>
      </c>
      <c r="BJ18" s="54">
        <f t="shared" si="3"/>
        <v>0</v>
      </c>
      <c r="BK18" s="54">
        <f t="shared" si="3"/>
        <v>0</v>
      </c>
      <c r="BL18" s="54">
        <f t="shared" si="3"/>
        <v>0</v>
      </c>
      <c r="BM18" s="54">
        <f t="shared" si="3"/>
        <v>0</v>
      </c>
      <c r="BN18" s="54">
        <f t="shared" si="3"/>
        <v>0</v>
      </c>
      <c r="BO18" s="54">
        <f t="shared" si="3"/>
        <v>0</v>
      </c>
      <c r="BP18" s="54">
        <f t="shared" si="3"/>
        <v>0</v>
      </c>
      <c r="BQ18" s="54">
        <f t="shared" si="3"/>
        <v>0</v>
      </c>
      <c r="BR18" s="54">
        <f t="shared" si="3"/>
        <v>0</v>
      </c>
      <c r="BS18" s="54">
        <f t="shared" si="3"/>
        <v>0</v>
      </c>
      <c r="BT18" s="54">
        <f t="shared" si="3"/>
        <v>0</v>
      </c>
      <c r="BU18" s="54">
        <f t="shared" si="3"/>
        <v>0</v>
      </c>
      <c r="BV18" s="54">
        <f t="shared" si="3"/>
        <v>0</v>
      </c>
      <c r="BW18" s="54">
        <f t="shared" si="3"/>
        <v>0</v>
      </c>
      <c r="BX18" s="54">
        <f t="shared" si="3"/>
        <v>0</v>
      </c>
      <c r="BY18" s="54">
        <f t="shared" si="3"/>
        <v>0</v>
      </c>
      <c r="BZ18" s="54">
        <f t="shared" si="3"/>
        <v>0</v>
      </c>
      <c r="CA18" s="54">
        <f t="shared" si="3"/>
        <v>0</v>
      </c>
      <c r="CB18" s="54">
        <f t="shared" si="3"/>
        <v>0</v>
      </c>
      <c r="CC18" s="54">
        <f t="shared" si="3"/>
        <v>0</v>
      </c>
      <c r="CD18" s="54">
        <f t="shared" si="3"/>
        <v>0</v>
      </c>
      <c r="CE18" s="54">
        <f t="shared" si="3"/>
        <v>0</v>
      </c>
    </row>
    <row r="19" spans="1:83" x14ac:dyDescent="0.25">
      <c r="A19" s="50" t="s">
        <v>1461</v>
      </c>
      <c r="B19" s="60"/>
      <c r="C19" s="60"/>
      <c r="D19" s="60">
        <v>1.5999999999999996</v>
      </c>
      <c r="E19" s="60">
        <v>2.4000000000000004</v>
      </c>
      <c r="F19" s="60">
        <v>4</v>
      </c>
      <c r="G19" s="60">
        <v>6.4</v>
      </c>
      <c r="H19" s="60">
        <v>7.2000000000000011</v>
      </c>
      <c r="I19" s="60">
        <v>8.7999999999999989</v>
      </c>
      <c r="J19" s="60">
        <v>9.6</v>
      </c>
      <c r="K19" s="60">
        <v>9.6</v>
      </c>
      <c r="L19" s="60">
        <v>9.6</v>
      </c>
      <c r="M19" s="60">
        <v>9.6</v>
      </c>
      <c r="N19" s="60">
        <v>9.6</v>
      </c>
      <c r="O19" s="60">
        <v>9.6</v>
      </c>
      <c r="P19" s="60">
        <v>9.6</v>
      </c>
      <c r="Q19" s="60">
        <v>9.6</v>
      </c>
      <c r="R19" s="60">
        <v>9.6</v>
      </c>
      <c r="S19" s="60">
        <v>9.6</v>
      </c>
      <c r="T19" s="60">
        <v>7.2000000000000011</v>
      </c>
      <c r="U19" s="60">
        <v>4.8000000000000007</v>
      </c>
      <c r="V19" s="60">
        <v>2.4000000000000004</v>
      </c>
      <c r="W19" s="60"/>
      <c r="X19" s="60"/>
      <c r="Y19" s="60"/>
      <c r="Z19" s="52"/>
      <c r="AC19" t="s">
        <v>377</v>
      </c>
      <c r="AE19" s="17">
        <v>3</v>
      </c>
      <c r="AG19" s="126" t="str">
        <f>HLOOKUP(AF$4,[1]Anx!$C$86:$CO$121,AE19)</f>
        <v>6 -tourteaux soja</v>
      </c>
      <c r="AH19" s="61">
        <f t="shared" ref="AH19:AH52" si="4">VALUE(LEFT(AG19,2))</f>
        <v>6</v>
      </c>
      <c r="AI19" s="129">
        <f>Troupeau!B73</f>
        <v>1120</v>
      </c>
      <c r="AK19" s="54">
        <f t="shared" ref="AK19:AK52" si="5">IF($AH19=AK$17,ROUND($AI19/1000,1),0)</f>
        <v>0</v>
      </c>
      <c r="AL19" s="54">
        <f t="shared" ref="AL19:BA34" si="6">IF($AH19=AL$17,ROUND($AI19/1000,1),0)</f>
        <v>0</v>
      </c>
      <c r="AM19" s="54">
        <f t="shared" si="6"/>
        <v>0</v>
      </c>
      <c r="AN19" s="54">
        <f t="shared" si="2"/>
        <v>0</v>
      </c>
      <c r="AO19" s="54">
        <f t="shared" si="2"/>
        <v>0</v>
      </c>
      <c r="AP19" s="54">
        <f t="shared" si="2"/>
        <v>1.1000000000000001</v>
      </c>
      <c r="AQ19" s="54">
        <f t="shared" si="2"/>
        <v>0</v>
      </c>
      <c r="AR19" s="54">
        <f t="shared" si="2"/>
        <v>0</v>
      </c>
      <c r="AS19" s="54">
        <f t="shared" si="2"/>
        <v>0</v>
      </c>
      <c r="AT19" s="54">
        <f t="shared" si="2"/>
        <v>0</v>
      </c>
      <c r="AU19" s="54">
        <f t="shared" si="2"/>
        <v>0</v>
      </c>
      <c r="AV19" s="54">
        <f t="shared" si="2"/>
        <v>0</v>
      </c>
      <c r="AW19" s="54">
        <f t="shared" si="2"/>
        <v>0</v>
      </c>
      <c r="AX19" s="54">
        <f t="shared" si="2"/>
        <v>0</v>
      </c>
      <c r="AY19" s="54">
        <f t="shared" si="2"/>
        <v>0</v>
      </c>
      <c r="AZ19" s="54">
        <f t="shared" si="2"/>
        <v>0</v>
      </c>
      <c r="BA19" s="54">
        <f t="shared" si="2"/>
        <v>0</v>
      </c>
      <c r="BB19" s="54">
        <f t="shared" si="2"/>
        <v>0</v>
      </c>
      <c r="BC19" s="54">
        <f t="shared" si="3"/>
        <v>0</v>
      </c>
      <c r="BD19" s="54">
        <f t="shared" si="3"/>
        <v>0</v>
      </c>
      <c r="BE19" s="54">
        <f t="shared" si="3"/>
        <v>0</v>
      </c>
      <c r="BF19" s="54">
        <f t="shared" si="3"/>
        <v>0</v>
      </c>
      <c r="BG19" s="54">
        <f t="shared" si="3"/>
        <v>0</v>
      </c>
      <c r="BH19" s="54">
        <f t="shared" si="3"/>
        <v>0</v>
      </c>
      <c r="BI19" s="54">
        <f t="shared" si="3"/>
        <v>0</v>
      </c>
      <c r="BJ19" s="54">
        <f t="shared" si="3"/>
        <v>0</v>
      </c>
      <c r="BK19" s="54">
        <f t="shared" si="3"/>
        <v>0</v>
      </c>
      <c r="BL19" s="54">
        <f t="shared" si="3"/>
        <v>0</v>
      </c>
      <c r="BM19" s="54">
        <f t="shared" si="3"/>
        <v>0</v>
      </c>
      <c r="BN19" s="54">
        <f t="shared" si="3"/>
        <v>0</v>
      </c>
      <c r="BO19" s="54">
        <f t="shared" si="3"/>
        <v>0</v>
      </c>
      <c r="BP19" s="54">
        <f t="shared" si="3"/>
        <v>0</v>
      </c>
      <c r="BQ19" s="54">
        <f t="shared" si="3"/>
        <v>0</v>
      </c>
      <c r="BR19" s="54">
        <f t="shared" si="3"/>
        <v>0</v>
      </c>
      <c r="BS19" s="54">
        <f t="shared" si="3"/>
        <v>0</v>
      </c>
      <c r="BT19" s="54">
        <f t="shared" si="3"/>
        <v>0</v>
      </c>
      <c r="BU19" s="54">
        <f t="shared" si="3"/>
        <v>0</v>
      </c>
      <c r="BV19" s="54">
        <f t="shared" si="3"/>
        <v>0</v>
      </c>
      <c r="BW19" s="54">
        <f t="shared" si="3"/>
        <v>0</v>
      </c>
      <c r="BX19" s="54">
        <f t="shared" si="3"/>
        <v>0</v>
      </c>
      <c r="BY19" s="54">
        <f t="shared" si="3"/>
        <v>0</v>
      </c>
      <c r="BZ19" s="54">
        <f t="shared" si="3"/>
        <v>0</v>
      </c>
      <c r="CA19" s="54">
        <f t="shared" si="3"/>
        <v>0</v>
      </c>
      <c r="CB19" s="54">
        <f t="shared" si="3"/>
        <v>0</v>
      </c>
      <c r="CC19" s="54">
        <f t="shared" si="3"/>
        <v>0</v>
      </c>
      <c r="CD19" s="54">
        <f t="shared" si="3"/>
        <v>0</v>
      </c>
      <c r="CE19" s="54">
        <f t="shared" si="3"/>
        <v>0</v>
      </c>
    </row>
    <row r="20" spans="1:83" x14ac:dyDescent="0.25">
      <c r="A20" s="50" t="s">
        <v>160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52"/>
      <c r="AC20" t="s">
        <v>378</v>
      </c>
      <c r="AE20" s="17">
        <v>4</v>
      </c>
      <c r="AG20" s="126">
        <f>HLOOKUP(AF$4,[1]Anx!$C$86:$CO$121,AE20)</f>
        <v>0</v>
      </c>
      <c r="AH20" s="61">
        <f t="shared" si="4"/>
        <v>0</v>
      </c>
      <c r="AI20" s="129">
        <f>Troupeau!B74</f>
        <v>0</v>
      </c>
      <c r="AK20" s="54">
        <f t="shared" si="5"/>
        <v>0</v>
      </c>
      <c r="AL20" s="54">
        <f t="shared" si="6"/>
        <v>0</v>
      </c>
      <c r="AM20" s="54">
        <f t="shared" si="6"/>
        <v>0</v>
      </c>
      <c r="AN20" s="54">
        <f t="shared" si="2"/>
        <v>0</v>
      </c>
      <c r="AO20" s="54">
        <f t="shared" si="2"/>
        <v>0</v>
      </c>
      <c r="AP20" s="54">
        <f t="shared" si="2"/>
        <v>0</v>
      </c>
      <c r="AQ20" s="54">
        <f t="shared" si="2"/>
        <v>0</v>
      </c>
      <c r="AR20" s="54">
        <f t="shared" si="2"/>
        <v>0</v>
      </c>
      <c r="AS20" s="54">
        <f t="shared" si="2"/>
        <v>0</v>
      </c>
      <c r="AT20" s="54">
        <f t="shared" si="2"/>
        <v>0</v>
      </c>
      <c r="AU20" s="54">
        <f t="shared" si="2"/>
        <v>0</v>
      </c>
      <c r="AV20" s="54">
        <f t="shared" si="2"/>
        <v>0</v>
      </c>
      <c r="AW20" s="54">
        <f t="shared" si="2"/>
        <v>0</v>
      </c>
      <c r="AX20" s="54">
        <f t="shared" si="2"/>
        <v>0</v>
      </c>
      <c r="AY20" s="54">
        <f t="shared" si="2"/>
        <v>0</v>
      </c>
      <c r="AZ20" s="54">
        <f t="shared" si="2"/>
        <v>0</v>
      </c>
      <c r="BA20" s="54">
        <f t="shared" si="2"/>
        <v>0</v>
      </c>
      <c r="BB20" s="54">
        <f t="shared" si="2"/>
        <v>0</v>
      </c>
      <c r="BC20" s="54">
        <f t="shared" si="3"/>
        <v>0</v>
      </c>
      <c r="BD20" s="54">
        <f t="shared" si="3"/>
        <v>0</v>
      </c>
      <c r="BE20" s="54">
        <f t="shared" si="3"/>
        <v>0</v>
      </c>
      <c r="BF20" s="54">
        <f t="shared" si="3"/>
        <v>0</v>
      </c>
      <c r="BG20" s="54">
        <f t="shared" si="3"/>
        <v>0</v>
      </c>
      <c r="BH20" s="54">
        <f t="shared" si="3"/>
        <v>0</v>
      </c>
      <c r="BI20" s="54">
        <f t="shared" si="3"/>
        <v>0</v>
      </c>
      <c r="BJ20" s="54">
        <f t="shared" si="3"/>
        <v>0</v>
      </c>
      <c r="BK20" s="54">
        <f t="shared" si="3"/>
        <v>0</v>
      </c>
      <c r="BL20" s="54">
        <f t="shared" si="3"/>
        <v>0</v>
      </c>
      <c r="BM20" s="54">
        <f t="shared" si="3"/>
        <v>0</v>
      </c>
      <c r="BN20" s="54">
        <f t="shared" si="3"/>
        <v>0</v>
      </c>
      <c r="BO20" s="54">
        <f t="shared" si="3"/>
        <v>0</v>
      </c>
      <c r="BP20" s="54">
        <f t="shared" si="3"/>
        <v>0</v>
      </c>
      <c r="BQ20" s="54">
        <f t="shared" si="3"/>
        <v>0</v>
      </c>
      <c r="BR20" s="54">
        <f t="shared" si="3"/>
        <v>0</v>
      </c>
      <c r="BS20" s="54">
        <f t="shared" si="3"/>
        <v>0</v>
      </c>
      <c r="BT20" s="54">
        <f t="shared" si="3"/>
        <v>0</v>
      </c>
      <c r="BU20" s="54">
        <f t="shared" si="3"/>
        <v>0</v>
      </c>
      <c r="BV20" s="54">
        <f t="shared" si="3"/>
        <v>0</v>
      </c>
      <c r="BW20" s="54">
        <f t="shared" si="3"/>
        <v>0</v>
      </c>
      <c r="BX20" s="54">
        <f t="shared" si="3"/>
        <v>0</v>
      </c>
      <c r="BY20" s="54">
        <f t="shared" si="3"/>
        <v>0</v>
      </c>
      <c r="BZ20" s="54">
        <f t="shared" si="3"/>
        <v>0</v>
      </c>
      <c r="CA20" s="54">
        <f t="shared" si="3"/>
        <v>0</v>
      </c>
      <c r="CB20" s="54">
        <f t="shared" si="3"/>
        <v>0</v>
      </c>
      <c r="CC20" s="54">
        <f t="shared" si="3"/>
        <v>0</v>
      </c>
      <c r="CD20" s="54">
        <f t="shared" si="3"/>
        <v>0</v>
      </c>
      <c r="CE20" s="54">
        <f t="shared" si="3"/>
        <v>0</v>
      </c>
    </row>
    <row r="21" spans="1:83" x14ac:dyDescent="0.25">
      <c r="A21" s="50" t="s">
        <v>161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52"/>
      <c r="AC21" t="s">
        <v>379</v>
      </c>
      <c r="AE21" s="17">
        <v>5</v>
      </c>
      <c r="AG21" s="126">
        <f>HLOOKUP(AF$4,[1]Anx!$C$86:$CO$121,AE21)</f>
        <v>0</v>
      </c>
      <c r="AH21" s="61">
        <f t="shared" si="4"/>
        <v>0</v>
      </c>
      <c r="AI21" s="129">
        <f>Troupeau!B75</f>
        <v>0</v>
      </c>
      <c r="AK21" s="54">
        <f t="shared" si="5"/>
        <v>0</v>
      </c>
      <c r="AL21" s="54">
        <f t="shared" si="6"/>
        <v>0</v>
      </c>
      <c r="AM21" s="54">
        <f t="shared" si="6"/>
        <v>0</v>
      </c>
      <c r="AN21" s="54">
        <f t="shared" si="2"/>
        <v>0</v>
      </c>
      <c r="AO21" s="54">
        <f t="shared" si="2"/>
        <v>0</v>
      </c>
      <c r="AP21" s="54">
        <f t="shared" si="2"/>
        <v>0</v>
      </c>
      <c r="AQ21" s="54">
        <f t="shared" si="2"/>
        <v>0</v>
      </c>
      <c r="AR21" s="54">
        <f t="shared" si="2"/>
        <v>0</v>
      </c>
      <c r="AS21" s="54">
        <f t="shared" si="2"/>
        <v>0</v>
      </c>
      <c r="AT21" s="54">
        <f t="shared" si="2"/>
        <v>0</v>
      </c>
      <c r="AU21" s="54">
        <f t="shared" si="2"/>
        <v>0</v>
      </c>
      <c r="AV21" s="54">
        <f t="shared" si="2"/>
        <v>0</v>
      </c>
      <c r="AW21" s="54">
        <f t="shared" si="2"/>
        <v>0</v>
      </c>
      <c r="AX21" s="54">
        <f t="shared" si="2"/>
        <v>0</v>
      </c>
      <c r="AY21" s="54">
        <f t="shared" si="2"/>
        <v>0</v>
      </c>
      <c r="AZ21" s="54">
        <f t="shared" si="2"/>
        <v>0</v>
      </c>
      <c r="BA21" s="54">
        <f t="shared" si="2"/>
        <v>0</v>
      </c>
      <c r="BB21" s="54">
        <f t="shared" si="2"/>
        <v>0</v>
      </c>
      <c r="BC21" s="54">
        <f t="shared" si="3"/>
        <v>0</v>
      </c>
      <c r="BD21" s="54">
        <f t="shared" si="3"/>
        <v>0</v>
      </c>
      <c r="BE21" s="54">
        <f t="shared" si="3"/>
        <v>0</v>
      </c>
      <c r="BF21" s="54">
        <f t="shared" si="3"/>
        <v>0</v>
      </c>
      <c r="BG21" s="54">
        <f t="shared" si="3"/>
        <v>0</v>
      </c>
      <c r="BH21" s="54">
        <f t="shared" si="3"/>
        <v>0</v>
      </c>
      <c r="BI21" s="54">
        <f t="shared" si="3"/>
        <v>0</v>
      </c>
      <c r="BJ21" s="54">
        <f t="shared" si="3"/>
        <v>0</v>
      </c>
      <c r="BK21" s="54">
        <f t="shared" si="3"/>
        <v>0</v>
      </c>
      <c r="BL21" s="54">
        <f t="shared" si="3"/>
        <v>0</v>
      </c>
      <c r="BM21" s="54">
        <f t="shared" si="3"/>
        <v>0</v>
      </c>
      <c r="BN21" s="54">
        <f t="shared" si="3"/>
        <v>0</v>
      </c>
      <c r="BO21" s="54">
        <f t="shared" si="3"/>
        <v>0</v>
      </c>
      <c r="BP21" s="54">
        <f t="shared" si="3"/>
        <v>0</v>
      </c>
      <c r="BQ21" s="54">
        <f t="shared" si="3"/>
        <v>0</v>
      </c>
      <c r="BR21" s="54">
        <f t="shared" si="3"/>
        <v>0</v>
      </c>
      <c r="BS21" s="54">
        <f t="shared" si="3"/>
        <v>0</v>
      </c>
      <c r="BT21" s="54">
        <f t="shared" si="3"/>
        <v>0</v>
      </c>
      <c r="BU21" s="54">
        <f t="shared" si="3"/>
        <v>0</v>
      </c>
      <c r="BV21" s="54">
        <f t="shared" si="3"/>
        <v>0</v>
      </c>
      <c r="BW21" s="54">
        <f t="shared" si="3"/>
        <v>0</v>
      </c>
      <c r="BX21" s="54">
        <f t="shared" si="3"/>
        <v>0</v>
      </c>
      <c r="BY21" s="54">
        <f t="shared" si="3"/>
        <v>0</v>
      </c>
      <c r="BZ21" s="54">
        <f t="shared" si="3"/>
        <v>0</v>
      </c>
      <c r="CA21" s="54">
        <f t="shared" si="3"/>
        <v>0</v>
      </c>
      <c r="CB21" s="54">
        <f t="shared" si="3"/>
        <v>0</v>
      </c>
      <c r="CC21" s="54">
        <f t="shared" si="3"/>
        <v>0</v>
      </c>
      <c r="CD21" s="54">
        <f t="shared" si="3"/>
        <v>0</v>
      </c>
      <c r="CE21" s="54">
        <f t="shared" si="3"/>
        <v>0</v>
      </c>
    </row>
    <row r="22" spans="1:83" x14ac:dyDescent="0.25">
      <c r="A22" s="50" t="s">
        <v>162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52"/>
      <c r="AA22" s="5"/>
      <c r="AB22" s="5"/>
      <c r="AC22" t="s">
        <v>380</v>
      </c>
      <c r="AD22" s="5"/>
      <c r="AE22" s="17">
        <v>6</v>
      </c>
      <c r="AG22" s="126">
        <f>HLOOKUP(AF$4,[1]Anx!$C$86:$CO$121,AE22)</f>
        <v>0</v>
      </c>
      <c r="AH22" s="61">
        <f t="shared" si="4"/>
        <v>0</v>
      </c>
      <c r="AI22" s="129">
        <f>Troupeau!B76</f>
        <v>0</v>
      </c>
      <c r="AK22" s="54">
        <f t="shared" si="5"/>
        <v>0</v>
      </c>
      <c r="AL22" s="54">
        <f t="shared" si="6"/>
        <v>0</v>
      </c>
      <c r="AM22" s="54">
        <f t="shared" si="6"/>
        <v>0</v>
      </c>
      <c r="AN22" s="54">
        <f t="shared" si="2"/>
        <v>0</v>
      </c>
      <c r="AO22" s="54">
        <f t="shared" si="2"/>
        <v>0</v>
      </c>
      <c r="AP22" s="54">
        <f t="shared" si="2"/>
        <v>0</v>
      </c>
      <c r="AQ22" s="54">
        <f t="shared" si="2"/>
        <v>0</v>
      </c>
      <c r="AR22" s="54">
        <f t="shared" si="2"/>
        <v>0</v>
      </c>
      <c r="AS22" s="54">
        <f t="shared" si="2"/>
        <v>0</v>
      </c>
      <c r="AT22" s="54">
        <f t="shared" si="2"/>
        <v>0</v>
      </c>
      <c r="AU22" s="54">
        <f t="shared" si="2"/>
        <v>0</v>
      </c>
      <c r="AV22" s="54">
        <f t="shared" si="2"/>
        <v>0</v>
      </c>
      <c r="AW22" s="54">
        <f t="shared" si="2"/>
        <v>0</v>
      </c>
      <c r="AX22" s="54">
        <f t="shared" si="2"/>
        <v>0</v>
      </c>
      <c r="AY22" s="54">
        <f t="shared" si="2"/>
        <v>0</v>
      </c>
      <c r="AZ22" s="54">
        <f t="shared" si="2"/>
        <v>0</v>
      </c>
      <c r="BA22" s="54">
        <f t="shared" si="2"/>
        <v>0</v>
      </c>
      <c r="BB22" s="54">
        <f t="shared" si="2"/>
        <v>0</v>
      </c>
      <c r="BC22" s="54">
        <f t="shared" si="3"/>
        <v>0</v>
      </c>
      <c r="BD22" s="54">
        <f t="shared" si="3"/>
        <v>0</v>
      </c>
      <c r="BE22" s="54">
        <f t="shared" si="3"/>
        <v>0</v>
      </c>
      <c r="BF22" s="54">
        <f t="shared" si="3"/>
        <v>0</v>
      </c>
      <c r="BG22" s="54">
        <f t="shared" si="3"/>
        <v>0</v>
      </c>
      <c r="BH22" s="54">
        <f t="shared" si="3"/>
        <v>0</v>
      </c>
      <c r="BI22" s="54">
        <f t="shared" si="3"/>
        <v>0</v>
      </c>
      <c r="BJ22" s="54">
        <f t="shared" si="3"/>
        <v>0</v>
      </c>
      <c r="BK22" s="54">
        <f t="shared" si="3"/>
        <v>0</v>
      </c>
      <c r="BL22" s="54">
        <f t="shared" si="3"/>
        <v>0</v>
      </c>
      <c r="BM22" s="54">
        <f t="shared" si="3"/>
        <v>0</v>
      </c>
      <c r="BN22" s="54">
        <f t="shared" si="3"/>
        <v>0</v>
      </c>
      <c r="BO22" s="54">
        <f t="shared" si="3"/>
        <v>0</v>
      </c>
      <c r="BP22" s="54">
        <f t="shared" si="3"/>
        <v>0</v>
      </c>
      <c r="BQ22" s="54">
        <f t="shared" si="3"/>
        <v>0</v>
      </c>
      <c r="BR22" s="54">
        <f t="shared" si="3"/>
        <v>0</v>
      </c>
      <c r="BS22" s="54">
        <f t="shared" si="3"/>
        <v>0</v>
      </c>
      <c r="BT22" s="54">
        <f t="shared" si="3"/>
        <v>0</v>
      </c>
      <c r="BU22" s="54">
        <f t="shared" si="3"/>
        <v>0</v>
      </c>
      <c r="BV22" s="54">
        <f t="shared" si="3"/>
        <v>0</v>
      </c>
      <c r="BW22" s="54">
        <f t="shared" si="3"/>
        <v>0</v>
      </c>
      <c r="BX22" s="54">
        <f t="shared" si="3"/>
        <v>0</v>
      </c>
      <c r="BY22" s="54">
        <f t="shared" si="3"/>
        <v>0</v>
      </c>
      <c r="BZ22" s="54">
        <f t="shared" si="3"/>
        <v>0</v>
      </c>
      <c r="CA22" s="54">
        <f t="shared" si="3"/>
        <v>0</v>
      </c>
      <c r="CB22" s="54">
        <f t="shared" si="3"/>
        <v>0</v>
      </c>
      <c r="CC22" s="54">
        <f t="shared" si="3"/>
        <v>0</v>
      </c>
      <c r="CD22" s="54">
        <f t="shared" si="3"/>
        <v>0</v>
      </c>
      <c r="CE22" s="54">
        <f t="shared" si="3"/>
        <v>0</v>
      </c>
    </row>
    <row r="23" spans="1:83" x14ac:dyDescent="0.25">
      <c r="A23" s="50" t="s">
        <v>163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52"/>
      <c r="AA23" s="5"/>
      <c r="AB23" s="5"/>
      <c r="AC23" t="s">
        <v>381</v>
      </c>
      <c r="AD23" s="5"/>
      <c r="AE23" s="17">
        <v>7</v>
      </c>
      <c r="AG23" s="126" t="str">
        <f>HLOOKUP(AF$4,[1]Anx!$C$86:$CO$121,AE23)</f>
        <v>2 -grain céréales à paille</v>
      </c>
      <c r="AH23" s="61">
        <f t="shared" si="4"/>
        <v>2</v>
      </c>
      <c r="AI23" s="129">
        <f>Troupeau!B77</f>
        <v>2310</v>
      </c>
      <c r="AK23" s="54">
        <f t="shared" si="5"/>
        <v>0</v>
      </c>
      <c r="AL23" s="54">
        <f t="shared" si="6"/>
        <v>2.2999999999999998</v>
      </c>
      <c r="AM23" s="54">
        <f t="shared" si="6"/>
        <v>0</v>
      </c>
      <c r="AN23" s="54">
        <f t="shared" si="2"/>
        <v>0</v>
      </c>
      <c r="AO23" s="54">
        <f t="shared" si="2"/>
        <v>0</v>
      </c>
      <c r="AP23" s="54">
        <f t="shared" si="2"/>
        <v>0</v>
      </c>
      <c r="AQ23" s="54">
        <f t="shared" si="2"/>
        <v>0</v>
      </c>
      <c r="AR23" s="54">
        <f t="shared" si="2"/>
        <v>0</v>
      </c>
      <c r="AS23" s="54">
        <f t="shared" si="2"/>
        <v>0</v>
      </c>
      <c r="AT23" s="54">
        <f t="shared" si="2"/>
        <v>0</v>
      </c>
      <c r="AU23" s="54">
        <f t="shared" si="2"/>
        <v>0</v>
      </c>
      <c r="AV23" s="54">
        <f t="shared" si="2"/>
        <v>0</v>
      </c>
      <c r="AW23" s="54">
        <f t="shared" si="2"/>
        <v>0</v>
      </c>
      <c r="AX23" s="54">
        <f t="shared" si="2"/>
        <v>0</v>
      </c>
      <c r="AY23" s="54">
        <f t="shared" si="2"/>
        <v>0</v>
      </c>
      <c r="AZ23" s="54">
        <f t="shared" si="2"/>
        <v>0</v>
      </c>
      <c r="BA23" s="54">
        <f t="shared" si="2"/>
        <v>0</v>
      </c>
      <c r="BB23" s="54">
        <f t="shared" si="2"/>
        <v>0</v>
      </c>
      <c r="BC23" s="54">
        <f t="shared" si="3"/>
        <v>0</v>
      </c>
      <c r="BD23" s="54">
        <f t="shared" si="3"/>
        <v>0</v>
      </c>
      <c r="BE23" s="54">
        <f t="shared" si="3"/>
        <v>0</v>
      </c>
      <c r="BF23" s="54">
        <f t="shared" si="3"/>
        <v>0</v>
      </c>
      <c r="BG23" s="54">
        <f t="shared" si="3"/>
        <v>0</v>
      </c>
      <c r="BH23" s="54">
        <f t="shared" si="3"/>
        <v>0</v>
      </c>
      <c r="BI23" s="54">
        <f t="shared" si="3"/>
        <v>0</v>
      </c>
      <c r="BJ23" s="54">
        <f t="shared" si="3"/>
        <v>0</v>
      </c>
      <c r="BK23" s="54">
        <f t="shared" si="3"/>
        <v>0</v>
      </c>
      <c r="BL23" s="54">
        <f t="shared" si="3"/>
        <v>0</v>
      </c>
      <c r="BM23" s="54">
        <f t="shared" si="3"/>
        <v>0</v>
      </c>
      <c r="BN23" s="54">
        <f t="shared" si="3"/>
        <v>0</v>
      </c>
      <c r="BO23" s="54">
        <f t="shared" si="3"/>
        <v>0</v>
      </c>
      <c r="BP23" s="54">
        <f t="shared" si="3"/>
        <v>0</v>
      </c>
      <c r="BQ23" s="54">
        <f t="shared" si="3"/>
        <v>0</v>
      </c>
      <c r="BR23" s="54">
        <f t="shared" si="3"/>
        <v>0</v>
      </c>
      <c r="BS23" s="54">
        <f t="shared" si="3"/>
        <v>0</v>
      </c>
      <c r="BT23" s="54">
        <f t="shared" si="3"/>
        <v>0</v>
      </c>
      <c r="BU23" s="54">
        <f t="shared" si="3"/>
        <v>0</v>
      </c>
      <c r="BV23" s="54">
        <f t="shared" si="3"/>
        <v>0</v>
      </c>
      <c r="BW23" s="54">
        <f t="shared" si="3"/>
        <v>0</v>
      </c>
      <c r="BX23" s="54">
        <f t="shared" si="3"/>
        <v>0</v>
      </c>
      <c r="BY23" s="54">
        <f t="shared" si="3"/>
        <v>0</v>
      </c>
      <c r="BZ23" s="54">
        <f t="shared" si="3"/>
        <v>0</v>
      </c>
      <c r="CA23" s="54">
        <f t="shared" si="3"/>
        <v>0</v>
      </c>
      <c r="CB23" s="54">
        <f t="shared" si="3"/>
        <v>0</v>
      </c>
      <c r="CC23" s="54">
        <f t="shared" si="3"/>
        <v>0</v>
      </c>
      <c r="CD23" s="54">
        <f t="shared" si="3"/>
        <v>0</v>
      </c>
      <c r="CE23" s="54">
        <f t="shared" si="3"/>
        <v>0</v>
      </c>
    </row>
    <row r="24" spans="1:83" x14ac:dyDescent="0.25">
      <c r="A24" s="50" t="s">
        <v>164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2"/>
      <c r="AA24" s="5"/>
      <c r="AB24" s="53"/>
      <c r="AC24" t="s">
        <v>382</v>
      </c>
      <c r="AD24" s="5"/>
      <c r="AE24" s="17">
        <v>8</v>
      </c>
      <c r="AG24" s="126" t="str">
        <f>HLOOKUP(AF$4,[1]Anx!$C$86:$CO$121,AE24)</f>
        <v>6 -tourteaux soja</v>
      </c>
      <c r="AH24" s="61">
        <f t="shared" si="4"/>
        <v>6</v>
      </c>
      <c r="AI24" s="129">
        <f>Troupeau!B78</f>
        <v>990</v>
      </c>
      <c r="AK24" s="54">
        <f t="shared" si="5"/>
        <v>0</v>
      </c>
      <c r="AL24" s="54">
        <f t="shared" si="6"/>
        <v>0</v>
      </c>
      <c r="AM24" s="54">
        <f t="shared" si="6"/>
        <v>0</v>
      </c>
      <c r="AN24" s="54">
        <f t="shared" si="2"/>
        <v>0</v>
      </c>
      <c r="AO24" s="54">
        <f t="shared" si="2"/>
        <v>0</v>
      </c>
      <c r="AP24" s="54">
        <f t="shared" si="2"/>
        <v>1</v>
      </c>
      <c r="AQ24" s="54">
        <f t="shared" si="2"/>
        <v>0</v>
      </c>
      <c r="AR24" s="54">
        <f t="shared" si="2"/>
        <v>0</v>
      </c>
      <c r="AS24" s="54">
        <f t="shared" si="2"/>
        <v>0</v>
      </c>
      <c r="AT24" s="54">
        <f t="shared" si="2"/>
        <v>0</v>
      </c>
      <c r="AU24" s="54">
        <f t="shared" si="2"/>
        <v>0</v>
      </c>
      <c r="AV24" s="54">
        <f t="shared" si="2"/>
        <v>0</v>
      </c>
      <c r="AW24" s="54">
        <f t="shared" si="2"/>
        <v>0</v>
      </c>
      <c r="AX24" s="54">
        <f t="shared" si="2"/>
        <v>0</v>
      </c>
      <c r="AY24" s="54">
        <f t="shared" si="2"/>
        <v>0</v>
      </c>
      <c r="AZ24" s="54">
        <f t="shared" si="2"/>
        <v>0</v>
      </c>
      <c r="BA24" s="54">
        <f t="shared" si="2"/>
        <v>0</v>
      </c>
      <c r="BB24" s="54">
        <f t="shared" si="2"/>
        <v>0</v>
      </c>
      <c r="BC24" s="54">
        <f t="shared" si="3"/>
        <v>0</v>
      </c>
      <c r="BD24" s="54">
        <f t="shared" si="3"/>
        <v>0</v>
      </c>
      <c r="BE24" s="54">
        <f t="shared" si="3"/>
        <v>0</v>
      </c>
      <c r="BF24" s="54">
        <f t="shared" si="3"/>
        <v>0</v>
      </c>
      <c r="BG24" s="54">
        <f t="shared" si="3"/>
        <v>0</v>
      </c>
      <c r="BH24" s="54">
        <f t="shared" si="3"/>
        <v>0</v>
      </c>
      <c r="BI24" s="54">
        <f t="shared" si="3"/>
        <v>0</v>
      </c>
      <c r="BJ24" s="54">
        <f t="shared" si="3"/>
        <v>0</v>
      </c>
      <c r="BK24" s="54">
        <f t="shared" si="3"/>
        <v>0</v>
      </c>
      <c r="BL24" s="54">
        <f t="shared" si="3"/>
        <v>0</v>
      </c>
      <c r="BM24" s="54">
        <f t="shared" si="3"/>
        <v>0</v>
      </c>
      <c r="BN24" s="54">
        <f t="shared" si="3"/>
        <v>0</v>
      </c>
      <c r="BO24" s="54">
        <f t="shared" si="3"/>
        <v>0</v>
      </c>
      <c r="BP24" s="54">
        <f t="shared" si="3"/>
        <v>0</v>
      </c>
      <c r="BQ24" s="54">
        <f t="shared" si="3"/>
        <v>0</v>
      </c>
      <c r="BR24" s="54">
        <f t="shared" si="3"/>
        <v>0</v>
      </c>
      <c r="BS24" s="54">
        <f t="shared" si="3"/>
        <v>0</v>
      </c>
      <c r="BT24" s="54">
        <f t="shared" si="3"/>
        <v>0</v>
      </c>
      <c r="BU24" s="54">
        <f t="shared" si="3"/>
        <v>0</v>
      </c>
      <c r="BV24" s="54">
        <f t="shared" si="3"/>
        <v>0</v>
      </c>
      <c r="BW24" s="54">
        <f t="shared" si="3"/>
        <v>0</v>
      </c>
      <c r="BX24" s="54">
        <f t="shared" si="3"/>
        <v>0</v>
      </c>
      <c r="BY24" s="54">
        <f t="shared" si="3"/>
        <v>0</v>
      </c>
      <c r="BZ24" s="54">
        <f t="shared" si="3"/>
        <v>0</v>
      </c>
      <c r="CA24" s="54">
        <f t="shared" si="3"/>
        <v>0</v>
      </c>
      <c r="CB24" s="54">
        <f t="shared" si="3"/>
        <v>0</v>
      </c>
      <c r="CC24" s="54">
        <f t="shared" si="3"/>
        <v>0</v>
      </c>
      <c r="CD24" s="54">
        <f t="shared" si="3"/>
        <v>0</v>
      </c>
      <c r="CE24" s="54">
        <f t="shared" si="3"/>
        <v>0</v>
      </c>
    </row>
    <row r="25" spans="1:83" x14ac:dyDescent="0.25">
      <c r="AA25" s="5"/>
      <c r="AB25" s="5"/>
      <c r="AC25" t="s">
        <v>383</v>
      </c>
      <c r="AD25" s="5"/>
      <c r="AE25" s="17">
        <v>9</v>
      </c>
      <c r="AG25" s="126" t="str">
        <f>HLOOKUP(AF$4,[1]Anx!$C$86:$CO$121,AE25)</f>
        <v>8 -CMV bovin allaitant</v>
      </c>
      <c r="AH25" s="61">
        <f t="shared" si="4"/>
        <v>8</v>
      </c>
      <c r="AI25" s="129">
        <f>Troupeau!B79</f>
        <v>0</v>
      </c>
      <c r="AK25" s="54">
        <f t="shared" si="5"/>
        <v>0</v>
      </c>
      <c r="AL25" s="54">
        <f t="shared" si="6"/>
        <v>0</v>
      </c>
      <c r="AM25" s="54">
        <f t="shared" si="6"/>
        <v>0</v>
      </c>
      <c r="AN25" s="54">
        <f t="shared" si="2"/>
        <v>0</v>
      </c>
      <c r="AO25" s="54">
        <f t="shared" si="2"/>
        <v>0</v>
      </c>
      <c r="AP25" s="54">
        <f t="shared" si="2"/>
        <v>0</v>
      </c>
      <c r="AQ25" s="54">
        <f t="shared" si="2"/>
        <v>0</v>
      </c>
      <c r="AR25" s="54">
        <f t="shared" si="2"/>
        <v>0</v>
      </c>
      <c r="AS25" s="54">
        <f t="shared" si="2"/>
        <v>0</v>
      </c>
      <c r="AT25" s="54">
        <f t="shared" si="2"/>
        <v>0</v>
      </c>
      <c r="AU25" s="54">
        <f t="shared" si="2"/>
        <v>0</v>
      </c>
      <c r="AV25" s="54">
        <f t="shared" si="2"/>
        <v>0</v>
      </c>
      <c r="AW25" s="54">
        <f t="shared" si="2"/>
        <v>0</v>
      </c>
      <c r="AX25" s="54">
        <f t="shared" si="2"/>
        <v>0</v>
      </c>
      <c r="AY25" s="54">
        <f t="shared" si="2"/>
        <v>0</v>
      </c>
      <c r="AZ25" s="54">
        <f t="shared" si="2"/>
        <v>0</v>
      </c>
      <c r="BA25" s="54">
        <f t="shared" si="2"/>
        <v>0</v>
      </c>
      <c r="BB25" s="54">
        <f t="shared" si="2"/>
        <v>0</v>
      </c>
      <c r="BC25" s="54">
        <f t="shared" si="3"/>
        <v>0</v>
      </c>
      <c r="BD25" s="54">
        <f t="shared" si="3"/>
        <v>0</v>
      </c>
      <c r="BE25" s="54">
        <f t="shared" si="3"/>
        <v>0</v>
      </c>
      <c r="BF25" s="54">
        <f t="shared" si="3"/>
        <v>0</v>
      </c>
      <c r="BG25" s="54">
        <f t="shared" si="3"/>
        <v>0</v>
      </c>
      <c r="BH25" s="54">
        <f t="shared" si="3"/>
        <v>0</v>
      </c>
      <c r="BI25" s="54">
        <f t="shared" si="3"/>
        <v>0</v>
      </c>
      <c r="BJ25" s="54">
        <f t="shared" si="3"/>
        <v>0</v>
      </c>
      <c r="BK25" s="54">
        <f t="shared" si="3"/>
        <v>0</v>
      </c>
      <c r="BL25" s="54">
        <f t="shared" si="3"/>
        <v>0</v>
      </c>
      <c r="BM25" s="54">
        <f t="shared" si="3"/>
        <v>0</v>
      </c>
      <c r="BN25" s="54">
        <f t="shared" si="3"/>
        <v>0</v>
      </c>
      <c r="BO25" s="54">
        <f t="shared" si="3"/>
        <v>0</v>
      </c>
      <c r="BP25" s="54">
        <f t="shared" si="3"/>
        <v>0</v>
      </c>
      <c r="BQ25" s="54">
        <f t="shared" si="3"/>
        <v>0</v>
      </c>
      <c r="BR25" s="54">
        <f t="shared" si="3"/>
        <v>0</v>
      </c>
      <c r="BS25" s="54">
        <f t="shared" si="3"/>
        <v>0</v>
      </c>
      <c r="BT25" s="54">
        <f t="shared" si="3"/>
        <v>0</v>
      </c>
      <c r="BU25" s="54">
        <f t="shared" si="3"/>
        <v>0</v>
      </c>
      <c r="BV25" s="54">
        <f t="shared" si="3"/>
        <v>0</v>
      </c>
      <c r="BW25" s="54">
        <f t="shared" si="3"/>
        <v>0</v>
      </c>
      <c r="BX25" s="54">
        <f t="shared" si="3"/>
        <v>0</v>
      </c>
      <c r="BY25" s="54">
        <f t="shared" si="3"/>
        <v>0</v>
      </c>
      <c r="BZ25" s="54">
        <f t="shared" si="3"/>
        <v>0</v>
      </c>
      <c r="CA25" s="54">
        <f t="shared" si="3"/>
        <v>0</v>
      </c>
      <c r="CB25" s="54">
        <f t="shared" si="3"/>
        <v>0</v>
      </c>
      <c r="CC25" s="54">
        <f t="shared" si="3"/>
        <v>0</v>
      </c>
      <c r="CD25" s="54">
        <f t="shared" si="3"/>
        <v>0</v>
      </c>
      <c r="CE25" s="54">
        <f t="shared" si="3"/>
        <v>0</v>
      </c>
    </row>
    <row r="26" spans="1:83" x14ac:dyDescent="0.25">
      <c r="A26" s="2" t="s">
        <v>169</v>
      </c>
      <c r="B26" s="65" t="s">
        <v>172</v>
      </c>
      <c r="AA26" s="5"/>
      <c r="AB26" s="5"/>
      <c r="AC26" t="s">
        <v>384</v>
      </c>
      <c r="AD26" s="5"/>
      <c r="AE26" s="17">
        <v>10</v>
      </c>
      <c r="AG26" s="126">
        <f>HLOOKUP(AF$4,[1]Anx!$C$86:$CO$121,AE26)</f>
        <v>0</v>
      </c>
      <c r="AH26" s="61">
        <f t="shared" si="4"/>
        <v>0</v>
      </c>
      <c r="AI26" s="129">
        <f>Troupeau!B80</f>
        <v>0</v>
      </c>
      <c r="AK26" s="54">
        <f t="shared" si="5"/>
        <v>0</v>
      </c>
      <c r="AL26" s="54">
        <f t="shared" si="6"/>
        <v>0</v>
      </c>
      <c r="AM26" s="54">
        <f t="shared" si="6"/>
        <v>0</v>
      </c>
      <c r="AN26" s="54">
        <f t="shared" si="2"/>
        <v>0</v>
      </c>
      <c r="AO26" s="54">
        <f t="shared" si="2"/>
        <v>0</v>
      </c>
      <c r="AP26" s="54">
        <f t="shared" si="2"/>
        <v>0</v>
      </c>
      <c r="AQ26" s="54">
        <f t="shared" si="2"/>
        <v>0</v>
      </c>
      <c r="AR26" s="54">
        <f t="shared" si="2"/>
        <v>0</v>
      </c>
      <c r="AS26" s="54">
        <f t="shared" si="2"/>
        <v>0</v>
      </c>
      <c r="AT26" s="54">
        <f t="shared" si="2"/>
        <v>0</v>
      </c>
      <c r="AU26" s="54">
        <f t="shared" si="2"/>
        <v>0</v>
      </c>
      <c r="AV26" s="54">
        <f t="shared" si="2"/>
        <v>0</v>
      </c>
      <c r="AW26" s="54">
        <f t="shared" si="2"/>
        <v>0</v>
      </c>
      <c r="AX26" s="54">
        <f t="shared" si="2"/>
        <v>0</v>
      </c>
      <c r="AY26" s="54">
        <f t="shared" si="2"/>
        <v>0</v>
      </c>
      <c r="AZ26" s="54">
        <f t="shared" si="2"/>
        <v>0</v>
      </c>
      <c r="BA26" s="54">
        <f t="shared" si="2"/>
        <v>0</v>
      </c>
      <c r="BB26" s="54">
        <f t="shared" si="2"/>
        <v>0</v>
      </c>
      <c r="BC26" s="54">
        <f t="shared" si="3"/>
        <v>0</v>
      </c>
      <c r="BD26" s="54">
        <f t="shared" si="3"/>
        <v>0</v>
      </c>
      <c r="BE26" s="54">
        <f t="shared" si="3"/>
        <v>0</v>
      </c>
      <c r="BF26" s="54">
        <f t="shared" si="3"/>
        <v>0</v>
      </c>
      <c r="BG26" s="54">
        <f t="shared" si="3"/>
        <v>0</v>
      </c>
      <c r="BH26" s="54">
        <f t="shared" si="3"/>
        <v>0</v>
      </c>
      <c r="BI26" s="54">
        <f t="shared" si="3"/>
        <v>0</v>
      </c>
      <c r="BJ26" s="54">
        <f t="shared" si="3"/>
        <v>0</v>
      </c>
      <c r="BK26" s="54">
        <f t="shared" si="3"/>
        <v>0</v>
      </c>
      <c r="BL26" s="54">
        <f t="shared" si="3"/>
        <v>0</v>
      </c>
      <c r="BM26" s="54">
        <f t="shared" si="3"/>
        <v>0</v>
      </c>
      <c r="BN26" s="54">
        <f t="shared" si="3"/>
        <v>0</v>
      </c>
      <c r="BO26" s="54">
        <f t="shared" si="3"/>
        <v>0</v>
      </c>
      <c r="BP26" s="54">
        <f t="shared" si="3"/>
        <v>0</v>
      </c>
      <c r="BQ26" s="54">
        <f t="shared" si="3"/>
        <v>0</v>
      </c>
      <c r="BR26" s="54">
        <f t="shared" si="3"/>
        <v>0</v>
      </c>
      <c r="BS26" s="54">
        <f t="shared" si="3"/>
        <v>0</v>
      </c>
      <c r="BT26" s="54">
        <f t="shared" si="3"/>
        <v>0</v>
      </c>
      <c r="BU26" s="54">
        <f t="shared" si="3"/>
        <v>0</v>
      </c>
      <c r="BV26" s="54">
        <f t="shared" si="3"/>
        <v>0</v>
      </c>
      <c r="BW26" s="54">
        <f t="shared" si="3"/>
        <v>0</v>
      </c>
      <c r="BX26" s="54">
        <f t="shared" si="3"/>
        <v>0</v>
      </c>
      <c r="BY26" s="54">
        <f t="shared" si="3"/>
        <v>0</v>
      </c>
      <c r="BZ26" s="54">
        <f t="shared" si="3"/>
        <v>0</v>
      </c>
      <c r="CA26" s="54">
        <f t="shared" ref="BC26:CE35" si="7">IF($AH26=CA$17,ROUND($AI26/1000,1),0)</f>
        <v>0</v>
      </c>
      <c r="CB26" s="54">
        <f t="shared" si="7"/>
        <v>0</v>
      </c>
      <c r="CC26" s="54">
        <f t="shared" si="7"/>
        <v>0</v>
      </c>
      <c r="CD26" s="54">
        <f t="shared" si="7"/>
        <v>0</v>
      </c>
      <c r="CE26" s="54">
        <f t="shared" si="7"/>
        <v>0</v>
      </c>
    </row>
    <row r="27" spans="1:83" x14ac:dyDescent="0.25">
      <c r="A27" s="127" t="str">
        <f>A$15</f>
        <v xml:space="preserve">Vaches </v>
      </c>
      <c r="B27" s="60">
        <v>0.85</v>
      </c>
      <c r="C27" s="60">
        <v>0.85</v>
      </c>
      <c r="D27" s="60">
        <v>0.85</v>
      </c>
      <c r="E27" s="60">
        <v>0.85</v>
      </c>
      <c r="F27" s="60">
        <v>0.85</v>
      </c>
      <c r="G27" s="60">
        <v>0.85</v>
      </c>
      <c r="H27" s="60">
        <v>0.85</v>
      </c>
      <c r="I27" s="60">
        <v>0.85</v>
      </c>
      <c r="J27" s="60">
        <v>0.85</v>
      </c>
      <c r="K27" s="60">
        <v>0.85</v>
      </c>
      <c r="L27" s="60">
        <v>0.85</v>
      </c>
      <c r="M27" s="60">
        <v>0.85</v>
      </c>
      <c r="N27" s="60">
        <v>0.85</v>
      </c>
      <c r="O27" s="60">
        <v>0.85</v>
      </c>
      <c r="P27" s="60">
        <v>0.85</v>
      </c>
      <c r="Q27" s="60">
        <v>0.85</v>
      </c>
      <c r="R27" s="60">
        <v>0.85</v>
      </c>
      <c r="S27" s="60">
        <v>0.85</v>
      </c>
      <c r="T27" s="60">
        <v>0.85</v>
      </c>
      <c r="U27" s="60">
        <v>0.85</v>
      </c>
      <c r="V27" s="60">
        <v>0.85</v>
      </c>
      <c r="W27" s="60">
        <v>0.85</v>
      </c>
      <c r="X27" s="60">
        <v>0.85</v>
      </c>
      <c r="Y27" s="60">
        <v>0.85</v>
      </c>
      <c r="Z27" s="52"/>
      <c r="AA27" s="5"/>
      <c r="AB27" s="5"/>
      <c r="AC27" t="s">
        <v>385</v>
      </c>
      <c r="AD27" s="5"/>
      <c r="AE27" s="17">
        <v>11</v>
      </c>
      <c r="AG27" s="126">
        <f>HLOOKUP(AF$4,[1]Anx!$C$86:$CO$121,AE27)</f>
        <v>0</v>
      </c>
      <c r="AH27" s="61">
        <f t="shared" si="4"/>
        <v>0</v>
      </c>
      <c r="AI27" s="129">
        <f>Troupeau!B81</f>
        <v>0</v>
      </c>
      <c r="AK27" s="54">
        <f t="shared" si="5"/>
        <v>0</v>
      </c>
      <c r="AL27" s="54">
        <f t="shared" si="6"/>
        <v>0</v>
      </c>
      <c r="AM27" s="54">
        <f t="shared" si="6"/>
        <v>0</v>
      </c>
      <c r="AN27" s="54">
        <f t="shared" si="2"/>
        <v>0</v>
      </c>
      <c r="AO27" s="54">
        <f t="shared" si="2"/>
        <v>0</v>
      </c>
      <c r="AP27" s="54">
        <f t="shared" si="2"/>
        <v>0</v>
      </c>
      <c r="AQ27" s="54">
        <f t="shared" si="2"/>
        <v>0</v>
      </c>
      <c r="AR27" s="54">
        <f t="shared" si="2"/>
        <v>0</v>
      </c>
      <c r="AS27" s="54">
        <f t="shared" si="2"/>
        <v>0</v>
      </c>
      <c r="AT27" s="54">
        <f t="shared" si="2"/>
        <v>0</v>
      </c>
      <c r="AU27" s="54">
        <f t="shared" si="2"/>
        <v>0</v>
      </c>
      <c r="AV27" s="54">
        <f t="shared" si="2"/>
        <v>0</v>
      </c>
      <c r="AW27" s="54">
        <f t="shared" si="2"/>
        <v>0</v>
      </c>
      <c r="AX27" s="54">
        <f t="shared" si="2"/>
        <v>0</v>
      </c>
      <c r="AY27" s="54">
        <f t="shared" si="2"/>
        <v>0</v>
      </c>
      <c r="AZ27" s="54">
        <f t="shared" si="2"/>
        <v>0</v>
      </c>
      <c r="BA27" s="54">
        <f t="shared" si="2"/>
        <v>0</v>
      </c>
      <c r="BB27" s="54">
        <f t="shared" si="2"/>
        <v>0</v>
      </c>
      <c r="BC27" s="54">
        <f t="shared" si="7"/>
        <v>0</v>
      </c>
      <c r="BD27" s="54">
        <f t="shared" si="7"/>
        <v>0</v>
      </c>
      <c r="BE27" s="54">
        <f t="shared" si="7"/>
        <v>0</v>
      </c>
      <c r="BF27" s="54">
        <f t="shared" si="7"/>
        <v>0</v>
      </c>
      <c r="BG27" s="54">
        <f t="shared" si="7"/>
        <v>0</v>
      </c>
      <c r="BH27" s="54">
        <f t="shared" si="7"/>
        <v>0</v>
      </c>
      <c r="BI27" s="54">
        <f t="shared" si="7"/>
        <v>0</v>
      </c>
      <c r="BJ27" s="54">
        <f t="shared" si="7"/>
        <v>0</v>
      </c>
      <c r="BK27" s="54">
        <f t="shared" si="7"/>
        <v>0</v>
      </c>
      <c r="BL27" s="54">
        <f t="shared" si="7"/>
        <v>0</v>
      </c>
      <c r="BM27" s="54">
        <f t="shared" si="7"/>
        <v>0</v>
      </c>
      <c r="BN27" s="54">
        <f t="shared" si="7"/>
        <v>0</v>
      </c>
      <c r="BO27" s="54">
        <f t="shared" si="7"/>
        <v>0</v>
      </c>
      <c r="BP27" s="54">
        <f t="shared" si="7"/>
        <v>0</v>
      </c>
      <c r="BQ27" s="54">
        <f t="shared" si="7"/>
        <v>0</v>
      </c>
      <c r="BR27" s="54">
        <f t="shared" si="7"/>
        <v>0</v>
      </c>
      <c r="BS27" s="54">
        <f t="shared" si="7"/>
        <v>0</v>
      </c>
      <c r="BT27" s="54">
        <f t="shared" si="7"/>
        <v>0</v>
      </c>
      <c r="BU27" s="54">
        <f t="shared" si="7"/>
        <v>0</v>
      </c>
      <c r="BV27" s="54">
        <f t="shared" si="7"/>
        <v>0</v>
      </c>
      <c r="BW27" s="54">
        <f t="shared" si="7"/>
        <v>0</v>
      </c>
      <c r="BX27" s="54">
        <f t="shared" si="7"/>
        <v>0</v>
      </c>
      <c r="BY27" s="54">
        <f t="shared" si="7"/>
        <v>0</v>
      </c>
      <c r="BZ27" s="54">
        <f t="shared" si="7"/>
        <v>0</v>
      </c>
      <c r="CA27" s="54">
        <f t="shared" si="7"/>
        <v>0</v>
      </c>
      <c r="CB27" s="54">
        <f t="shared" si="7"/>
        <v>0</v>
      </c>
      <c r="CC27" s="54">
        <f t="shared" si="7"/>
        <v>0</v>
      </c>
      <c r="CD27" s="54">
        <f t="shared" si="7"/>
        <v>0</v>
      </c>
      <c r="CE27" s="54">
        <f t="shared" si="7"/>
        <v>0</v>
      </c>
    </row>
    <row r="28" spans="1:83" x14ac:dyDescent="0.25">
      <c r="A28" s="128" t="str">
        <f>A$16</f>
        <v>Génisses 24 mois</v>
      </c>
      <c r="B28" s="60">
        <v>0.8</v>
      </c>
      <c r="C28" s="60">
        <v>0.8</v>
      </c>
      <c r="D28" s="60">
        <v>0.8</v>
      </c>
      <c r="E28" s="60">
        <v>0.8</v>
      </c>
      <c r="F28" s="60">
        <v>0.8</v>
      </c>
      <c r="G28" s="60">
        <v>0.8</v>
      </c>
      <c r="H28" s="60">
        <v>0.8</v>
      </c>
      <c r="I28" s="60">
        <v>0.8</v>
      </c>
      <c r="J28" s="60">
        <v>0.8</v>
      </c>
      <c r="K28" s="60">
        <v>0.8</v>
      </c>
      <c r="L28" s="60">
        <v>0.8</v>
      </c>
      <c r="M28" s="60">
        <v>0.8</v>
      </c>
      <c r="N28" s="60">
        <v>0.8</v>
      </c>
      <c r="O28" s="60">
        <v>0.8</v>
      </c>
      <c r="P28" s="60">
        <v>0.8</v>
      </c>
      <c r="Q28" s="60">
        <v>0.8</v>
      </c>
      <c r="R28" s="60">
        <v>0.8</v>
      </c>
      <c r="S28" s="60">
        <v>0.8</v>
      </c>
      <c r="T28" s="60">
        <v>0.8</v>
      </c>
      <c r="U28" s="60">
        <v>0.8</v>
      </c>
      <c r="V28" s="60">
        <v>0.8</v>
      </c>
      <c r="W28" s="60">
        <v>0.8</v>
      </c>
      <c r="X28" s="60">
        <v>0.8</v>
      </c>
      <c r="Y28" s="60">
        <v>0.8</v>
      </c>
      <c r="Z28" s="52"/>
      <c r="AB28" s="5"/>
      <c r="AC28" t="s">
        <v>386</v>
      </c>
      <c r="AE28" s="17">
        <v>12</v>
      </c>
      <c r="AG28" s="126" t="str">
        <f>HLOOKUP(AF$4,[1]Anx!$C$86:$CO$121,AE28)</f>
        <v xml:space="preserve">17 -alim veau </v>
      </c>
      <c r="AH28" s="61">
        <f t="shared" si="4"/>
        <v>17</v>
      </c>
      <c r="AI28" s="129">
        <f>Troupeau!B82</f>
        <v>2178</v>
      </c>
      <c r="AK28" s="54">
        <f t="shared" si="5"/>
        <v>0</v>
      </c>
      <c r="AL28" s="54">
        <f t="shared" si="6"/>
        <v>0</v>
      </c>
      <c r="AM28" s="54">
        <f t="shared" si="6"/>
        <v>0</v>
      </c>
      <c r="AN28" s="54">
        <f t="shared" si="2"/>
        <v>0</v>
      </c>
      <c r="AO28" s="54">
        <f t="shared" si="2"/>
        <v>0</v>
      </c>
      <c r="AP28" s="54">
        <f t="shared" si="2"/>
        <v>0</v>
      </c>
      <c r="AQ28" s="54">
        <f t="shared" si="2"/>
        <v>0</v>
      </c>
      <c r="AR28" s="54">
        <f t="shared" si="2"/>
        <v>0</v>
      </c>
      <c r="AS28" s="54">
        <f t="shared" si="2"/>
        <v>0</v>
      </c>
      <c r="AT28" s="54">
        <f t="shared" si="2"/>
        <v>0</v>
      </c>
      <c r="AU28" s="54">
        <f t="shared" si="2"/>
        <v>0</v>
      </c>
      <c r="AV28" s="54">
        <f t="shared" si="2"/>
        <v>0</v>
      </c>
      <c r="AW28" s="54">
        <f t="shared" si="2"/>
        <v>0</v>
      </c>
      <c r="AX28" s="54">
        <f t="shared" si="2"/>
        <v>0</v>
      </c>
      <c r="AY28" s="54">
        <f t="shared" si="2"/>
        <v>0</v>
      </c>
      <c r="AZ28" s="54">
        <f t="shared" si="2"/>
        <v>0</v>
      </c>
      <c r="BA28" s="54">
        <f t="shared" si="2"/>
        <v>2.2000000000000002</v>
      </c>
      <c r="BB28" s="54">
        <f t="shared" si="2"/>
        <v>0</v>
      </c>
      <c r="BC28" s="54">
        <f t="shared" si="7"/>
        <v>0</v>
      </c>
      <c r="BD28" s="54">
        <f t="shared" si="7"/>
        <v>0</v>
      </c>
      <c r="BE28" s="54">
        <f t="shared" si="7"/>
        <v>0</v>
      </c>
      <c r="BF28" s="54">
        <f t="shared" si="7"/>
        <v>0</v>
      </c>
      <c r="BG28" s="54">
        <f t="shared" si="7"/>
        <v>0</v>
      </c>
      <c r="BH28" s="54">
        <f t="shared" si="7"/>
        <v>0</v>
      </c>
      <c r="BI28" s="54">
        <f t="shared" si="7"/>
        <v>0</v>
      </c>
      <c r="BJ28" s="54">
        <f t="shared" si="7"/>
        <v>0</v>
      </c>
      <c r="BK28" s="54">
        <f t="shared" si="7"/>
        <v>0</v>
      </c>
      <c r="BL28" s="54">
        <f t="shared" si="7"/>
        <v>0</v>
      </c>
      <c r="BM28" s="54">
        <f t="shared" si="7"/>
        <v>0</v>
      </c>
      <c r="BN28" s="54">
        <f t="shared" si="7"/>
        <v>0</v>
      </c>
      <c r="BO28" s="54">
        <f t="shared" si="7"/>
        <v>0</v>
      </c>
      <c r="BP28" s="54">
        <f t="shared" si="7"/>
        <v>0</v>
      </c>
      <c r="BQ28" s="54">
        <f t="shared" si="7"/>
        <v>0</v>
      </c>
      <c r="BR28" s="54">
        <f t="shared" si="7"/>
        <v>0</v>
      </c>
      <c r="BS28" s="54">
        <f t="shared" si="7"/>
        <v>0</v>
      </c>
      <c r="BT28" s="54">
        <f t="shared" si="7"/>
        <v>0</v>
      </c>
      <c r="BU28" s="54">
        <f t="shared" si="7"/>
        <v>0</v>
      </c>
      <c r="BV28" s="54">
        <f t="shared" si="7"/>
        <v>0</v>
      </c>
      <c r="BW28" s="54">
        <f t="shared" si="7"/>
        <v>0</v>
      </c>
      <c r="BX28" s="54">
        <f t="shared" si="7"/>
        <v>0</v>
      </c>
      <c r="BY28" s="54">
        <f t="shared" si="7"/>
        <v>0</v>
      </c>
      <c r="BZ28" s="54">
        <f t="shared" si="7"/>
        <v>0</v>
      </c>
      <c r="CA28" s="54">
        <f t="shared" si="7"/>
        <v>0</v>
      </c>
      <c r="CB28" s="54">
        <f t="shared" si="7"/>
        <v>0</v>
      </c>
      <c r="CC28" s="54">
        <f t="shared" si="7"/>
        <v>0</v>
      </c>
      <c r="CD28" s="54">
        <f t="shared" si="7"/>
        <v>0</v>
      </c>
      <c r="CE28" s="54">
        <f t="shared" si="7"/>
        <v>0</v>
      </c>
    </row>
    <row r="29" spans="1:83" x14ac:dyDescent="0.25">
      <c r="A29" s="128" t="str">
        <f>A$17</f>
        <v>Génisses jeunes</v>
      </c>
      <c r="B29" s="60">
        <v>0.6</v>
      </c>
      <c r="C29" s="60">
        <v>0.6</v>
      </c>
      <c r="D29" s="60">
        <v>0.6</v>
      </c>
      <c r="E29" s="60">
        <v>0.6</v>
      </c>
      <c r="F29" s="60">
        <v>0.6</v>
      </c>
      <c r="G29" s="60">
        <v>0.6</v>
      </c>
      <c r="H29" s="60">
        <v>0.6</v>
      </c>
      <c r="I29" s="60">
        <v>0.6</v>
      </c>
      <c r="J29" s="60">
        <v>0.6</v>
      </c>
      <c r="K29" s="60">
        <v>0.6</v>
      </c>
      <c r="L29" s="60">
        <v>0.6</v>
      </c>
      <c r="M29" s="60">
        <v>0.6</v>
      </c>
      <c r="N29" s="60">
        <v>0.6</v>
      </c>
      <c r="O29" s="60">
        <v>0.6</v>
      </c>
      <c r="P29" s="60">
        <v>0.6</v>
      </c>
      <c r="Q29" s="60">
        <v>0.6</v>
      </c>
      <c r="R29" s="60">
        <v>0.6</v>
      </c>
      <c r="S29" s="60">
        <v>0.6</v>
      </c>
      <c r="T29" s="60">
        <v>0.6</v>
      </c>
      <c r="U29" s="60">
        <v>0.6</v>
      </c>
      <c r="V29" s="60">
        <v>0.6</v>
      </c>
      <c r="W29" s="60">
        <v>0.6</v>
      </c>
      <c r="X29" s="60">
        <v>0.6</v>
      </c>
      <c r="Y29" s="60">
        <v>0.6</v>
      </c>
      <c r="Z29" s="52"/>
      <c r="AB29" s="5"/>
      <c r="AC29" t="s">
        <v>387</v>
      </c>
      <c r="AE29" s="17">
        <v>13</v>
      </c>
      <c r="AG29" s="126">
        <f>HLOOKUP(AF$4,[1]Anx!$C$86:$CO$121,AE29)</f>
        <v>0</v>
      </c>
      <c r="AH29" s="61">
        <f t="shared" si="4"/>
        <v>0</v>
      </c>
      <c r="AI29" s="129">
        <f>Troupeau!B83</f>
        <v>0</v>
      </c>
      <c r="AK29" s="54">
        <f t="shared" si="5"/>
        <v>0</v>
      </c>
      <c r="AL29" s="54">
        <f t="shared" si="6"/>
        <v>0</v>
      </c>
      <c r="AM29" s="54">
        <f t="shared" si="6"/>
        <v>0</v>
      </c>
      <c r="AN29" s="54">
        <f t="shared" si="2"/>
        <v>0</v>
      </c>
      <c r="AO29" s="54">
        <f t="shared" si="2"/>
        <v>0</v>
      </c>
      <c r="AP29" s="54">
        <f t="shared" si="2"/>
        <v>0</v>
      </c>
      <c r="AQ29" s="54">
        <f t="shared" si="2"/>
        <v>0</v>
      </c>
      <c r="AR29" s="54">
        <f t="shared" si="2"/>
        <v>0</v>
      </c>
      <c r="AS29" s="54">
        <f t="shared" si="2"/>
        <v>0</v>
      </c>
      <c r="AT29" s="54">
        <f t="shared" si="2"/>
        <v>0</v>
      </c>
      <c r="AU29" s="54">
        <f t="shared" si="2"/>
        <v>0</v>
      </c>
      <c r="AV29" s="54">
        <f t="shared" si="2"/>
        <v>0</v>
      </c>
      <c r="AW29" s="54">
        <f t="shared" si="2"/>
        <v>0</v>
      </c>
      <c r="AX29" s="54">
        <f t="shared" si="2"/>
        <v>0</v>
      </c>
      <c r="AY29" s="54">
        <f t="shared" si="2"/>
        <v>0</v>
      </c>
      <c r="AZ29" s="54">
        <f t="shared" si="2"/>
        <v>0</v>
      </c>
      <c r="BA29" s="54">
        <f t="shared" si="2"/>
        <v>0</v>
      </c>
      <c r="BB29" s="54">
        <f t="shared" si="2"/>
        <v>0</v>
      </c>
      <c r="BC29" s="54">
        <f t="shared" si="7"/>
        <v>0</v>
      </c>
      <c r="BD29" s="54">
        <f t="shared" si="7"/>
        <v>0</v>
      </c>
      <c r="BE29" s="54">
        <f t="shared" si="7"/>
        <v>0</v>
      </c>
      <c r="BF29" s="54">
        <f t="shared" si="7"/>
        <v>0</v>
      </c>
      <c r="BG29" s="54">
        <f t="shared" si="7"/>
        <v>0</v>
      </c>
      <c r="BH29" s="54">
        <f t="shared" si="7"/>
        <v>0</v>
      </c>
      <c r="BI29" s="54">
        <f t="shared" si="7"/>
        <v>0</v>
      </c>
      <c r="BJ29" s="54">
        <f t="shared" si="7"/>
        <v>0</v>
      </c>
      <c r="BK29" s="54">
        <f t="shared" si="7"/>
        <v>0</v>
      </c>
      <c r="BL29" s="54">
        <f t="shared" si="7"/>
        <v>0</v>
      </c>
      <c r="BM29" s="54">
        <f t="shared" si="7"/>
        <v>0</v>
      </c>
      <c r="BN29" s="54">
        <f t="shared" si="7"/>
        <v>0</v>
      </c>
      <c r="BO29" s="54">
        <f t="shared" si="7"/>
        <v>0</v>
      </c>
      <c r="BP29" s="54">
        <f t="shared" si="7"/>
        <v>0</v>
      </c>
      <c r="BQ29" s="54">
        <f t="shared" si="7"/>
        <v>0</v>
      </c>
      <c r="BR29" s="54">
        <f t="shared" si="7"/>
        <v>0</v>
      </c>
      <c r="BS29" s="54">
        <f t="shared" si="7"/>
        <v>0</v>
      </c>
      <c r="BT29" s="54">
        <f t="shared" si="7"/>
        <v>0</v>
      </c>
      <c r="BU29" s="54">
        <f t="shared" si="7"/>
        <v>0</v>
      </c>
      <c r="BV29" s="54">
        <f t="shared" si="7"/>
        <v>0</v>
      </c>
      <c r="BW29" s="54">
        <f t="shared" si="7"/>
        <v>0</v>
      </c>
      <c r="BX29" s="54">
        <f t="shared" si="7"/>
        <v>0</v>
      </c>
      <c r="BY29" s="54">
        <f t="shared" si="7"/>
        <v>0</v>
      </c>
      <c r="BZ29" s="54">
        <f t="shared" si="7"/>
        <v>0</v>
      </c>
      <c r="CA29" s="54">
        <f t="shared" si="7"/>
        <v>0</v>
      </c>
      <c r="CB29" s="54">
        <f t="shared" si="7"/>
        <v>0</v>
      </c>
      <c r="CC29" s="54">
        <f t="shared" si="7"/>
        <v>0</v>
      </c>
      <c r="CD29" s="54">
        <f t="shared" si="7"/>
        <v>0</v>
      </c>
      <c r="CE29" s="54">
        <f t="shared" si="7"/>
        <v>0</v>
      </c>
    </row>
    <row r="30" spans="1:83" x14ac:dyDescent="0.25">
      <c r="A30" s="128" t="str">
        <f>A18</f>
        <v>broutards</v>
      </c>
      <c r="B30" s="60">
        <v>0.15</v>
      </c>
      <c r="C30" s="60">
        <v>0.15</v>
      </c>
      <c r="D30" s="60">
        <v>0.15</v>
      </c>
      <c r="E30" s="60">
        <v>0.15</v>
      </c>
      <c r="F30" s="60">
        <v>0.15</v>
      </c>
      <c r="G30" s="60">
        <v>0.15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>
        <v>0.15</v>
      </c>
      <c r="V30" s="60">
        <v>0.15</v>
      </c>
      <c r="W30" s="60">
        <v>0.15</v>
      </c>
      <c r="X30" s="60">
        <v>0.15</v>
      </c>
      <c r="Y30" s="60">
        <v>0.15</v>
      </c>
      <c r="Z30" s="52"/>
      <c r="AB30" s="5"/>
      <c r="AC30" t="s">
        <v>388</v>
      </c>
      <c r="AE30" s="17">
        <v>14</v>
      </c>
      <c r="AG30" s="126">
        <f>HLOOKUP(AF$4,[1]Anx!$C$86:$CO$121,AE30)</f>
        <v>0</v>
      </c>
      <c r="AH30" s="61">
        <f t="shared" si="4"/>
        <v>0</v>
      </c>
      <c r="AI30" s="129">
        <f>Troupeau!B84</f>
        <v>0</v>
      </c>
      <c r="AK30" s="54">
        <f t="shared" si="5"/>
        <v>0</v>
      </c>
      <c r="AL30" s="54">
        <f t="shared" si="6"/>
        <v>0</v>
      </c>
      <c r="AM30" s="54">
        <f t="shared" si="6"/>
        <v>0</v>
      </c>
      <c r="AN30" s="54">
        <f t="shared" si="2"/>
        <v>0</v>
      </c>
      <c r="AO30" s="54">
        <f t="shared" si="2"/>
        <v>0</v>
      </c>
      <c r="AP30" s="54">
        <f t="shared" si="2"/>
        <v>0</v>
      </c>
      <c r="AQ30" s="54">
        <f t="shared" si="2"/>
        <v>0</v>
      </c>
      <c r="AR30" s="54">
        <f t="shared" si="2"/>
        <v>0</v>
      </c>
      <c r="AS30" s="54">
        <f t="shared" si="2"/>
        <v>0</v>
      </c>
      <c r="AT30" s="54">
        <f t="shared" si="2"/>
        <v>0</v>
      </c>
      <c r="AU30" s="54">
        <f t="shared" si="2"/>
        <v>0</v>
      </c>
      <c r="AV30" s="54">
        <f t="shared" si="2"/>
        <v>0</v>
      </c>
      <c r="AW30" s="54">
        <f t="shared" si="2"/>
        <v>0</v>
      </c>
      <c r="AX30" s="54">
        <f t="shared" si="2"/>
        <v>0</v>
      </c>
      <c r="AY30" s="54">
        <f t="shared" si="2"/>
        <v>0</v>
      </c>
      <c r="AZ30" s="54">
        <f t="shared" si="2"/>
        <v>0</v>
      </c>
      <c r="BA30" s="54">
        <f t="shared" si="2"/>
        <v>0</v>
      </c>
      <c r="BB30" s="54">
        <f t="shared" si="2"/>
        <v>0</v>
      </c>
      <c r="BC30" s="54">
        <f t="shared" si="7"/>
        <v>0</v>
      </c>
      <c r="BD30" s="54">
        <f t="shared" si="7"/>
        <v>0</v>
      </c>
      <c r="BE30" s="54">
        <f t="shared" si="7"/>
        <v>0</v>
      </c>
      <c r="BF30" s="54">
        <f t="shared" si="7"/>
        <v>0</v>
      </c>
      <c r="BG30" s="54">
        <f t="shared" si="7"/>
        <v>0</v>
      </c>
      <c r="BH30" s="54">
        <f t="shared" si="7"/>
        <v>0</v>
      </c>
      <c r="BI30" s="54">
        <f t="shared" si="7"/>
        <v>0</v>
      </c>
      <c r="BJ30" s="54">
        <f t="shared" si="7"/>
        <v>0</v>
      </c>
      <c r="BK30" s="54">
        <f t="shared" si="7"/>
        <v>0</v>
      </c>
      <c r="BL30" s="54">
        <f t="shared" si="7"/>
        <v>0</v>
      </c>
      <c r="BM30" s="54">
        <f t="shared" si="7"/>
        <v>0</v>
      </c>
      <c r="BN30" s="54">
        <f t="shared" si="7"/>
        <v>0</v>
      </c>
      <c r="BO30" s="54">
        <f t="shared" si="7"/>
        <v>0</v>
      </c>
      <c r="BP30" s="54">
        <f t="shared" si="7"/>
        <v>0</v>
      </c>
      <c r="BQ30" s="54">
        <f t="shared" si="7"/>
        <v>0</v>
      </c>
      <c r="BR30" s="54">
        <f t="shared" si="7"/>
        <v>0</v>
      </c>
      <c r="BS30" s="54">
        <f t="shared" si="7"/>
        <v>0</v>
      </c>
      <c r="BT30" s="54">
        <f t="shared" si="7"/>
        <v>0</v>
      </c>
      <c r="BU30" s="54">
        <f t="shared" si="7"/>
        <v>0</v>
      </c>
      <c r="BV30" s="54">
        <f t="shared" si="7"/>
        <v>0</v>
      </c>
      <c r="BW30" s="54">
        <f t="shared" si="7"/>
        <v>0</v>
      </c>
      <c r="BX30" s="54">
        <f t="shared" si="7"/>
        <v>0</v>
      </c>
      <c r="BY30" s="54">
        <f t="shared" si="7"/>
        <v>0</v>
      </c>
      <c r="BZ30" s="54">
        <f t="shared" si="7"/>
        <v>0</v>
      </c>
      <c r="CA30" s="54">
        <f t="shared" si="7"/>
        <v>0</v>
      </c>
      <c r="CB30" s="54">
        <f t="shared" si="7"/>
        <v>0</v>
      </c>
      <c r="CC30" s="54">
        <f t="shared" si="7"/>
        <v>0</v>
      </c>
      <c r="CD30" s="54">
        <f t="shared" si="7"/>
        <v>0</v>
      </c>
      <c r="CE30" s="54">
        <f t="shared" si="7"/>
        <v>0</v>
      </c>
    </row>
    <row r="31" spans="1:83" x14ac:dyDescent="0.25">
      <c r="A31" s="128" t="s">
        <v>1460</v>
      </c>
      <c r="B31" s="60">
        <v>0.35</v>
      </c>
      <c r="C31" s="60">
        <v>0.35</v>
      </c>
      <c r="D31" s="60">
        <v>0.35</v>
      </c>
      <c r="E31" s="60">
        <v>0.35</v>
      </c>
      <c r="F31" s="60">
        <v>0.35</v>
      </c>
      <c r="G31" s="60">
        <v>0.35</v>
      </c>
      <c r="H31" s="60">
        <v>0.35</v>
      </c>
      <c r="I31" s="60">
        <v>0.35</v>
      </c>
      <c r="J31" s="60">
        <v>0.35</v>
      </c>
      <c r="K31" s="60">
        <v>0.35</v>
      </c>
      <c r="L31" s="60">
        <v>0.35</v>
      </c>
      <c r="M31" s="60">
        <v>0.35</v>
      </c>
      <c r="N31" s="60">
        <v>0.35</v>
      </c>
      <c r="O31" s="60">
        <v>0.35</v>
      </c>
      <c r="P31" s="60">
        <v>0.35</v>
      </c>
      <c r="Q31" s="60">
        <v>0.35</v>
      </c>
      <c r="R31" s="60">
        <v>0.35</v>
      </c>
      <c r="S31" s="60">
        <v>0.35</v>
      </c>
      <c r="T31" s="60">
        <v>0.35</v>
      </c>
      <c r="U31" s="60">
        <v>0.35</v>
      </c>
      <c r="V31" s="60">
        <v>0.35</v>
      </c>
      <c r="W31" s="60">
        <v>0.35</v>
      </c>
      <c r="X31" s="60">
        <v>0.35</v>
      </c>
      <c r="Y31" s="60">
        <v>0.35</v>
      </c>
      <c r="Z31" s="52"/>
      <c r="AB31" s="5"/>
      <c r="AC31" t="s">
        <v>389</v>
      </c>
      <c r="AE31" s="17">
        <v>15</v>
      </c>
      <c r="AG31" s="126">
        <f>HLOOKUP(AF$4,[1]Anx!$C$86:$CO$121,AE31)</f>
        <v>0</v>
      </c>
      <c r="AH31" s="61">
        <f t="shared" si="4"/>
        <v>0</v>
      </c>
      <c r="AI31" s="129">
        <f>Troupeau!B85</f>
        <v>0</v>
      </c>
      <c r="AK31" s="54">
        <f t="shared" si="5"/>
        <v>0</v>
      </c>
      <c r="AL31" s="54">
        <f t="shared" si="6"/>
        <v>0</v>
      </c>
      <c r="AM31" s="54">
        <f t="shared" si="6"/>
        <v>0</v>
      </c>
      <c r="AN31" s="54">
        <f t="shared" si="2"/>
        <v>0</v>
      </c>
      <c r="AO31" s="54">
        <f t="shared" si="2"/>
        <v>0</v>
      </c>
      <c r="AP31" s="54">
        <f t="shared" si="2"/>
        <v>0</v>
      </c>
      <c r="AQ31" s="54">
        <f t="shared" si="2"/>
        <v>0</v>
      </c>
      <c r="AR31" s="54">
        <f t="shared" si="2"/>
        <v>0</v>
      </c>
      <c r="AS31" s="54">
        <f t="shared" si="2"/>
        <v>0</v>
      </c>
      <c r="AT31" s="54">
        <f t="shared" si="2"/>
        <v>0</v>
      </c>
      <c r="AU31" s="54">
        <f t="shared" si="2"/>
        <v>0</v>
      </c>
      <c r="AV31" s="54">
        <f t="shared" si="2"/>
        <v>0</v>
      </c>
      <c r="AW31" s="54">
        <f t="shared" si="2"/>
        <v>0</v>
      </c>
      <c r="AX31" s="54">
        <f t="shared" si="2"/>
        <v>0</v>
      </c>
      <c r="AY31" s="54">
        <f t="shared" si="2"/>
        <v>0</v>
      </c>
      <c r="AZ31" s="54">
        <f t="shared" si="2"/>
        <v>0</v>
      </c>
      <c r="BA31" s="54">
        <f t="shared" si="2"/>
        <v>0</v>
      </c>
      <c r="BB31" s="54">
        <f t="shared" si="2"/>
        <v>0</v>
      </c>
      <c r="BC31" s="54">
        <f t="shared" si="7"/>
        <v>0</v>
      </c>
      <c r="BD31" s="54">
        <f t="shared" si="7"/>
        <v>0</v>
      </c>
      <c r="BE31" s="54">
        <f t="shared" si="7"/>
        <v>0</v>
      </c>
      <c r="BF31" s="54">
        <f t="shared" si="7"/>
        <v>0</v>
      </c>
      <c r="BG31" s="54">
        <f t="shared" si="7"/>
        <v>0</v>
      </c>
      <c r="BH31" s="54">
        <f t="shared" si="7"/>
        <v>0</v>
      </c>
      <c r="BI31" s="54">
        <f t="shared" si="7"/>
        <v>0</v>
      </c>
      <c r="BJ31" s="54">
        <f t="shared" si="7"/>
        <v>0</v>
      </c>
      <c r="BK31" s="54">
        <f t="shared" si="7"/>
        <v>0</v>
      </c>
      <c r="BL31" s="54">
        <f t="shared" si="7"/>
        <v>0</v>
      </c>
      <c r="BM31" s="54">
        <f t="shared" si="7"/>
        <v>0</v>
      </c>
      <c r="BN31" s="54">
        <f t="shared" si="7"/>
        <v>0</v>
      </c>
      <c r="BO31" s="54">
        <f t="shared" si="7"/>
        <v>0</v>
      </c>
      <c r="BP31" s="54">
        <f t="shared" si="7"/>
        <v>0</v>
      </c>
      <c r="BQ31" s="54">
        <f t="shared" si="7"/>
        <v>0</v>
      </c>
      <c r="BR31" s="54">
        <f t="shared" si="7"/>
        <v>0</v>
      </c>
      <c r="BS31" s="54">
        <f t="shared" si="7"/>
        <v>0</v>
      </c>
      <c r="BT31" s="54">
        <f t="shared" si="7"/>
        <v>0</v>
      </c>
      <c r="BU31" s="54">
        <f t="shared" si="7"/>
        <v>0</v>
      </c>
      <c r="BV31" s="54">
        <f t="shared" si="7"/>
        <v>0</v>
      </c>
      <c r="BW31" s="54">
        <f t="shared" si="7"/>
        <v>0</v>
      </c>
      <c r="BX31" s="54">
        <f t="shared" si="7"/>
        <v>0</v>
      </c>
      <c r="BY31" s="54">
        <f t="shared" si="7"/>
        <v>0</v>
      </c>
      <c r="BZ31" s="54">
        <f t="shared" si="7"/>
        <v>0</v>
      </c>
      <c r="CA31" s="54">
        <f t="shared" si="7"/>
        <v>0</v>
      </c>
      <c r="CB31" s="54">
        <f t="shared" si="7"/>
        <v>0</v>
      </c>
      <c r="CC31" s="54">
        <f t="shared" si="7"/>
        <v>0</v>
      </c>
      <c r="CD31" s="54">
        <f t="shared" si="7"/>
        <v>0</v>
      </c>
      <c r="CE31" s="54">
        <f t="shared" si="7"/>
        <v>0</v>
      </c>
    </row>
    <row r="32" spans="1:83" x14ac:dyDescent="0.25">
      <c r="A32" s="127" t="str">
        <f>A$20</f>
        <v>lot6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52"/>
      <c r="AB32" s="5"/>
      <c r="AC32" t="s">
        <v>390</v>
      </c>
      <c r="AE32" s="17">
        <v>16</v>
      </c>
      <c r="AG32" s="126">
        <f>HLOOKUP(AF$4,[1]Anx!$C$86:$CO$121,AE32)</f>
        <v>0</v>
      </c>
      <c r="AH32" s="61">
        <f t="shared" si="4"/>
        <v>0</v>
      </c>
      <c r="AI32" s="129">
        <f>Troupeau!B86</f>
        <v>0</v>
      </c>
      <c r="AK32" s="54">
        <f t="shared" si="5"/>
        <v>0</v>
      </c>
      <c r="AL32" s="54">
        <f t="shared" si="6"/>
        <v>0</v>
      </c>
      <c r="AM32" s="54">
        <f t="shared" si="6"/>
        <v>0</v>
      </c>
      <c r="AN32" s="54">
        <f t="shared" si="2"/>
        <v>0</v>
      </c>
      <c r="AO32" s="54">
        <f t="shared" si="2"/>
        <v>0</v>
      </c>
      <c r="AP32" s="54">
        <f t="shared" si="2"/>
        <v>0</v>
      </c>
      <c r="AQ32" s="54">
        <f t="shared" si="2"/>
        <v>0</v>
      </c>
      <c r="AR32" s="54">
        <f t="shared" si="2"/>
        <v>0</v>
      </c>
      <c r="AS32" s="54">
        <f t="shared" si="2"/>
        <v>0</v>
      </c>
      <c r="AT32" s="54">
        <f t="shared" si="2"/>
        <v>0</v>
      </c>
      <c r="AU32" s="54">
        <f t="shared" si="2"/>
        <v>0</v>
      </c>
      <c r="AV32" s="54">
        <f t="shared" si="2"/>
        <v>0</v>
      </c>
      <c r="AW32" s="54">
        <f t="shared" si="2"/>
        <v>0</v>
      </c>
      <c r="AX32" s="54">
        <f t="shared" si="2"/>
        <v>0</v>
      </c>
      <c r="AY32" s="54">
        <f t="shared" si="2"/>
        <v>0</v>
      </c>
      <c r="AZ32" s="54">
        <f t="shared" si="2"/>
        <v>0</v>
      </c>
      <c r="BA32" s="54">
        <f t="shared" si="2"/>
        <v>0</v>
      </c>
      <c r="BB32" s="54">
        <f t="shared" si="2"/>
        <v>0</v>
      </c>
      <c r="BC32" s="54">
        <f t="shared" si="7"/>
        <v>0</v>
      </c>
      <c r="BD32" s="54">
        <f t="shared" si="7"/>
        <v>0</v>
      </c>
      <c r="BE32" s="54">
        <f t="shared" si="7"/>
        <v>0</v>
      </c>
      <c r="BF32" s="54">
        <f t="shared" si="7"/>
        <v>0</v>
      </c>
      <c r="BG32" s="54">
        <f t="shared" si="7"/>
        <v>0</v>
      </c>
      <c r="BH32" s="54">
        <f t="shared" si="7"/>
        <v>0</v>
      </c>
      <c r="BI32" s="54">
        <f t="shared" si="7"/>
        <v>0</v>
      </c>
      <c r="BJ32" s="54">
        <f t="shared" si="7"/>
        <v>0</v>
      </c>
      <c r="BK32" s="54">
        <f t="shared" si="7"/>
        <v>0</v>
      </c>
      <c r="BL32" s="54">
        <f t="shared" si="7"/>
        <v>0</v>
      </c>
      <c r="BM32" s="54">
        <f t="shared" si="7"/>
        <v>0</v>
      </c>
      <c r="BN32" s="54">
        <f t="shared" si="7"/>
        <v>0</v>
      </c>
      <c r="BO32" s="54">
        <f t="shared" si="7"/>
        <v>0</v>
      </c>
      <c r="BP32" s="54">
        <f t="shared" si="7"/>
        <v>0</v>
      </c>
      <c r="BQ32" s="54">
        <f t="shared" si="7"/>
        <v>0</v>
      </c>
      <c r="BR32" s="54">
        <f t="shared" si="7"/>
        <v>0</v>
      </c>
      <c r="BS32" s="54">
        <f t="shared" si="7"/>
        <v>0</v>
      </c>
      <c r="BT32" s="54">
        <f t="shared" si="7"/>
        <v>0</v>
      </c>
      <c r="BU32" s="54">
        <f t="shared" si="7"/>
        <v>0</v>
      </c>
      <c r="BV32" s="54">
        <f t="shared" si="7"/>
        <v>0</v>
      </c>
      <c r="BW32" s="54">
        <f t="shared" si="7"/>
        <v>0</v>
      </c>
      <c r="BX32" s="54">
        <f t="shared" si="7"/>
        <v>0</v>
      </c>
      <c r="BY32" s="54">
        <f t="shared" si="7"/>
        <v>0</v>
      </c>
      <c r="BZ32" s="54">
        <f t="shared" si="7"/>
        <v>0</v>
      </c>
      <c r="CA32" s="54">
        <f t="shared" si="7"/>
        <v>0</v>
      </c>
      <c r="CB32" s="54">
        <f t="shared" si="7"/>
        <v>0</v>
      </c>
      <c r="CC32" s="54">
        <f t="shared" si="7"/>
        <v>0</v>
      </c>
      <c r="CD32" s="54">
        <f t="shared" si="7"/>
        <v>0</v>
      </c>
      <c r="CE32" s="54">
        <f t="shared" si="7"/>
        <v>0</v>
      </c>
    </row>
    <row r="33" spans="1:83" x14ac:dyDescent="0.25">
      <c r="A33" s="128" t="str">
        <f>A$21</f>
        <v>lot7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52"/>
      <c r="AB33" s="5"/>
      <c r="AC33" t="s">
        <v>391</v>
      </c>
      <c r="AE33" s="17">
        <v>17</v>
      </c>
      <c r="AG33" s="126" t="str">
        <f>HLOOKUP(AF$4,[1]Anx!$C$86:$CO$121,AE33)</f>
        <v xml:space="preserve">17 -alim veau </v>
      </c>
      <c r="AH33" s="61">
        <f t="shared" si="4"/>
        <v>17</v>
      </c>
      <c r="AI33" s="129">
        <f>Troupeau!B87</f>
        <v>2178</v>
      </c>
      <c r="AK33" s="54">
        <f t="shared" si="5"/>
        <v>0</v>
      </c>
      <c r="AL33" s="54">
        <f t="shared" si="6"/>
        <v>0</v>
      </c>
      <c r="AM33" s="54">
        <f t="shared" si="6"/>
        <v>0</v>
      </c>
      <c r="AN33" s="54">
        <f t="shared" si="2"/>
        <v>0</v>
      </c>
      <c r="AO33" s="54">
        <f t="shared" si="2"/>
        <v>0</v>
      </c>
      <c r="AP33" s="54">
        <f t="shared" si="2"/>
        <v>0</v>
      </c>
      <c r="AQ33" s="54">
        <f t="shared" si="2"/>
        <v>0</v>
      </c>
      <c r="AR33" s="54">
        <f t="shared" si="2"/>
        <v>0</v>
      </c>
      <c r="AS33" s="54">
        <f t="shared" si="2"/>
        <v>0</v>
      </c>
      <c r="AT33" s="54">
        <f t="shared" si="2"/>
        <v>0</v>
      </c>
      <c r="AU33" s="54">
        <f t="shared" si="2"/>
        <v>0</v>
      </c>
      <c r="AV33" s="54">
        <f t="shared" si="2"/>
        <v>0</v>
      </c>
      <c r="AW33" s="54">
        <f t="shared" si="2"/>
        <v>0</v>
      </c>
      <c r="AX33" s="54">
        <f t="shared" si="2"/>
        <v>0</v>
      </c>
      <c r="AY33" s="54">
        <f t="shared" si="2"/>
        <v>0</v>
      </c>
      <c r="AZ33" s="54">
        <f t="shared" si="2"/>
        <v>0</v>
      </c>
      <c r="BA33" s="54">
        <f t="shared" si="2"/>
        <v>2.2000000000000002</v>
      </c>
      <c r="BB33" s="54">
        <f t="shared" si="2"/>
        <v>0</v>
      </c>
      <c r="BC33" s="54">
        <f t="shared" si="7"/>
        <v>0</v>
      </c>
      <c r="BD33" s="54">
        <f t="shared" si="7"/>
        <v>0</v>
      </c>
      <c r="BE33" s="54">
        <f t="shared" si="7"/>
        <v>0</v>
      </c>
      <c r="BF33" s="54">
        <f t="shared" si="7"/>
        <v>0</v>
      </c>
      <c r="BG33" s="54">
        <f t="shared" si="7"/>
        <v>0</v>
      </c>
      <c r="BH33" s="54">
        <f t="shared" si="7"/>
        <v>0</v>
      </c>
      <c r="BI33" s="54">
        <f t="shared" si="7"/>
        <v>0</v>
      </c>
      <c r="BJ33" s="54">
        <f t="shared" si="7"/>
        <v>0</v>
      </c>
      <c r="BK33" s="54">
        <f t="shared" si="7"/>
        <v>0</v>
      </c>
      <c r="BL33" s="54">
        <f t="shared" si="7"/>
        <v>0</v>
      </c>
      <c r="BM33" s="54">
        <f t="shared" si="7"/>
        <v>0</v>
      </c>
      <c r="BN33" s="54">
        <f t="shared" si="7"/>
        <v>0</v>
      </c>
      <c r="BO33" s="54">
        <f t="shared" si="7"/>
        <v>0</v>
      </c>
      <c r="BP33" s="54">
        <f t="shared" si="7"/>
        <v>0</v>
      </c>
      <c r="BQ33" s="54">
        <f t="shared" si="7"/>
        <v>0</v>
      </c>
      <c r="BR33" s="54">
        <f t="shared" si="7"/>
        <v>0</v>
      </c>
      <c r="BS33" s="54">
        <f t="shared" si="7"/>
        <v>0</v>
      </c>
      <c r="BT33" s="54">
        <f t="shared" si="7"/>
        <v>0</v>
      </c>
      <c r="BU33" s="54">
        <f t="shared" si="7"/>
        <v>0</v>
      </c>
      <c r="BV33" s="54">
        <f t="shared" si="7"/>
        <v>0</v>
      </c>
      <c r="BW33" s="54">
        <f t="shared" si="7"/>
        <v>0</v>
      </c>
      <c r="BX33" s="54">
        <f t="shared" si="7"/>
        <v>0</v>
      </c>
      <c r="BY33" s="54">
        <f t="shared" si="7"/>
        <v>0</v>
      </c>
      <c r="BZ33" s="54">
        <f t="shared" si="7"/>
        <v>0</v>
      </c>
      <c r="CA33" s="54">
        <f t="shared" si="7"/>
        <v>0</v>
      </c>
      <c r="CB33" s="54">
        <f t="shared" si="7"/>
        <v>0</v>
      </c>
      <c r="CC33" s="54">
        <f t="shared" si="7"/>
        <v>0</v>
      </c>
      <c r="CD33" s="54">
        <f t="shared" si="7"/>
        <v>0</v>
      </c>
      <c r="CE33" s="54">
        <f t="shared" si="7"/>
        <v>0</v>
      </c>
    </row>
    <row r="34" spans="1:83" x14ac:dyDescent="0.25">
      <c r="A34" s="128" t="str">
        <f>A$22</f>
        <v>lot8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52"/>
      <c r="AB34" s="5"/>
      <c r="AC34" t="s">
        <v>392</v>
      </c>
      <c r="AE34" s="17">
        <v>18</v>
      </c>
      <c r="AG34" s="126">
        <f>HLOOKUP(AF$4,[1]Anx!$C$86:$CO$121,AE34)</f>
        <v>0</v>
      </c>
      <c r="AH34" s="61">
        <f t="shared" si="4"/>
        <v>0</v>
      </c>
      <c r="AI34" s="129">
        <f>Troupeau!B88</f>
        <v>0</v>
      </c>
      <c r="AK34" s="54">
        <f t="shared" si="5"/>
        <v>0</v>
      </c>
      <c r="AL34" s="54">
        <f t="shared" si="6"/>
        <v>0</v>
      </c>
      <c r="AM34" s="54">
        <f t="shared" si="6"/>
        <v>0</v>
      </c>
      <c r="AN34" s="54">
        <f t="shared" si="6"/>
        <v>0</v>
      </c>
      <c r="AO34" s="54">
        <f t="shared" si="6"/>
        <v>0</v>
      </c>
      <c r="AP34" s="54">
        <f t="shared" si="6"/>
        <v>0</v>
      </c>
      <c r="AQ34" s="54">
        <f t="shared" si="6"/>
        <v>0</v>
      </c>
      <c r="AR34" s="54">
        <f t="shared" si="6"/>
        <v>0</v>
      </c>
      <c r="AS34" s="54">
        <f t="shared" si="6"/>
        <v>0</v>
      </c>
      <c r="AT34" s="54">
        <f t="shared" si="6"/>
        <v>0</v>
      </c>
      <c r="AU34" s="54">
        <f t="shared" si="6"/>
        <v>0</v>
      </c>
      <c r="AV34" s="54">
        <f t="shared" si="6"/>
        <v>0</v>
      </c>
      <c r="AW34" s="54">
        <f t="shared" si="6"/>
        <v>0</v>
      </c>
      <c r="AX34" s="54">
        <f t="shared" si="6"/>
        <v>0</v>
      </c>
      <c r="AY34" s="54">
        <f t="shared" si="6"/>
        <v>0</v>
      </c>
      <c r="AZ34" s="54">
        <f t="shared" si="6"/>
        <v>0</v>
      </c>
      <c r="BA34" s="54">
        <f t="shared" si="6"/>
        <v>0</v>
      </c>
      <c r="BB34" s="54">
        <f t="shared" ref="AN34:BC50" si="8">IF($AH34=BB$17,ROUND($AI34/1000,1),0)</f>
        <v>0</v>
      </c>
      <c r="BC34" s="54">
        <f t="shared" si="7"/>
        <v>0</v>
      </c>
      <c r="BD34" s="54">
        <f t="shared" si="7"/>
        <v>0</v>
      </c>
      <c r="BE34" s="54">
        <f t="shared" si="7"/>
        <v>0</v>
      </c>
      <c r="BF34" s="54">
        <f t="shared" si="7"/>
        <v>0</v>
      </c>
      <c r="BG34" s="54">
        <f t="shared" si="7"/>
        <v>0</v>
      </c>
      <c r="BH34" s="54">
        <f t="shared" si="7"/>
        <v>0</v>
      </c>
      <c r="BI34" s="54">
        <f t="shared" si="7"/>
        <v>0</v>
      </c>
      <c r="BJ34" s="54">
        <f t="shared" si="7"/>
        <v>0</v>
      </c>
      <c r="BK34" s="54">
        <f t="shared" si="7"/>
        <v>0</v>
      </c>
      <c r="BL34" s="54">
        <f t="shared" si="7"/>
        <v>0</v>
      </c>
      <c r="BM34" s="54">
        <f t="shared" si="7"/>
        <v>0</v>
      </c>
      <c r="BN34" s="54">
        <f t="shared" si="7"/>
        <v>0</v>
      </c>
      <c r="BO34" s="54">
        <f t="shared" si="7"/>
        <v>0</v>
      </c>
      <c r="BP34" s="54">
        <f t="shared" si="7"/>
        <v>0</v>
      </c>
      <c r="BQ34" s="54">
        <f t="shared" si="7"/>
        <v>0</v>
      </c>
      <c r="BR34" s="54">
        <f t="shared" si="7"/>
        <v>0</v>
      </c>
      <c r="BS34" s="54">
        <f t="shared" si="7"/>
        <v>0</v>
      </c>
      <c r="BT34" s="54">
        <f t="shared" si="7"/>
        <v>0</v>
      </c>
      <c r="BU34" s="54">
        <f t="shared" si="7"/>
        <v>0</v>
      </c>
      <c r="BV34" s="54">
        <f t="shared" si="7"/>
        <v>0</v>
      </c>
      <c r="BW34" s="54">
        <f t="shared" si="7"/>
        <v>0</v>
      </c>
      <c r="BX34" s="54">
        <f t="shared" si="7"/>
        <v>0</v>
      </c>
      <c r="BY34" s="54">
        <f t="shared" si="7"/>
        <v>0</v>
      </c>
      <c r="BZ34" s="54">
        <f t="shared" si="7"/>
        <v>0</v>
      </c>
      <c r="CA34" s="54">
        <f t="shared" si="7"/>
        <v>0</v>
      </c>
      <c r="CB34" s="54">
        <f t="shared" si="7"/>
        <v>0</v>
      </c>
      <c r="CC34" s="54">
        <f t="shared" si="7"/>
        <v>0</v>
      </c>
      <c r="CD34" s="54">
        <f t="shared" si="7"/>
        <v>0</v>
      </c>
      <c r="CE34" s="54">
        <f t="shared" si="7"/>
        <v>0</v>
      </c>
    </row>
    <row r="35" spans="1:83" x14ac:dyDescent="0.25">
      <c r="A35" s="127" t="str">
        <f>A$23</f>
        <v>lot9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52"/>
      <c r="AB35" s="5"/>
      <c r="AC35" t="s">
        <v>393</v>
      </c>
      <c r="AE35" s="17">
        <v>19</v>
      </c>
      <c r="AG35" s="126">
        <f>HLOOKUP(AF$4,[1]Anx!$C$86:$CO$121,AE35)</f>
        <v>0</v>
      </c>
      <c r="AH35" s="61">
        <f t="shared" si="4"/>
        <v>0</v>
      </c>
      <c r="AI35" s="129">
        <f>Troupeau!B89</f>
        <v>0</v>
      </c>
      <c r="AK35" s="54">
        <f t="shared" si="5"/>
        <v>0</v>
      </c>
      <c r="AL35" s="54">
        <f t="shared" ref="AL35:BA52" si="9">IF($AH35=AL$17,ROUND($AI35/1000,1),0)</f>
        <v>0</v>
      </c>
      <c r="AM35" s="54">
        <f t="shared" si="9"/>
        <v>0</v>
      </c>
      <c r="AN35" s="54">
        <f t="shared" si="8"/>
        <v>0</v>
      </c>
      <c r="AO35" s="54">
        <f t="shared" si="8"/>
        <v>0</v>
      </c>
      <c r="AP35" s="54">
        <f t="shared" si="8"/>
        <v>0</v>
      </c>
      <c r="AQ35" s="54">
        <f t="shared" si="8"/>
        <v>0</v>
      </c>
      <c r="AR35" s="54">
        <f t="shared" si="8"/>
        <v>0</v>
      </c>
      <c r="AS35" s="54">
        <f t="shared" si="8"/>
        <v>0</v>
      </c>
      <c r="AT35" s="54">
        <f t="shared" si="8"/>
        <v>0</v>
      </c>
      <c r="AU35" s="54">
        <f t="shared" si="8"/>
        <v>0</v>
      </c>
      <c r="AV35" s="54">
        <f t="shared" si="8"/>
        <v>0</v>
      </c>
      <c r="AW35" s="54">
        <f t="shared" si="8"/>
        <v>0</v>
      </c>
      <c r="AX35" s="54">
        <f t="shared" si="8"/>
        <v>0</v>
      </c>
      <c r="AY35" s="54">
        <f t="shared" si="8"/>
        <v>0</v>
      </c>
      <c r="AZ35" s="54">
        <f t="shared" si="8"/>
        <v>0</v>
      </c>
      <c r="BA35" s="54">
        <f t="shared" si="8"/>
        <v>0</v>
      </c>
      <c r="BB35" s="54">
        <f t="shared" si="8"/>
        <v>0</v>
      </c>
      <c r="BC35" s="54">
        <f t="shared" si="7"/>
        <v>0</v>
      </c>
      <c r="BD35" s="54">
        <f t="shared" si="7"/>
        <v>0</v>
      </c>
      <c r="BE35" s="54">
        <f t="shared" si="7"/>
        <v>0</v>
      </c>
      <c r="BF35" s="54">
        <f t="shared" si="7"/>
        <v>0</v>
      </c>
      <c r="BG35" s="54">
        <f t="shared" si="7"/>
        <v>0</v>
      </c>
      <c r="BH35" s="54">
        <f t="shared" si="7"/>
        <v>0</v>
      </c>
      <c r="BI35" s="54">
        <f t="shared" si="7"/>
        <v>0</v>
      </c>
      <c r="BJ35" s="54">
        <f t="shared" si="7"/>
        <v>0</v>
      </c>
      <c r="BK35" s="54">
        <f t="shared" si="7"/>
        <v>0</v>
      </c>
      <c r="BL35" s="54">
        <f t="shared" si="7"/>
        <v>0</v>
      </c>
      <c r="BM35" s="54">
        <f t="shared" si="7"/>
        <v>0</v>
      </c>
      <c r="BN35" s="54">
        <f t="shared" si="7"/>
        <v>0</v>
      </c>
      <c r="BO35" s="54">
        <f t="shared" si="7"/>
        <v>0</v>
      </c>
      <c r="BP35" s="54">
        <f t="shared" si="7"/>
        <v>0</v>
      </c>
      <c r="BQ35" s="54">
        <f t="shared" si="7"/>
        <v>0</v>
      </c>
      <c r="BR35" s="54">
        <f t="shared" si="7"/>
        <v>0</v>
      </c>
      <c r="BS35" s="54">
        <f t="shared" si="7"/>
        <v>0</v>
      </c>
      <c r="BT35" s="54">
        <f t="shared" si="7"/>
        <v>0</v>
      </c>
      <c r="BU35" s="54">
        <f t="shared" ref="BU35:CE35" si="10">IF($AH35=BU$17,ROUND($AI35/1000,1),0)</f>
        <v>0</v>
      </c>
      <c r="BV35" s="54">
        <f t="shared" si="10"/>
        <v>0</v>
      </c>
      <c r="BW35" s="54">
        <f t="shared" si="10"/>
        <v>0</v>
      </c>
      <c r="BX35" s="54">
        <f t="shared" si="10"/>
        <v>0</v>
      </c>
      <c r="BY35" s="54">
        <f t="shared" si="10"/>
        <v>0</v>
      </c>
      <c r="BZ35" s="54">
        <f t="shared" si="10"/>
        <v>0</v>
      </c>
      <c r="CA35" s="54">
        <f t="shared" si="10"/>
        <v>0</v>
      </c>
      <c r="CB35" s="54">
        <f t="shared" si="10"/>
        <v>0</v>
      </c>
      <c r="CC35" s="54">
        <f t="shared" si="10"/>
        <v>0</v>
      </c>
      <c r="CD35" s="54">
        <f t="shared" si="10"/>
        <v>0</v>
      </c>
      <c r="CE35" s="54">
        <f t="shared" si="10"/>
        <v>0</v>
      </c>
    </row>
    <row r="36" spans="1:83" x14ac:dyDescent="0.25">
      <c r="A36" s="128" t="str">
        <f>A$24</f>
        <v>lot10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52"/>
      <c r="AB36" s="5"/>
      <c r="AC36" t="s">
        <v>394</v>
      </c>
      <c r="AE36" s="17">
        <v>20</v>
      </c>
      <c r="AG36" s="126">
        <f>HLOOKUP(AF$4,[1]Anx!$C$86:$CO$121,AE36)</f>
        <v>0</v>
      </c>
      <c r="AH36" s="61">
        <f t="shared" si="4"/>
        <v>0</v>
      </c>
      <c r="AI36" s="129">
        <f>Troupeau!B90</f>
        <v>0</v>
      </c>
      <c r="AK36" s="54">
        <f t="shared" si="5"/>
        <v>0</v>
      </c>
      <c r="AL36" s="54">
        <f t="shared" si="9"/>
        <v>0</v>
      </c>
      <c r="AM36" s="54">
        <f t="shared" si="9"/>
        <v>0</v>
      </c>
      <c r="AN36" s="54">
        <f t="shared" si="8"/>
        <v>0</v>
      </c>
      <c r="AO36" s="54">
        <f t="shared" si="8"/>
        <v>0</v>
      </c>
      <c r="AP36" s="54">
        <f t="shared" si="8"/>
        <v>0</v>
      </c>
      <c r="AQ36" s="54">
        <f t="shared" si="8"/>
        <v>0</v>
      </c>
      <c r="AR36" s="54">
        <f t="shared" si="8"/>
        <v>0</v>
      </c>
      <c r="AS36" s="54">
        <f t="shared" si="8"/>
        <v>0</v>
      </c>
      <c r="AT36" s="54">
        <f t="shared" si="8"/>
        <v>0</v>
      </c>
      <c r="AU36" s="54">
        <f t="shared" si="8"/>
        <v>0</v>
      </c>
      <c r="AV36" s="54">
        <f t="shared" si="8"/>
        <v>0</v>
      </c>
      <c r="AW36" s="54">
        <f t="shared" si="8"/>
        <v>0</v>
      </c>
      <c r="AX36" s="54">
        <f t="shared" si="8"/>
        <v>0</v>
      </c>
      <c r="AY36" s="54">
        <f t="shared" si="8"/>
        <v>0</v>
      </c>
      <c r="AZ36" s="54">
        <f t="shared" si="8"/>
        <v>0</v>
      </c>
      <c r="BA36" s="54">
        <f t="shared" si="8"/>
        <v>0</v>
      </c>
      <c r="BB36" s="54">
        <f t="shared" si="8"/>
        <v>0</v>
      </c>
      <c r="BC36" s="54">
        <f t="shared" si="8"/>
        <v>0</v>
      </c>
      <c r="BD36" s="54">
        <f t="shared" ref="BD36:BS52" si="11">IF($AH36=BD$17,ROUND($AI36/1000,1),0)</f>
        <v>0</v>
      </c>
      <c r="BE36" s="54">
        <f t="shared" si="11"/>
        <v>0</v>
      </c>
      <c r="BF36" s="54">
        <f t="shared" si="11"/>
        <v>0</v>
      </c>
      <c r="BG36" s="54">
        <f t="shared" si="11"/>
        <v>0</v>
      </c>
      <c r="BH36" s="54">
        <f t="shared" si="11"/>
        <v>0</v>
      </c>
      <c r="BI36" s="54">
        <f t="shared" si="11"/>
        <v>0</v>
      </c>
      <c r="BJ36" s="54">
        <f t="shared" si="11"/>
        <v>0</v>
      </c>
      <c r="BK36" s="54">
        <f t="shared" si="11"/>
        <v>0</v>
      </c>
      <c r="BL36" s="54">
        <f t="shared" si="11"/>
        <v>0</v>
      </c>
      <c r="BM36" s="54">
        <f t="shared" si="11"/>
        <v>0</v>
      </c>
      <c r="BN36" s="54">
        <f t="shared" si="11"/>
        <v>0</v>
      </c>
      <c r="BO36" s="54">
        <f t="shared" si="11"/>
        <v>0</v>
      </c>
      <c r="BP36" s="54">
        <f t="shared" si="11"/>
        <v>0</v>
      </c>
      <c r="BQ36" s="54">
        <f t="shared" si="11"/>
        <v>0</v>
      </c>
      <c r="BR36" s="54">
        <f t="shared" si="11"/>
        <v>0</v>
      </c>
      <c r="BS36" s="54">
        <f t="shared" si="11"/>
        <v>0</v>
      </c>
      <c r="BT36" s="54">
        <f t="shared" ref="BT36:CE52" si="12">IF($AH36=BT$17,ROUND($AI36/1000,1),0)</f>
        <v>0</v>
      </c>
      <c r="BU36" s="54">
        <f t="shared" si="12"/>
        <v>0</v>
      </c>
      <c r="BV36" s="54">
        <f t="shared" si="12"/>
        <v>0</v>
      </c>
      <c r="BW36" s="54">
        <f t="shared" si="12"/>
        <v>0</v>
      </c>
      <c r="BX36" s="54">
        <f t="shared" si="12"/>
        <v>0</v>
      </c>
      <c r="BY36" s="54">
        <f t="shared" si="12"/>
        <v>0</v>
      </c>
      <c r="BZ36" s="54">
        <f t="shared" si="12"/>
        <v>0</v>
      </c>
      <c r="CA36" s="54">
        <f t="shared" si="12"/>
        <v>0</v>
      </c>
      <c r="CB36" s="54">
        <f t="shared" si="12"/>
        <v>0</v>
      </c>
      <c r="CC36" s="54">
        <f t="shared" si="12"/>
        <v>0</v>
      </c>
      <c r="CD36" s="54">
        <f t="shared" si="12"/>
        <v>0</v>
      </c>
      <c r="CE36" s="54">
        <f t="shared" si="12"/>
        <v>0</v>
      </c>
    </row>
    <row r="37" spans="1:83" x14ac:dyDescent="0.25">
      <c r="AB37" s="5"/>
      <c r="AC37" t="s">
        <v>395</v>
      </c>
      <c r="AE37" s="17">
        <v>21</v>
      </c>
      <c r="AG37" s="126">
        <f>HLOOKUP(AF$4,[1]Anx!$C$86:$CO$121,AE37)</f>
        <v>0</v>
      </c>
      <c r="AH37" s="61">
        <f t="shared" si="4"/>
        <v>0</v>
      </c>
      <c r="AI37" s="129">
        <f>Troupeau!B91</f>
        <v>0</v>
      </c>
      <c r="AK37" s="54">
        <f t="shared" si="5"/>
        <v>0</v>
      </c>
      <c r="AL37" s="54">
        <f t="shared" si="9"/>
        <v>0</v>
      </c>
      <c r="AM37" s="54">
        <f t="shared" si="9"/>
        <v>0</v>
      </c>
      <c r="AN37" s="54">
        <f t="shared" si="8"/>
        <v>0</v>
      </c>
      <c r="AO37" s="54">
        <f t="shared" si="8"/>
        <v>0</v>
      </c>
      <c r="AP37" s="54">
        <f t="shared" si="8"/>
        <v>0</v>
      </c>
      <c r="AQ37" s="54">
        <f t="shared" si="8"/>
        <v>0</v>
      </c>
      <c r="AR37" s="54">
        <f t="shared" si="8"/>
        <v>0</v>
      </c>
      <c r="AS37" s="54">
        <f t="shared" si="8"/>
        <v>0</v>
      </c>
      <c r="AT37" s="54">
        <f t="shared" si="8"/>
        <v>0</v>
      </c>
      <c r="AU37" s="54">
        <f t="shared" si="8"/>
        <v>0</v>
      </c>
      <c r="AV37" s="54">
        <f t="shared" si="8"/>
        <v>0</v>
      </c>
      <c r="AW37" s="54">
        <f t="shared" si="8"/>
        <v>0</v>
      </c>
      <c r="AX37" s="54">
        <f t="shared" si="8"/>
        <v>0</v>
      </c>
      <c r="AY37" s="54">
        <f t="shared" si="8"/>
        <v>0</v>
      </c>
      <c r="AZ37" s="54">
        <f t="shared" si="8"/>
        <v>0</v>
      </c>
      <c r="BA37" s="54">
        <f t="shared" si="8"/>
        <v>0</v>
      </c>
      <c r="BB37" s="54">
        <f t="shared" si="8"/>
        <v>0</v>
      </c>
      <c r="BC37" s="54">
        <f t="shared" si="8"/>
        <v>0</v>
      </c>
      <c r="BD37" s="54">
        <f t="shared" si="11"/>
        <v>0</v>
      </c>
      <c r="BE37" s="54">
        <f t="shared" si="11"/>
        <v>0</v>
      </c>
      <c r="BF37" s="54">
        <f t="shared" si="11"/>
        <v>0</v>
      </c>
      <c r="BG37" s="54">
        <f t="shared" si="11"/>
        <v>0</v>
      </c>
      <c r="BH37" s="54">
        <f t="shared" si="11"/>
        <v>0</v>
      </c>
      <c r="BI37" s="54">
        <f t="shared" si="11"/>
        <v>0</v>
      </c>
      <c r="BJ37" s="54">
        <f t="shared" si="11"/>
        <v>0</v>
      </c>
      <c r="BK37" s="54">
        <f t="shared" si="11"/>
        <v>0</v>
      </c>
      <c r="BL37" s="54">
        <f t="shared" si="11"/>
        <v>0</v>
      </c>
      <c r="BM37" s="54">
        <f t="shared" si="11"/>
        <v>0</v>
      </c>
      <c r="BN37" s="54">
        <f t="shared" si="11"/>
        <v>0</v>
      </c>
      <c r="BO37" s="54">
        <f t="shared" si="11"/>
        <v>0</v>
      </c>
      <c r="BP37" s="54">
        <f t="shared" si="11"/>
        <v>0</v>
      </c>
      <c r="BQ37" s="54">
        <f t="shared" si="11"/>
        <v>0</v>
      </c>
      <c r="BR37" s="54">
        <f t="shared" si="11"/>
        <v>0</v>
      </c>
      <c r="BS37" s="54">
        <f t="shared" si="11"/>
        <v>0</v>
      </c>
      <c r="BT37" s="54">
        <f t="shared" si="12"/>
        <v>0</v>
      </c>
      <c r="BU37" s="54">
        <f t="shared" si="12"/>
        <v>0</v>
      </c>
      <c r="BV37" s="54">
        <f t="shared" si="12"/>
        <v>0</v>
      </c>
      <c r="BW37" s="54">
        <f t="shared" si="12"/>
        <v>0</v>
      </c>
      <c r="BX37" s="54">
        <f t="shared" si="12"/>
        <v>0</v>
      </c>
      <c r="BY37" s="54">
        <f t="shared" si="12"/>
        <v>0</v>
      </c>
      <c r="BZ37" s="54">
        <f t="shared" si="12"/>
        <v>0</v>
      </c>
      <c r="CA37" s="54">
        <f t="shared" si="12"/>
        <v>0</v>
      </c>
      <c r="CB37" s="54">
        <f t="shared" si="12"/>
        <v>0</v>
      </c>
      <c r="CC37" s="54">
        <f t="shared" si="12"/>
        <v>0</v>
      </c>
      <c r="CD37" s="54">
        <f t="shared" si="12"/>
        <v>0</v>
      </c>
      <c r="CE37" s="54">
        <f t="shared" si="12"/>
        <v>0</v>
      </c>
    </row>
    <row r="38" spans="1:83" x14ac:dyDescent="0.25">
      <c r="A38" s="2" t="s">
        <v>170</v>
      </c>
      <c r="AB38" s="5"/>
      <c r="AC38" t="s">
        <v>396</v>
      </c>
      <c r="AE38" s="17">
        <v>22</v>
      </c>
      <c r="AG38" s="126" t="str">
        <f>HLOOKUP(AF$4,[1]Anx!$C$86:$CO$121,AE38)</f>
        <v>2 -grain céréales à paille</v>
      </c>
      <c r="AH38" s="61">
        <f t="shared" si="4"/>
        <v>2</v>
      </c>
      <c r="AI38" s="129">
        <f>Troupeau!B92</f>
        <v>440</v>
      </c>
      <c r="AK38" s="54">
        <f t="shared" si="5"/>
        <v>0</v>
      </c>
      <c r="AL38" s="54">
        <f t="shared" si="9"/>
        <v>0.4</v>
      </c>
      <c r="AM38" s="54">
        <f t="shared" si="9"/>
        <v>0</v>
      </c>
      <c r="AN38" s="54">
        <f t="shared" si="8"/>
        <v>0</v>
      </c>
      <c r="AO38" s="54">
        <f t="shared" si="8"/>
        <v>0</v>
      </c>
      <c r="AP38" s="54">
        <f t="shared" si="8"/>
        <v>0</v>
      </c>
      <c r="AQ38" s="54">
        <f t="shared" si="8"/>
        <v>0</v>
      </c>
      <c r="AR38" s="54">
        <f t="shared" si="8"/>
        <v>0</v>
      </c>
      <c r="AS38" s="54">
        <f t="shared" si="8"/>
        <v>0</v>
      </c>
      <c r="AT38" s="54">
        <f t="shared" si="8"/>
        <v>0</v>
      </c>
      <c r="AU38" s="54">
        <f t="shared" si="8"/>
        <v>0</v>
      </c>
      <c r="AV38" s="54">
        <f t="shared" si="8"/>
        <v>0</v>
      </c>
      <c r="AW38" s="54">
        <f t="shared" si="8"/>
        <v>0</v>
      </c>
      <c r="AX38" s="54">
        <f t="shared" si="8"/>
        <v>0</v>
      </c>
      <c r="AY38" s="54">
        <f t="shared" si="8"/>
        <v>0</v>
      </c>
      <c r="AZ38" s="54">
        <f t="shared" si="8"/>
        <v>0</v>
      </c>
      <c r="BA38" s="54">
        <f t="shared" si="8"/>
        <v>0</v>
      </c>
      <c r="BB38" s="54">
        <f t="shared" si="8"/>
        <v>0</v>
      </c>
      <c r="BC38" s="54">
        <f t="shared" si="8"/>
        <v>0</v>
      </c>
      <c r="BD38" s="54">
        <f t="shared" si="11"/>
        <v>0</v>
      </c>
      <c r="BE38" s="54">
        <f t="shared" si="11"/>
        <v>0</v>
      </c>
      <c r="BF38" s="54">
        <f t="shared" si="11"/>
        <v>0</v>
      </c>
      <c r="BG38" s="54">
        <f t="shared" si="11"/>
        <v>0</v>
      </c>
      <c r="BH38" s="54">
        <f t="shared" si="11"/>
        <v>0</v>
      </c>
      <c r="BI38" s="54">
        <f t="shared" si="11"/>
        <v>0</v>
      </c>
      <c r="BJ38" s="54">
        <f t="shared" si="11"/>
        <v>0</v>
      </c>
      <c r="BK38" s="54">
        <f t="shared" si="11"/>
        <v>0</v>
      </c>
      <c r="BL38" s="54">
        <f t="shared" si="11"/>
        <v>0</v>
      </c>
      <c r="BM38" s="54">
        <f t="shared" si="11"/>
        <v>0</v>
      </c>
      <c r="BN38" s="54">
        <f t="shared" si="11"/>
        <v>0</v>
      </c>
      <c r="BO38" s="54">
        <f t="shared" si="11"/>
        <v>0</v>
      </c>
      <c r="BP38" s="54">
        <f t="shared" si="11"/>
        <v>0</v>
      </c>
      <c r="BQ38" s="54">
        <f t="shared" si="11"/>
        <v>0</v>
      </c>
      <c r="BR38" s="54">
        <f t="shared" si="11"/>
        <v>0</v>
      </c>
      <c r="BS38" s="54">
        <f t="shared" si="11"/>
        <v>0</v>
      </c>
      <c r="BT38" s="54">
        <f t="shared" si="12"/>
        <v>0</v>
      </c>
      <c r="BU38" s="54">
        <f t="shared" si="12"/>
        <v>0</v>
      </c>
      <c r="BV38" s="54">
        <f t="shared" si="12"/>
        <v>0</v>
      </c>
      <c r="BW38" s="54">
        <f t="shared" si="12"/>
        <v>0</v>
      </c>
      <c r="BX38" s="54">
        <f t="shared" si="12"/>
        <v>0</v>
      </c>
      <c r="BY38" s="54">
        <f t="shared" si="12"/>
        <v>0</v>
      </c>
      <c r="BZ38" s="54">
        <f t="shared" si="12"/>
        <v>0</v>
      </c>
      <c r="CA38" s="54">
        <f t="shared" si="12"/>
        <v>0</v>
      </c>
      <c r="CB38" s="54">
        <f t="shared" si="12"/>
        <v>0</v>
      </c>
      <c r="CC38" s="54">
        <f t="shared" si="12"/>
        <v>0</v>
      </c>
      <c r="CD38" s="54">
        <f t="shared" si="12"/>
        <v>0</v>
      </c>
      <c r="CE38" s="54">
        <f t="shared" si="12"/>
        <v>0</v>
      </c>
    </row>
    <row r="39" spans="1:83" x14ac:dyDescent="0.25">
      <c r="A39" s="127" t="str">
        <f>A$15</f>
        <v xml:space="preserve">Vaches </v>
      </c>
      <c r="B39" s="61">
        <f>B15*B27</f>
        <v>27.879999999999995</v>
      </c>
      <c r="C39" s="61">
        <f t="shared" ref="C39:Y48" si="13">C15*C27</f>
        <v>27.879999999999995</v>
      </c>
      <c r="D39" s="61">
        <f t="shared" si="13"/>
        <v>27.879999999999995</v>
      </c>
      <c r="E39" s="61">
        <f t="shared" si="13"/>
        <v>27.879999999999995</v>
      </c>
      <c r="F39" s="61">
        <f t="shared" si="13"/>
        <v>27.879999999999995</v>
      </c>
      <c r="G39" s="61">
        <f t="shared" si="13"/>
        <v>27.879999999999995</v>
      </c>
      <c r="H39" s="61">
        <f t="shared" si="13"/>
        <v>27.879999999999995</v>
      </c>
      <c r="I39" s="61">
        <f t="shared" si="13"/>
        <v>27.879999999999995</v>
      </c>
      <c r="J39" s="61">
        <f t="shared" si="13"/>
        <v>27.879999999999995</v>
      </c>
      <c r="K39" s="61">
        <f t="shared" si="13"/>
        <v>27.879999999999995</v>
      </c>
      <c r="L39" s="61">
        <f t="shared" si="13"/>
        <v>27.879999999999995</v>
      </c>
      <c r="M39" s="61">
        <f t="shared" si="13"/>
        <v>27.879999999999995</v>
      </c>
      <c r="N39" s="61">
        <f t="shared" si="13"/>
        <v>27.879999999999995</v>
      </c>
      <c r="O39" s="61">
        <f t="shared" si="13"/>
        <v>27.879999999999995</v>
      </c>
      <c r="P39" s="61">
        <f t="shared" si="13"/>
        <v>27.879999999999995</v>
      </c>
      <c r="Q39" s="61">
        <f t="shared" si="13"/>
        <v>26.52</v>
      </c>
      <c r="R39" s="61">
        <f t="shared" si="13"/>
        <v>25.16</v>
      </c>
      <c r="S39" s="61">
        <f t="shared" si="13"/>
        <v>23.8</v>
      </c>
      <c r="T39" s="61">
        <f t="shared" si="13"/>
        <v>24.48</v>
      </c>
      <c r="U39" s="61">
        <f t="shared" si="13"/>
        <v>25.16</v>
      </c>
      <c r="V39" s="61">
        <f t="shared" si="13"/>
        <v>25.84</v>
      </c>
      <c r="W39" s="61">
        <f t="shared" si="13"/>
        <v>27.879999999999995</v>
      </c>
      <c r="X39" s="61">
        <f t="shared" si="13"/>
        <v>27.879999999999995</v>
      </c>
      <c r="Y39" s="61">
        <f t="shared" si="13"/>
        <v>27.879999999999995</v>
      </c>
      <c r="Z39" s="52"/>
      <c r="AB39" s="5"/>
      <c r="AC39" t="s">
        <v>397</v>
      </c>
      <c r="AE39" s="17">
        <v>23</v>
      </c>
      <c r="AG39" s="126" t="str">
        <f>HLOOKUP(AF$4,[1]Anx!$C$86:$CO$121,AE39)</f>
        <v>6 -tourteaux soja</v>
      </c>
      <c r="AH39" s="61">
        <f t="shared" si="4"/>
        <v>6</v>
      </c>
      <c r="AI39" s="129">
        <f>Troupeau!B93</f>
        <v>110</v>
      </c>
      <c r="AK39" s="54">
        <f t="shared" si="5"/>
        <v>0</v>
      </c>
      <c r="AL39" s="54">
        <f t="shared" si="9"/>
        <v>0</v>
      </c>
      <c r="AM39" s="54">
        <f t="shared" si="9"/>
        <v>0</v>
      </c>
      <c r="AN39" s="54">
        <f t="shared" si="8"/>
        <v>0</v>
      </c>
      <c r="AO39" s="54">
        <f t="shared" si="8"/>
        <v>0</v>
      </c>
      <c r="AP39" s="54">
        <f t="shared" si="8"/>
        <v>0.1</v>
      </c>
      <c r="AQ39" s="54">
        <f t="shared" si="8"/>
        <v>0</v>
      </c>
      <c r="AR39" s="54">
        <f t="shared" si="8"/>
        <v>0</v>
      </c>
      <c r="AS39" s="54">
        <f t="shared" si="8"/>
        <v>0</v>
      </c>
      <c r="AT39" s="54">
        <f t="shared" si="8"/>
        <v>0</v>
      </c>
      <c r="AU39" s="54">
        <f t="shared" si="8"/>
        <v>0</v>
      </c>
      <c r="AV39" s="54">
        <f t="shared" si="8"/>
        <v>0</v>
      </c>
      <c r="AW39" s="54">
        <f t="shared" si="8"/>
        <v>0</v>
      </c>
      <c r="AX39" s="54">
        <f t="shared" si="8"/>
        <v>0</v>
      </c>
      <c r="AY39" s="54">
        <f t="shared" si="8"/>
        <v>0</v>
      </c>
      <c r="AZ39" s="54">
        <f t="shared" si="8"/>
        <v>0</v>
      </c>
      <c r="BA39" s="54">
        <f t="shared" si="8"/>
        <v>0</v>
      </c>
      <c r="BB39" s="54">
        <f t="shared" si="8"/>
        <v>0</v>
      </c>
      <c r="BC39" s="54">
        <f t="shared" si="8"/>
        <v>0</v>
      </c>
      <c r="BD39" s="54">
        <f t="shared" si="11"/>
        <v>0</v>
      </c>
      <c r="BE39" s="54">
        <f t="shared" si="11"/>
        <v>0</v>
      </c>
      <c r="BF39" s="54">
        <f t="shared" si="11"/>
        <v>0</v>
      </c>
      <c r="BG39" s="54">
        <f t="shared" si="11"/>
        <v>0</v>
      </c>
      <c r="BH39" s="54">
        <f t="shared" si="11"/>
        <v>0</v>
      </c>
      <c r="BI39" s="54">
        <f t="shared" si="11"/>
        <v>0</v>
      </c>
      <c r="BJ39" s="54">
        <f t="shared" si="11"/>
        <v>0</v>
      </c>
      <c r="BK39" s="54">
        <f t="shared" si="11"/>
        <v>0</v>
      </c>
      <c r="BL39" s="54">
        <f t="shared" si="11"/>
        <v>0</v>
      </c>
      <c r="BM39" s="54">
        <f t="shared" si="11"/>
        <v>0</v>
      </c>
      <c r="BN39" s="54">
        <f t="shared" si="11"/>
        <v>0</v>
      </c>
      <c r="BO39" s="54">
        <f t="shared" si="11"/>
        <v>0</v>
      </c>
      <c r="BP39" s="54">
        <f t="shared" si="11"/>
        <v>0</v>
      </c>
      <c r="BQ39" s="54">
        <f t="shared" si="11"/>
        <v>0</v>
      </c>
      <c r="BR39" s="54">
        <f t="shared" si="11"/>
        <v>0</v>
      </c>
      <c r="BS39" s="54">
        <f t="shared" si="11"/>
        <v>0</v>
      </c>
      <c r="BT39" s="54">
        <f t="shared" si="12"/>
        <v>0</v>
      </c>
      <c r="BU39" s="54">
        <f t="shared" si="12"/>
        <v>0</v>
      </c>
      <c r="BV39" s="54">
        <f t="shared" si="12"/>
        <v>0</v>
      </c>
      <c r="BW39" s="54">
        <f t="shared" si="12"/>
        <v>0</v>
      </c>
      <c r="BX39" s="54">
        <f t="shared" si="12"/>
        <v>0</v>
      </c>
      <c r="BY39" s="54">
        <f t="shared" si="12"/>
        <v>0</v>
      </c>
      <c r="BZ39" s="54">
        <f t="shared" si="12"/>
        <v>0</v>
      </c>
      <c r="CA39" s="54">
        <f t="shared" si="12"/>
        <v>0</v>
      </c>
      <c r="CB39" s="54">
        <f t="shared" si="12"/>
        <v>0</v>
      </c>
      <c r="CC39" s="54">
        <f t="shared" si="12"/>
        <v>0</v>
      </c>
      <c r="CD39" s="54">
        <f t="shared" si="12"/>
        <v>0</v>
      </c>
      <c r="CE39" s="54">
        <f t="shared" si="12"/>
        <v>0</v>
      </c>
    </row>
    <row r="40" spans="1:83" x14ac:dyDescent="0.25">
      <c r="A40" s="128" t="str">
        <f>A$16</f>
        <v>Génisses 24 mois</v>
      </c>
      <c r="B40" s="61">
        <f t="shared" ref="B40:Q48" si="14">B16*B28</f>
        <v>7.68</v>
      </c>
      <c r="C40" s="61">
        <f t="shared" si="14"/>
        <v>7.68</v>
      </c>
      <c r="D40" s="61">
        <f t="shared" si="14"/>
        <v>7.68</v>
      </c>
      <c r="E40" s="61">
        <f t="shared" si="14"/>
        <v>7.68</v>
      </c>
      <c r="F40" s="61">
        <f t="shared" si="14"/>
        <v>7.68</v>
      </c>
      <c r="G40" s="61">
        <f t="shared" si="14"/>
        <v>7.68</v>
      </c>
      <c r="H40" s="61">
        <f t="shared" si="14"/>
        <v>7.68</v>
      </c>
      <c r="I40" s="61">
        <f t="shared" si="14"/>
        <v>7.68</v>
      </c>
      <c r="J40" s="61">
        <f t="shared" si="14"/>
        <v>7.68</v>
      </c>
      <c r="K40" s="61">
        <f t="shared" si="14"/>
        <v>7.68</v>
      </c>
      <c r="L40" s="61">
        <f t="shared" si="14"/>
        <v>7.68</v>
      </c>
      <c r="M40" s="61">
        <f t="shared" si="14"/>
        <v>7.68</v>
      </c>
      <c r="N40" s="61">
        <f t="shared" si="14"/>
        <v>7.68</v>
      </c>
      <c r="O40" s="61">
        <f t="shared" si="14"/>
        <v>7.68</v>
      </c>
      <c r="P40" s="61">
        <f t="shared" si="14"/>
        <v>7.68</v>
      </c>
      <c r="Q40" s="61">
        <f t="shared" si="14"/>
        <v>7.68</v>
      </c>
      <c r="R40" s="61">
        <f t="shared" si="13"/>
        <v>7.68</v>
      </c>
      <c r="S40" s="61">
        <f t="shared" si="13"/>
        <v>7.68</v>
      </c>
      <c r="T40" s="61">
        <f t="shared" si="13"/>
        <v>7.68</v>
      </c>
      <c r="U40" s="61">
        <f t="shared" si="13"/>
        <v>7.68</v>
      </c>
      <c r="V40" s="61">
        <f t="shared" si="13"/>
        <v>7.68</v>
      </c>
      <c r="W40" s="61">
        <f t="shared" si="13"/>
        <v>7.68</v>
      </c>
      <c r="X40" s="61">
        <f t="shared" si="13"/>
        <v>7.68</v>
      </c>
      <c r="Y40" s="61">
        <f t="shared" si="13"/>
        <v>7.68</v>
      </c>
      <c r="Z40" s="52"/>
      <c r="AB40" s="5"/>
      <c r="AC40" t="s">
        <v>398</v>
      </c>
      <c r="AE40" s="17">
        <v>24</v>
      </c>
      <c r="AG40" s="126">
        <f>HLOOKUP(AF$4,[1]Anx!$C$86:$CO$121,AE40)</f>
        <v>0</v>
      </c>
      <c r="AH40" s="61">
        <f t="shared" si="4"/>
        <v>0</v>
      </c>
      <c r="AI40" s="129">
        <f>Troupeau!B94</f>
        <v>0</v>
      </c>
      <c r="AK40" s="54">
        <f t="shared" si="5"/>
        <v>0</v>
      </c>
      <c r="AL40" s="54">
        <f t="shared" si="9"/>
        <v>0</v>
      </c>
      <c r="AM40" s="54">
        <f t="shared" si="9"/>
        <v>0</v>
      </c>
      <c r="AN40" s="54">
        <f t="shared" si="8"/>
        <v>0</v>
      </c>
      <c r="AO40" s="54">
        <f t="shared" si="8"/>
        <v>0</v>
      </c>
      <c r="AP40" s="54">
        <f t="shared" si="8"/>
        <v>0</v>
      </c>
      <c r="AQ40" s="54">
        <f t="shared" si="8"/>
        <v>0</v>
      </c>
      <c r="AR40" s="54">
        <f t="shared" si="8"/>
        <v>0</v>
      </c>
      <c r="AS40" s="54">
        <f t="shared" si="8"/>
        <v>0</v>
      </c>
      <c r="AT40" s="54">
        <f t="shared" si="8"/>
        <v>0</v>
      </c>
      <c r="AU40" s="54">
        <f t="shared" si="8"/>
        <v>0</v>
      </c>
      <c r="AV40" s="54">
        <f t="shared" si="8"/>
        <v>0</v>
      </c>
      <c r="AW40" s="54">
        <f t="shared" si="8"/>
        <v>0</v>
      </c>
      <c r="AX40" s="54">
        <f t="shared" si="8"/>
        <v>0</v>
      </c>
      <c r="AY40" s="54">
        <f t="shared" si="8"/>
        <v>0</v>
      </c>
      <c r="AZ40" s="54">
        <f t="shared" si="8"/>
        <v>0</v>
      </c>
      <c r="BA40" s="54">
        <f t="shared" si="8"/>
        <v>0</v>
      </c>
      <c r="BB40" s="54">
        <f t="shared" si="8"/>
        <v>0</v>
      </c>
      <c r="BC40" s="54">
        <f t="shared" si="8"/>
        <v>0</v>
      </c>
      <c r="BD40" s="54">
        <f t="shared" si="11"/>
        <v>0</v>
      </c>
      <c r="BE40" s="54">
        <f t="shared" si="11"/>
        <v>0</v>
      </c>
      <c r="BF40" s="54">
        <f t="shared" si="11"/>
        <v>0</v>
      </c>
      <c r="BG40" s="54">
        <f t="shared" si="11"/>
        <v>0</v>
      </c>
      <c r="BH40" s="54">
        <f t="shared" si="11"/>
        <v>0</v>
      </c>
      <c r="BI40" s="54">
        <f t="shared" si="11"/>
        <v>0</v>
      </c>
      <c r="BJ40" s="54">
        <f t="shared" si="11"/>
        <v>0</v>
      </c>
      <c r="BK40" s="54">
        <f t="shared" si="11"/>
        <v>0</v>
      </c>
      <c r="BL40" s="54">
        <f t="shared" si="11"/>
        <v>0</v>
      </c>
      <c r="BM40" s="54">
        <f t="shared" si="11"/>
        <v>0</v>
      </c>
      <c r="BN40" s="54">
        <f t="shared" si="11"/>
        <v>0</v>
      </c>
      <c r="BO40" s="54">
        <f t="shared" si="11"/>
        <v>0</v>
      </c>
      <c r="BP40" s="54">
        <f t="shared" si="11"/>
        <v>0</v>
      </c>
      <c r="BQ40" s="54">
        <f t="shared" si="11"/>
        <v>0</v>
      </c>
      <c r="BR40" s="54">
        <f t="shared" si="11"/>
        <v>0</v>
      </c>
      <c r="BS40" s="54">
        <f t="shared" si="11"/>
        <v>0</v>
      </c>
      <c r="BT40" s="54">
        <f t="shared" si="12"/>
        <v>0</v>
      </c>
      <c r="BU40" s="54">
        <f t="shared" si="12"/>
        <v>0</v>
      </c>
      <c r="BV40" s="54">
        <f t="shared" si="12"/>
        <v>0</v>
      </c>
      <c r="BW40" s="54">
        <f t="shared" si="12"/>
        <v>0</v>
      </c>
      <c r="BX40" s="54">
        <f t="shared" si="12"/>
        <v>0</v>
      </c>
      <c r="BY40" s="54">
        <f t="shared" si="12"/>
        <v>0</v>
      </c>
      <c r="BZ40" s="54">
        <f t="shared" si="12"/>
        <v>0</v>
      </c>
      <c r="CA40" s="54">
        <f t="shared" si="12"/>
        <v>0</v>
      </c>
      <c r="CB40" s="54">
        <f t="shared" si="12"/>
        <v>0</v>
      </c>
      <c r="CC40" s="54">
        <f t="shared" si="12"/>
        <v>0</v>
      </c>
      <c r="CD40" s="54">
        <f t="shared" si="12"/>
        <v>0</v>
      </c>
      <c r="CE40" s="54">
        <f t="shared" si="12"/>
        <v>0</v>
      </c>
    </row>
    <row r="41" spans="1:83" x14ac:dyDescent="0.25">
      <c r="A41" s="128" t="str">
        <f>A$17</f>
        <v>Génisses jeunes</v>
      </c>
      <c r="B41" s="61">
        <f t="shared" si="14"/>
        <v>5.76</v>
      </c>
      <c r="C41" s="61">
        <f t="shared" si="13"/>
        <v>5.76</v>
      </c>
      <c r="D41" s="61">
        <f t="shared" si="13"/>
        <v>5.76</v>
      </c>
      <c r="E41" s="61">
        <f t="shared" si="13"/>
        <v>5.76</v>
      </c>
      <c r="F41" s="61">
        <f t="shared" si="13"/>
        <v>5.76</v>
      </c>
      <c r="G41" s="61">
        <f t="shared" si="13"/>
        <v>5.76</v>
      </c>
      <c r="H41" s="61">
        <f t="shared" si="13"/>
        <v>5.76</v>
      </c>
      <c r="I41" s="61">
        <f t="shared" si="13"/>
        <v>5.76</v>
      </c>
      <c r="J41" s="61">
        <f t="shared" si="13"/>
        <v>5.76</v>
      </c>
      <c r="K41" s="61">
        <f t="shared" si="13"/>
        <v>5.76</v>
      </c>
      <c r="L41" s="61">
        <f t="shared" si="13"/>
        <v>5.76</v>
      </c>
      <c r="M41" s="61">
        <f t="shared" si="13"/>
        <v>5.76</v>
      </c>
      <c r="N41" s="61">
        <f t="shared" si="13"/>
        <v>5.76</v>
      </c>
      <c r="O41" s="61">
        <f t="shared" si="13"/>
        <v>5.76</v>
      </c>
      <c r="P41" s="61">
        <f t="shared" si="13"/>
        <v>5.76</v>
      </c>
      <c r="Q41" s="61">
        <f t="shared" si="13"/>
        <v>5.76</v>
      </c>
      <c r="R41" s="61">
        <f t="shared" si="13"/>
        <v>5.76</v>
      </c>
      <c r="S41" s="61">
        <f t="shared" si="13"/>
        <v>5.76</v>
      </c>
      <c r="T41" s="61">
        <f t="shared" si="13"/>
        <v>5.76</v>
      </c>
      <c r="U41" s="61">
        <f t="shared" si="13"/>
        <v>5.76</v>
      </c>
      <c r="V41" s="61">
        <f t="shared" si="13"/>
        <v>5.76</v>
      </c>
      <c r="W41" s="61">
        <f t="shared" si="13"/>
        <v>5.76</v>
      </c>
      <c r="X41" s="61">
        <f t="shared" si="13"/>
        <v>5.76</v>
      </c>
      <c r="Y41" s="61">
        <f t="shared" si="13"/>
        <v>5.76</v>
      </c>
      <c r="Z41" s="52"/>
      <c r="AB41" s="5"/>
      <c r="AC41" t="s">
        <v>399</v>
      </c>
      <c r="AE41" s="17">
        <v>25</v>
      </c>
      <c r="AG41" s="126">
        <f>HLOOKUP(AF$4,[1]Anx!$C$86:$CO$121,AE41)</f>
        <v>0</v>
      </c>
      <c r="AH41" s="61">
        <f t="shared" si="4"/>
        <v>0</v>
      </c>
      <c r="AI41" s="129">
        <f>Troupeau!B95</f>
        <v>0</v>
      </c>
      <c r="AK41" s="54">
        <f t="shared" si="5"/>
        <v>0</v>
      </c>
      <c r="AL41" s="54">
        <f t="shared" si="9"/>
        <v>0</v>
      </c>
      <c r="AM41" s="54">
        <f t="shared" si="9"/>
        <v>0</v>
      </c>
      <c r="AN41" s="54">
        <f t="shared" si="8"/>
        <v>0</v>
      </c>
      <c r="AO41" s="54">
        <f t="shared" si="8"/>
        <v>0</v>
      </c>
      <c r="AP41" s="54">
        <f t="shared" si="8"/>
        <v>0</v>
      </c>
      <c r="AQ41" s="54">
        <f t="shared" si="8"/>
        <v>0</v>
      </c>
      <c r="AR41" s="54">
        <f t="shared" si="8"/>
        <v>0</v>
      </c>
      <c r="AS41" s="54">
        <f t="shared" si="8"/>
        <v>0</v>
      </c>
      <c r="AT41" s="54">
        <f t="shared" si="8"/>
        <v>0</v>
      </c>
      <c r="AU41" s="54">
        <f t="shared" si="8"/>
        <v>0</v>
      </c>
      <c r="AV41" s="54">
        <f t="shared" si="8"/>
        <v>0</v>
      </c>
      <c r="AW41" s="54">
        <f t="shared" si="8"/>
        <v>0</v>
      </c>
      <c r="AX41" s="54">
        <f t="shared" si="8"/>
        <v>0</v>
      </c>
      <c r="AY41" s="54">
        <f t="shared" si="8"/>
        <v>0</v>
      </c>
      <c r="AZ41" s="54">
        <f t="shared" si="8"/>
        <v>0</v>
      </c>
      <c r="BA41" s="54">
        <f t="shared" si="8"/>
        <v>0</v>
      </c>
      <c r="BB41" s="54">
        <f t="shared" si="8"/>
        <v>0</v>
      </c>
      <c r="BC41" s="54">
        <f t="shared" si="8"/>
        <v>0</v>
      </c>
      <c r="BD41" s="54">
        <f t="shared" si="11"/>
        <v>0</v>
      </c>
      <c r="BE41" s="54">
        <f t="shared" si="11"/>
        <v>0</v>
      </c>
      <c r="BF41" s="54">
        <f t="shared" si="11"/>
        <v>0</v>
      </c>
      <c r="BG41" s="54">
        <f t="shared" si="11"/>
        <v>0</v>
      </c>
      <c r="BH41" s="54">
        <f t="shared" si="11"/>
        <v>0</v>
      </c>
      <c r="BI41" s="54">
        <f t="shared" si="11"/>
        <v>0</v>
      </c>
      <c r="BJ41" s="54">
        <f t="shared" si="11"/>
        <v>0</v>
      </c>
      <c r="BK41" s="54">
        <f t="shared" si="11"/>
        <v>0</v>
      </c>
      <c r="BL41" s="54">
        <f t="shared" si="11"/>
        <v>0</v>
      </c>
      <c r="BM41" s="54">
        <f t="shared" si="11"/>
        <v>0</v>
      </c>
      <c r="BN41" s="54">
        <f t="shared" si="11"/>
        <v>0</v>
      </c>
      <c r="BO41" s="54">
        <f t="shared" si="11"/>
        <v>0</v>
      </c>
      <c r="BP41" s="54">
        <f t="shared" si="11"/>
        <v>0</v>
      </c>
      <c r="BQ41" s="54">
        <f t="shared" si="11"/>
        <v>0</v>
      </c>
      <c r="BR41" s="54">
        <f t="shared" si="11"/>
        <v>0</v>
      </c>
      <c r="BS41" s="54">
        <f t="shared" si="11"/>
        <v>0</v>
      </c>
      <c r="BT41" s="54">
        <f t="shared" si="12"/>
        <v>0</v>
      </c>
      <c r="BU41" s="54">
        <f t="shared" si="12"/>
        <v>0</v>
      </c>
      <c r="BV41" s="54">
        <f t="shared" si="12"/>
        <v>0</v>
      </c>
      <c r="BW41" s="54">
        <f t="shared" si="12"/>
        <v>0</v>
      </c>
      <c r="BX41" s="54">
        <f t="shared" si="12"/>
        <v>0</v>
      </c>
      <c r="BY41" s="54">
        <f t="shared" si="12"/>
        <v>0</v>
      </c>
      <c r="BZ41" s="54">
        <f t="shared" si="12"/>
        <v>0</v>
      </c>
      <c r="CA41" s="54">
        <f t="shared" si="12"/>
        <v>0</v>
      </c>
      <c r="CB41" s="54">
        <f t="shared" si="12"/>
        <v>0</v>
      </c>
      <c r="CC41" s="54">
        <f t="shared" si="12"/>
        <v>0</v>
      </c>
      <c r="CD41" s="54">
        <f t="shared" si="12"/>
        <v>0</v>
      </c>
      <c r="CE41" s="54">
        <f t="shared" si="12"/>
        <v>0</v>
      </c>
    </row>
    <row r="42" spans="1:83" x14ac:dyDescent="0.25">
      <c r="A42" s="127" t="str">
        <f>A$18</f>
        <v>broutards</v>
      </c>
      <c r="B42" s="61">
        <f t="shared" si="14"/>
        <v>4.919999999999999</v>
      </c>
      <c r="C42" s="61">
        <f t="shared" si="13"/>
        <v>4.919999999999999</v>
      </c>
      <c r="D42" s="61">
        <f t="shared" si="13"/>
        <v>4.919999999999999</v>
      </c>
      <c r="E42" s="61">
        <f t="shared" si="13"/>
        <v>4.919999999999999</v>
      </c>
      <c r="F42" s="61">
        <f t="shared" si="13"/>
        <v>4.919999999999999</v>
      </c>
      <c r="G42" s="61">
        <f t="shared" si="13"/>
        <v>4.919999999999999</v>
      </c>
      <c r="H42" s="61">
        <f t="shared" si="13"/>
        <v>0</v>
      </c>
      <c r="I42" s="61">
        <f t="shared" si="13"/>
        <v>0</v>
      </c>
      <c r="J42" s="61">
        <f t="shared" si="13"/>
        <v>0</v>
      </c>
      <c r="K42" s="61">
        <f t="shared" si="13"/>
        <v>0</v>
      </c>
      <c r="L42" s="61">
        <f t="shared" si="13"/>
        <v>0</v>
      </c>
      <c r="M42" s="61">
        <f t="shared" si="13"/>
        <v>0</v>
      </c>
      <c r="N42" s="61">
        <f t="shared" si="13"/>
        <v>0</v>
      </c>
      <c r="O42" s="61">
        <f t="shared" si="13"/>
        <v>0</v>
      </c>
      <c r="P42" s="61">
        <f t="shared" si="13"/>
        <v>0</v>
      </c>
      <c r="Q42" s="61">
        <f t="shared" si="13"/>
        <v>0</v>
      </c>
      <c r="R42" s="61">
        <f t="shared" si="13"/>
        <v>0</v>
      </c>
      <c r="S42" s="61">
        <f t="shared" si="13"/>
        <v>0</v>
      </c>
      <c r="T42" s="61">
        <f t="shared" si="13"/>
        <v>0</v>
      </c>
      <c r="U42" s="61">
        <f t="shared" si="13"/>
        <v>4.4400000000000004</v>
      </c>
      <c r="V42" s="61">
        <f t="shared" si="13"/>
        <v>4.5599999999999996</v>
      </c>
      <c r="W42" s="61">
        <f t="shared" si="13"/>
        <v>4.919999999999999</v>
      </c>
      <c r="X42" s="61">
        <f t="shared" si="13"/>
        <v>4.919999999999999</v>
      </c>
      <c r="Y42" s="61">
        <f t="shared" si="13"/>
        <v>4.919999999999999</v>
      </c>
      <c r="Z42" s="52"/>
      <c r="AB42" s="5"/>
      <c r="AC42" t="s">
        <v>400</v>
      </c>
      <c r="AE42" s="17">
        <v>26</v>
      </c>
      <c r="AG42" s="126">
        <f>HLOOKUP(AF$4,[1]Anx!$C$86:$CO$121,AE42)</f>
        <v>0</v>
      </c>
      <c r="AH42" s="61">
        <f t="shared" si="4"/>
        <v>0</v>
      </c>
      <c r="AI42" s="129">
        <f>Troupeau!B96</f>
        <v>0</v>
      </c>
      <c r="AK42" s="54">
        <f t="shared" si="5"/>
        <v>0</v>
      </c>
      <c r="AL42" s="54">
        <f t="shared" si="9"/>
        <v>0</v>
      </c>
      <c r="AM42" s="54">
        <f t="shared" si="9"/>
        <v>0</v>
      </c>
      <c r="AN42" s="54">
        <f t="shared" si="8"/>
        <v>0</v>
      </c>
      <c r="AO42" s="54">
        <f t="shared" si="8"/>
        <v>0</v>
      </c>
      <c r="AP42" s="54">
        <f t="shared" si="8"/>
        <v>0</v>
      </c>
      <c r="AQ42" s="54">
        <f t="shared" si="8"/>
        <v>0</v>
      </c>
      <c r="AR42" s="54">
        <f t="shared" si="8"/>
        <v>0</v>
      </c>
      <c r="AS42" s="54">
        <f t="shared" si="8"/>
        <v>0</v>
      </c>
      <c r="AT42" s="54">
        <f t="shared" si="8"/>
        <v>0</v>
      </c>
      <c r="AU42" s="54">
        <f t="shared" si="8"/>
        <v>0</v>
      </c>
      <c r="AV42" s="54">
        <f t="shared" si="8"/>
        <v>0</v>
      </c>
      <c r="AW42" s="54">
        <f t="shared" si="8"/>
        <v>0</v>
      </c>
      <c r="AX42" s="54">
        <f t="shared" si="8"/>
        <v>0</v>
      </c>
      <c r="AY42" s="54">
        <f t="shared" si="8"/>
        <v>0</v>
      </c>
      <c r="AZ42" s="54">
        <f t="shared" si="8"/>
        <v>0</v>
      </c>
      <c r="BA42" s="54">
        <f t="shared" si="8"/>
        <v>0</v>
      </c>
      <c r="BB42" s="54">
        <f t="shared" si="8"/>
        <v>0</v>
      </c>
      <c r="BC42" s="54">
        <f t="shared" si="8"/>
        <v>0</v>
      </c>
      <c r="BD42" s="54">
        <f t="shared" si="11"/>
        <v>0</v>
      </c>
      <c r="BE42" s="54">
        <f t="shared" si="11"/>
        <v>0</v>
      </c>
      <c r="BF42" s="54">
        <f t="shared" si="11"/>
        <v>0</v>
      </c>
      <c r="BG42" s="54">
        <f t="shared" si="11"/>
        <v>0</v>
      </c>
      <c r="BH42" s="54">
        <f t="shared" si="11"/>
        <v>0</v>
      </c>
      <c r="BI42" s="54">
        <f t="shared" si="11"/>
        <v>0</v>
      </c>
      <c r="BJ42" s="54">
        <f t="shared" si="11"/>
        <v>0</v>
      </c>
      <c r="BK42" s="54">
        <f t="shared" si="11"/>
        <v>0</v>
      </c>
      <c r="BL42" s="54">
        <f t="shared" si="11"/>
        <v>0</v>
      </c>
      <c r="BM42" s="54">
        <f t="shared" si="11"/>
        <v>0</v>
      </c>
      <c r="BN42" s="54">
        <f t="shared" si="11"/>
        <v>0</v>
      </c>
      <c r="BO42" s="54">
        <f t="shared" si="11"/>
        <v>0</v>
      </c>
      <c r="BP42" s="54">
        <f t="shared" si="11"/>
        <v>0</v>
      </c>
      <c r="BQ42" s="54">
        <f t="shared" si="11"/>
        <v>0</v>
      </c>
      <c r="BR42" s="54">
        <f t="shared" si="11"/>
        <v>0</v>
      </c>
      <c r="BS42" s="54">
        <f t="shared" si="11"/>
        <v>0</v>
      </c>
      <c r="BT42" s="54">
        <f t="shared" si="12"/>
        <v>0</v>
      </c>
      <c r="BU42" s="54">
        <f t="shared" si="12"/>
        <v>0</v>
      </c>
      <c r="BV42" s="54">
        <f t="shared" si="12"/>
        <v>0</v>
      </c>
      <c r="BW42" s="54">
        <f t="shared" si="12"/>
        <v>0</v>
      </c>
      <c r="BX42" s="54">
        <f t="shared" si="12"/>
        <v>0</v>
      </c>
      <c r="BY42" s="54">
        <f t="shared" si="12"/>
        <v>0</v>
      </c>
      <c r="BZ42" s="54">
        <f t="shared" si="12"/>
        <v>0</v>
      </c>
      <c r="CA42" s="54">
        <f t="shared" si="12"/>
        <v>0</v>
      </c>
      <c r="CB42" s="54">
        <f t="shared" si="12"/>
        <v>0</v>
      </c>
      <c r="CC42" s="54">
        <f t="shared" si="12"/>
        <v>0</v>
      </c>
      <c r="CD42" s="54">
        <f t="shared" si="12"/>
        <v>0</v>
      </c>
      <c r="CE42" s="54">
        <f t="shared" si="12"/>
        <v>0</v>
      </c>
    </row>
    <row r="43" spans="1:83" x14ac:dyDescent="0.25">
      <c r="A43" s="128" t="str">
        <f>A$19</f>
        <v>génisses &lt; 1 an</v>
      </c>
      <c r="B43" s="61">
        <f t="shared" si="14"/>
        <v>0</v>
      </c>
      <c r="C43" s="61">
        <f t="shared" si="13"/>
        <v>0</v>
      </c>
      <c r="D43" s="61">
        <f t="shared" si="13"/>
        <v>0.55999999999999983</v>
      </c>
      <c r="E43" s="61">
        <f t="shared" si="13"/>
        <v>0.84000000000000008</v>
      </c>
      <c r="F43" s="61">
        <f t="shared" si="13"/>
        <v>1.4</v>
      </c>
      <c r="G43" s="61">
        <f t="shared" si="13"/>
        <v>2.2399999999999998</v>
      </c>
      <c r="H43" s="61">
        <f t="shared" si="13"/>
        <v>2.52</v>
      </c>
      <c r="I43" s="61">
        <f t="shared" si="13"/>
        <v>3.0799999999999996</v>
      </c>
      <c r="J43" s="61">
        <f t="shared" si="13"/>
        <v>3.36</v>
      </c>
      <c r="K43" s="61">
        <f t="shared" si="13"/>
        <v>3.36</v>
      </c>
      <c r="L43" s="61">
        <f t="shared" si="13"/>
        <v>3.36</v>
      </c>
      <c r="M43" s="61">
        <f t="shared" si="13"/>
        <v>3.36</v>
      </c>
      <c r="N43" s="61">
        <f t="shared" si="13"/>
        <v>3.36</v>
      </c>
      <c r="O43" s="61">
        <f t="shared" si="13"/>
        <v>3.36</v>
      </c>
      <c r="P43" s="61">
        <f t="shared" si="13"/>
        <v>3.36</v>
      </c>
      <c r="Q43" s="61">
        <f t="shared" si="13"/>
        <v>3.36</v>
      </c>
      <c r="R43" s="61">
        <f t="shared" si="13"/>
        <v>3.36</v>
      </c>
      <c r="S43" s="61">
        <f t="shared" si="13"/>
        <v>3.36</v>
      </c>
      <c r="T43" s="61">
        <f t="shared" si="13"/>
        <v>2.52</v>
      </c>
      <c r="U43" s="61">
        <f t="shared" si="13"/>
        <v>1.6800000000000002</v>
      </c>
      <c r="V43" s="61">
        <f t="shared" si="13"/>
        <v>0.84000000000000008</v>
      </c>
      <c r="W43" s="61">
        <f t="shared" si="13"/>
        <v>0</v>
      </c>
      <c r="X43" s="61">
        <f t="shared" si="13"/>
        <v>0</v>
      </c>
      <c r="Y43" s="61">
        <f t="shared" si="13"/>
        <v>0</v>
      </c>
      <c r="Z43" s="52"/>
      <c r="AB43" s="5"/>
      <c r="AC43" t="s">
        <v>401</v>
      </c>
      <c r="AE43" s="17">
        <v>27</v>
      </c>
      <c r="AG43" s="126">
        <f>HLOOKUP(AF$4,[1]Anx!$C$86:$CO$121,AE43)</f>
        <v>0</v>
      </c>
      <c r="AH43" s="61">
        <f t="shared" si="4"/>
        <v>0</v>
      </c>
      <c r="AI43" s="129">
        <f>Troupeau!B97</f>
        <v>0</v>
      </c>
      <c r="AK43" s="54">
        <f t="shared" si="5"/>
        <v>0</v>
      </c>
      <c r="AL43" s="54">
        <f t="shared" si="9"/>
        <v>0</v>
      </c>
      <c r="AM43" s="54">
        <f t="shared" si="9"/>
        <v>0</v>
      </c>
      <c r="AN43" s="54">
        <f t="shared" si="8"/>
        <v>0</v>
      </c>
      <c r="AO43" s="54">
        <f t="shared" si="8"/>
        <v>0</v>
      </c>
      <c r="AP43" s="54">
        <f t="shared" si="8"/>
        <v>0</v>
      </c>
      <c r="AQ43" s="54">
        <f t="shared" si="8"/>
        <v>0</v>
      </c>
      <c r="AR43" s="54">
        <f t="shared" si="8"/>
        <v>0</v>
      </c>
      <c r="AS43" s="54">
        <f t="shared" si="8"/>
        <v>0</v>
      </c>
      <c r="AT43" s="54">
        <f t="shared" si="8"/>
        <v>0</v>
      </c>
      <c r="AU43" s="54">
        <f t="shared" si="8"/>
        <v>0</v>
      </c>
      <c r="AV43" s="54">
        <f t="shared" si="8"/>
        <v>0</v>
      </c>
      <c r="AW43" s="54">
        <f t="shared" si="8"/>
        <v>0</v>
      </c>
      <c r="AX43" s="54">
        <f t="shared" si="8"/>
        <v>0</v>
      </c>
      <c r="AY43" s="54">
        <f t="shared" si="8"/>
        <v>0</v>
      </c>
      <c r="AZ43" s="54">
        <f t="shared" si="8"/>
        <v>0</v>
      </c>
      <c r="BA43" s="54">
        <f t="shared" si="8"/>
        <v>0</v>
      </c>
      <c r="BB43" s="54">
        <f t="shared" si="8"/>
        <v>0</v>
      </c>
      <c r="BC43" s="54">
        <f t="shared" si="8"/>
        <v>0</v>
      </c>
      <c r="BD43" s="54">
        <f t="shared" si="11"/>
        <v>0</v>
      </c>
      <c r="BE43" s="54">
        <f t="shared" si="11"/>
        <v>0</v>
      </c>
      <c r="BF43" s="54">
        <f t="shared" si="11"/>
        <v>0</v>
      </c>
      <c r="BG43" s="54">
        <f t="shared" si="11"/>
        <v>0</v>
      </c>
      <c r="BH43" s="54">
        <f t="shared" si="11"/>
        <v>0</v>
      </c>
      <c r="BI43" s="54">
        <f t="shared" si="11"/>
        <v>0</v>
      </c>
      <c r="BJ43" s="54">
        <f t="shared" si="11"/>
        <v>0</v>
      </c>
      <c r="BK43" s="54">
        <f t="shared" si="11"/>
        <v>0</v>
      </c>
      <c r="BL43" s="54">
        <f t="shared" si="11"/>
        <v>0</v>
      </c>
      <c r="BM43" s="54">
        <f t="shared" si="11"/>
        <v>0</v>
      </c>
      <c r="BN43" s="54">
        <f t="shared" si="11"/>
        <v>0</v>
      </c>
      <c r="BO43" s="54">
        <f t="shared" si="11"/>
        <v>0</v>
      </c>
      <c r="BP43" s="54">
        <f t="shared" si="11"/>
        <v>0</v>
      </c>
      <c r="BQ43" s="54">
        <f t="shared" si="11"/>
        <v>0</v>
      </c>
      <c r="BR43" s="54">
        <f t="shared" si="11"/>
        <v>0</v>
      </c>
      <c r="BS43" s="54">
        <f t="shared" si="11"/>
        <v>0</v>
      </c>
      <c r="BT43" s="54">
        <f t="shared" si="12"/>
        <v>0</v>
      </c>
      <c r="BU43" s="54">
        <f t="shared" si="12"/>
        <v>0</v>
      </c>
      <c r="BV43" s="54">
        <f t="shared" si="12"/>
        <v>0</v>
      </c>
      <c r="BW43" s="54">
        <f t="shared" si="12"/>
        <v>0</v>
      </c>
      <c r="BX43" s="54">
        <f t="shared" si="12"/>
        <v>0</v>
      </c>
      <c r="BY43" s="54">
        <f t="shared" si="12"/>
        <v>0</v>
      </c>
      <c r="BZ43" s="54">
        <f t="shared" si="12"/>
        <v>0</v>
      </c>
      <c r="CA43" s="54">
        <f t="shared" si="12"/>
        <v>0</v>
      </c>
      <c r="CB43" s="54">
        <f t="shared" si="12"/>
        <v>0</v>
      </c>
      <c r="CC43" s="54">
        <f t="shared" si="12"/>
        <v>0</v>
      </c>
      <c r="CD43" s="54">
        <f t="shared" si="12"/>
        <v>0</v>
      </c>
      <c r="CE43" s="54">
        <f t="shared" si="12"/>
        <v>0</v>
      </c>
    </row>
    <row r="44" spans="1:83" x14ac:dyDescent="0.25">
      <c r="A44" s="127" t="str">
        <f>A$20</f>
        <v>lot6</v>
      </c>
      <c r="B44" s="61">
        <f t="shared" si="14"/>
        <v>0</v>
      </c>
      <c r="C44" s="61">
        <f t="shared" si="13"/>
        <v>0</v>
      </c>
      <c r="D44" s="61">
        <f t="shared" si="13"/>
        <v>0</v>
      </c>
      <c r="E44" s="61">
        <f t="shared" si="13"/>
        <v>0</v>
      </c>
      <c r="F44" s="61">
        <f t="shared" si="13"/>
        <v>0</v>
      </c>
      <c r="G44" s="61">
        <f t="shared" si="13"/>
        <v>0</v>
      </c>
      <c r="H44" s="61">
        <f t="shared" si="13"/>
        <v>0</v>
      </c>
      <c r="I44" s="61">
        <f t="shared" si="13"/>
        <v>0</v>
      </c>
      <c r="J44" s="61">
        <f t="shared" si="13"/>
        <v>0</v>
      </c>
      <c r="K44" s="61">
        <f t="shared" si="13"/>
        <v>0</v>
      </c>
      <c r="L44" s="61">
        <f t="shared" si="13"/>
        <v>0</v>
      </c>
      <c r="M44" s="61">
        <f t="shared" si="13"/>
        <v>0</v>
      </c>
      <c r="N44" s="61">
        <f t="shared" si="13"/>
        <v>0</v>
      </c>
      <c r="O44" s="61">
        <f t="shared" si="13"/>
        <v>0</v>
      </c>
      <c r="P44" s="61">
        <f t="shared" si="13"/>
        <v>0</v>
      </c>
      <c r="Q44" s="61">
        <f t="shared" si="13"/>
        <v>0</v>
      </c>
      <c r="R44" s="61">
        <f t="shared" si="13"/>
        <v>0</v>
      </c>
      <c r="S44" s="61">
        <f t="shared" si="13"/>
        <v>0</v>
      </c>
      <c r="T44" s="61">
        <f t="shared" si="13"/>
        <v>0</v>
      </c>
      <c r="U44" s="61">
        <f t="shared" si="13"/>
        <v>0</v>
      </c>
      <c r="V44" s="61">
        <f t="shared" si="13"/>
        <v>0</v>
      </c>
      <c r="W44" s="61">
        <f t="shared" si="13"/>
        <v>0</v>
      </c>
      <c r="X44" s="61">
        <f t="shared" si="13"/>
        <v>0</v>
      </c>
      <c r="Y44" s="61">
        <f t="shared" si="13"/>
        <v>0</v>
      </c>
      <c r="Z44" s="52"/>
      <c r="AB44" s="5"/>
      <c r="AC44" t="s">
        <v>402</v>
      </c>
      <c r="AE44" s="17">
        <v>28</v>
      </c>
      <c r="AG44" s="126">
        <f>HLOOKUP(AF$4,[1]Anx!$C$86:$CO$121,AE44)</f>
        <v>0</v>
      </c>
      <c r="AH44" s="61">
        <f t="shared" si="4"/>
        <v>0</v>
      </c>
      <c r="AI44" s="129">
        <f>Troupeau!B98</f>
        <v>0</v>
      </c>
      <c r="AK44" s="54">
        <f t="shared" si="5"/>
        <v>0</v>
      </c>
      <c r="AL44" s="54">
        <f t="shared" si="9"/>
        <v>0</v>
      </c>
      <c r="AM44" s="54">
        <f t="shared" si="9"/>
        <v>0</v>
      </c>
      <c r="AN44" s="54">
        <f t="shared" si="8"/>
        <v>0</v>
      </c>
      <c r="AO44" s="54">
        <f t="shared" si="8"/>
        <v>0</v>
      </c>
      <c r="AP44" s="54">
        <f t="shared" si="8"/>
        <v>0</v>
      </c>
      <c r="AQ44" s="54">
        <f t="shared" si="8"/>
        <v>0</v>
      </c>
      <c r="AR44" s="54">
        <f t="shared" si="8"/>
        <v>0</v>
      </c>
      <c r="AS44" s="54">
        <f t="shared" si="8"/>
        <v>0</v>
      </c>
      <c r="AT44" s="54">
        <f t="shared" si="8"/>
        <v>0</v>
      </c>
      <c r="AU44" s="54">
        <f t="shared" si="8"/>
        <v>0</v>
      </c>
      <c r="AV44" s="54">
        <f t="shared" si="8"/>
        <v>0</v>
      </c>
      <c r="AW44" s="54">
        <f t="shared" si="8"/>
        <v>0</v>
      </c>
      <c r="AX44" s="54">
        <f t="shared" si="8"/>
        <v>0</v>
      </c>
      <c r="AY44" s="54">
        <f t="shared" si="8"/>
        <v>0</v>
      </c>
      <c r="AZ44" s="54">
        <f t="shared" si="8"/>
        <v>0</v>
      </c>
      <c r="BA44" s="54">
        <f t="shared" si="8"/>
        <v>0</v>
      </c>
      <c r="BB44" s="54">
        <f t="shared" si="8"/>
        <v>0</v>
      </c>
      <c r="BC44" s="54">
        <f t="shared" si="8"/>
        <v>0</v>
      </c>
      <c r="BD44" s="54">
        <f t="shared" si="11"/>
        <v>0</v>
      </c>
      <c r="BE44" s="54">
        <f t="shared" si="11"/>
        <v>0</v>
      </c>
      <c r="BF44" s="54">
        <f t="shared" si="11"/>
        <v>0</v>
      </c>
      <c r="BG44" s="54">
        <f t="shared" si="11"/>
        <v>0</v>
      </c>
      <c r="BH44" s="54">
        <f t="shared" si="11"/>
        <v>0</v>
      </c>
      <c r="BI44" s="54">
        <f t="shared" si="11"/>
        <v>0</v>
      </c>
      <c r="BJ44" s="54">
        <f t="shared" si="11"/>
        <v>0</v>
      </c>
      <c r="BK44" s="54">
        <f t="shared" si="11"/>
        <v>0</v>
      </c>
      <c r="BL44" s="54">
        <f t="shared" si="11"/>
        <v>0</v>
      </c>
      <c r="BM44" s="54">
        <f t="shared" si="11"/>
        <v>0</v>
      </c>
      <c r="BN44" s="54">
        <f t="shared" si="11"/>
        <v>0</v>
      </c>
      <c r="BO44" s="54">
        <f t="shared" si="11"/>
        <v>0</v>
      </c>
      <c r="BP44" s="54">
        <f t="shared" si="11"/>
        <v>0</v>
      </c>
      <c r="BQ44" s="54">
        <f t="shared" si="11"/>
        <v>0</v>
      </c>
      <c r="BR44" s="54">
        <f t="shared" si="11"/>
        <v>0</v>
      </c>
      <c r="BS44" s="54">
        <f t="shared" si="11"/>
        <v>0</v>
      </c>
      <c r="BT44" s="54">
        <f t="shared" si="12"/>
        <v>0</v>
      </c>
      <c r="BU44" s="54">
        <f t="shared" si="12"/>
        <v>0</v>
      </c>
      <c r="BV44" s="54">
        <f t="shared" si="12"/>
        <v>0</v>
      </c>
      <c r="BW44" s="54">
        <f t="shared" si="12"/>
        <v>0</v>
      </c>
      <c r="BX44" s="54">
        <f t="shared" si="12"/>
        <v>0</v>
      </c>
      <c r="BY44" s="54">
        <f t="shared" si="12"/>
        <v>0</v>
      </c>
      <c r="BZ44" s="54">
        <f t="shared" si="12"/>
        <v>0</v>
      </c>
      <c r="CA44" s="54">
        <f t="shared" si="12"/>
        <v>0</v>
      </c>
      <c r="CB44" s="54">
        <f t="shared" si="12"/>
        <v>0</v>
      </c>
      <c r="CC44" s="54">
        <f t="shared" si="12"/>
        <v>0</v>
      </c>
      <c r="CD44" s="54">
        <f t="shared" si="12"/>
        <v>0</v>
      </c>
      <c r="CE44" s="54">
        <f t="shared" si="12"/>
        <v>0</v>
      </c>
    </row>
    <row r="45" spans="1:83" x14ac:dyDescent="0.25">
      <c r="A45" s="128" t="str">
        <f>A$21</f>
        <v>lot7</v>
      </c>
      <c r="B45" s="61">
        <f t="shared" si="14"/>
        <v>0</v>
      </c>
      <c r="C45" s="61">
        <f t="shared" si="13"/>
        <v>0</v>
      </c>
      <c r="D45" s="61">
        <f t="shared" si="13"/>
        <v>0</v>
      </c>
      <c r="E45" s="61">
        <f t="shared" si="13"/>
        <v>0</v>
      </c>
      <c r="F45" s="61">
        <f t="shared" si="13"/>
        <v>0</v>
      </c>
      <c r="G45" s="61">
        <f t="shared" si="13"/>
        <v>0</v>
      </c>
      <c r="H45" s="61">
        <f t="shared" si="13"/>
        <v>0</v>
      </c>
      <c r="I45" s="61">
        <f t="shared" si="13"/>
        <v>0</v>
      </c>
      <c r="J45" s="61">
        <f t="shared" si="13"/>
        <v>0</v>
      </c>
      <c r="K45" s="61">
        <f t="shared" si="13"/>
        <v>0</v>
      </c>
      <c r="L45" s="61">
        <f t="shared" si="13"/>
        <v>0</v>
      </c>
      <c r="M45" s="61">
        <f t="shared" si="13"/>
        <v>0</v>
      </c>
      <c r="N45" s="61">
        <f t="shared" si="13"/>
        <v>0</v>
      </c>
      <c r="O45" s="61">
        <f t="shared" si="13"/>
        <v>0</v>
      </c>
      <c r="P45" s="61">
        <f t="shared" si="13"/>
        <v>0</v>
      </c>
      <c r="Q45" s="61">
        <f t="shared" si="13"/>
        <v>0</v>
      </c>
      <c r="R45" s="61">
        <f t="shared" si="13"/>
        <v>0</v>
      </c>
      <c r="S45" s="61">
        <f t="shared" si="13"/>
        <v>0</v>
      </c>
      <c r="T45" s="61">
        <f t="shared" si="13"/>
        <v>0</v>
      </c>
      <c r="U45" s="61">
        <f t="shared" si="13"/>
        <v>0</v>
      </c>
      <c r="V45" s="61">
        <f t="shared" si="13"/>
        <v>0</v>
      </c>
      <c r="W45" s="61">
        <f t="shared" si="13"/>
        <v>0</v>
      </c>
      <c r="X45" s="61">
        <f t="shared" si="13"/>
        <v>0</v>
      </c>
      <c r="Y45" s="61">
        <f t="shared" si="13"/>
        <v>0</v>
      </c>
      <c r="Z45" s="52"/>
      <c r="AB45" s="5"/>
      <c r="AC45" t="s">
        <v>403</v>
      </c>
      <c r="AE45" s="17">
        <v>29</v>
      </c>
      <c r="AG45" s="126">
        <f>HLOOKUP(AF$4,[1]Anx!$C$86:$CO$121,AE45)</f>
        <v>0</v>
      </c>
      <c r="AH45" s="61">
        <f t="shared" si="4"/>
        <v>0</v>
      </c>
      <c r="AI45" s="129">
        <f>Troupeau!B99</f>
        <v>0</v>
      </c>
      <c r="AK45" s="54">
        <f t="shared" si="5"/>
        <v>0</v>
      </c>
      <c r="AL45" s="54">
        <f t="shared" si="9"/>
        <v>0</v>
      </c>
      <c r="AM45" s="54">
        <f t="shared" si="9"/>
        <v>0</v>
      </c>
      <c r="AN45" s="54">
        <f t="shared" si="8"/>
        <v>0</v>
      </c>
      <c r="AO45" s="54">
        <f t="shared" si="8"/>
        <v>0</v>
      </c>
      <c r="AP45" s="54">
        <f t="shared" si="8"/>
        <v>0</v>
      </c>
      <c r="AQ45" s="54">
        <f t="shared" si="8"/>
        <v>0</v>
      </c>
      <c r="AR45" s="54">
        <f t="shared" si="8"/>
        <v>0</v>
      </c>
      <c r="AS45" s="54">
        <f t="shared" si="8"/>
        <v>0</v>
      </c>
      <c r="AT45" s="54">
        <f t="shared" si="8"/>
        <v>0</v>
      </c>
      <c r="AU45" s="54">
        <f t="shared" si="8"/>
        <v>0</v>
      </c>
      <c r="AV45" s="54">
        <f t="shared" si="8"/>
        <v>0</v>
      </c>
      <c r="AW45" s="54">
        <f t="shared" si="8"/>
        <v>0</v>
      </c>
      <c r="AX45" s="54">
        <f t="shared" si="8"/>
        <v>0</v>
      </c>
      <c r="AY45" s="54">
        <f t="shared" si="8"/>
        <v>0</v>
      </c>
      <c r="AZ45" s="54">
        <f t="shared" si="8"/>
        <v>0</v>
      </c>
      <c r="BA45" s="54">
        <f t="shared" si="8"/>
        <v>0</v>
      </c>
      <c r="BB45" s="54">
        <f t="shared" si="8"/>
        <v>0</v>
      </c>
      <c r="BC45" s="54">
        <f t="shared" si="8"/>
        <v>0</v>
      </c>
      <c r="BD45" s="54">
        <f t="shared" si="11"/>
        <v>0</v>
      </c>
      <c r="BE45" s="54">
        <f t="shared" si="11"/>
        <v>0</v>
      </c>
      <c r="BF45" s="54">
        <f t="shared" si="11"/>
        <v>0</v>
      </c>
      <c r="BG45" s="54">
        <f t="shared" si="11"/>
        <v>0</v>
      </c>
      <c r="BH45" s="54">
        <f t="shared" si="11"/>
        <v>0</v>
      </c>
      <c r="BI45" s="54">
        <f t="shared" si="11"/>
        <v>0</v>
      </c>
      <c r="BJ45" s="54">
        <f t="shared" si="11"/>
        <v>0</v>
      </c>
      <c r="BK45" s="54">
        <f t="shared" si="11"/>
        <v>0</v>
      </c>
      <c r="BL45" s="54">
        <f t="shared" si="11"/>
        <v>0</v>
      </c>
      <c r="BM45" s="54">
        <f t="shared" si="11"/>
        <v>0</v>
      </c>
      <c r="BN45" s="54">
        <f t="shared" si="11"/>
        <v>0</v>
      </c>
      <c r="BO45" s="54">
        <f t="shared" si="11"/>
        <v>0</v>
      </c>
      <c r="BP45" s="54">
        <f t="shared" si="11"/>
        <v>0</v>
      </c>
      <c r="BQ45" s="54">
        <f t="shared" si="11"/>
        <v>0</v>
      </c>
      <c r="BR45" s="54">
        <f t="shared" si="11"/>
        <v>0</v>
      </c>
      <c r="BS45" s="54">
        <f t="shared" si="11"/>
        <v>0</v>
      </c>
      <c r="BT45" s="54">
        <f t="shared" si="12"/>
        <v>0</v>
      </c>
      <c r="BU45" s="54">
        <f t="shared" si="12"/>
        <v>0</v>
      </c>
      <c r="BV45" s="54">
        <f t="shared" si="12"/>
        <v>0</v>
      </c>
      <c r="BW45" s="54">
        <f t="shared" si="12"/>
        <v>0</v>
      </c>
      <c r="BX45" s="54">
        <f t="shared" si="12"/>
        <v>0</v>
      </c>
      <c r="BY45" s="54">
        <f t="shared" si="12"/>
        <v>0</v>
      </c>
      <c r="BZ45" s="54">
        <f t="shared" si="12"/>
        <v>0</v>
      </c>
      <c r="CA45" s="54">
        <f t="shared" si="12"/>
        <v>0</v>
      </c>
      <c r="CB45" s="54">
        <f t="shared" si="12"/>
        <v>0</v>
      </c>
      <c r="CC45" s="54">
        <f t="shared" si="12"/>
        <v>0</v>
      </c>
      <c r="CD45" s="54">
        <f t="shared" si="12"/>
        <v>0</v>
      </c>
      <c r="CE45" s="54">
        <f t="shared" si="12"/>
        <v>0</v>
      </c>
    </row>
    <row r="46" spans="1:83" x14ac:dyDescent="0.25">
      <c r="A46" s="128" t="str">
        <f>A$22</f>
        <v>lot8</v>
      </c>
      <c r="B46" s="61">
        <f t="shared" si="14"/>
        <v>0</v>
      </c>
      <c r="C46" s="61">
        <f t="shared" si="13"/>
        <v>0</v>
      </c>
      <c r="D46" s="61">
        <f t="shared" si="13"/>
        <v>0</v>
      </c>
      <c r="E46" s="61">
        <f t="shared" si="13"/>
        <v>0</v>
      </c>
      <c r="F46" s="61">
        <f t="shared" si="13"/>
        <v>0</v>
      </c>
      <c r="G46" s="61">
        <f t="shared" si="13"/>
        <v>0</v>
      </c>
      <c r="H46" s="61">
        <f t="shared" si="13"/>
        <v>0</v>
      </c>
      <c r="I46" s="61">
        <f t="shared" si="13"/>
        <v>0</v>
      </c>
      <c r="J46" s="61">
        <f t="shared" si="13"/>
        <v>0</v>
      </c>
      <c r="K46" s="61">
        <f t="shared" si="13"/>
        <v>0</v>
      </c>
      <c r="L46" s="61">
        <f t="shared" si="13"/>
        <v>0</v>
      </c>
      <c r="M46" s="61">
        <f t="shared" si="13"/>
        <v>0</v>
      </c>
      <c r="N46" s="61">
        <f t="shared" si="13"/>
        <v>0</v>
      </c>
      <c r="O46" s="61">
        <f t="shared" si="13"/>
        <v>0</v>
      </c>
      <c r="P46" s="61">
        <f t="shared" si="13"/>
        <v>0</v>
      </c>
      <c r="Q46" s="61">
        <f t="shared" si="13"/>
        <v>0</v>
      </c>
      <c r="R46" s="61">
        <f t="shared" si="13"/>
        <v>0</v>
      </c>
      <c r="S46" s="61">
        <f t="shared" si="13"/>
        <v>0</v>
      </c>
      <c r="T46" s="61">
        <f t="shared" si="13"/>
        <v>0</v>
      </c>
      <c r="U46" s="61">
        <f t="shared" si="13"/>
        <v>0</v>
      </c>
      <c r="V46" s="61">
        <f t="shared" si="13"/>
        <v>0</v>
      </c>
      <c r="W46" s="61">
        <f t="shared" si="13"/>
        <v>0</v>
      </c>
      <c r="X46" s="61">
        <f t="shared" si="13"/>
        <v>0</v>
      </c>
      <c r="Y46" s="61">
        <f t="shared" si="13"/>
        <v>0</v>
      </c>
      <c r="Z46" s="52"/>
      <c r="AB46" s="5"/>
      <c r="AC46" t="s">
        <v>404</v>
      </c>
      <c r="AE46" s="17">
        <v>30</v>
      </c>
      <c r="AG46" s="126">
        <f>HLOOKUP(AF$4,[1]Anx!$C$86:$CO$121,AE46)</f>
        <v>0</v>
      </c>
      <c r="AH46" s="61">
        <f t="shared" si="4"/>
        <v>0</v>
      </c>
      <c r="AI46" s="129">
        <f>Troupeau!B100</f>
        <v>0</v>
      </c>
      <c r="AK46" s="54">
        <f t="shared" si="5"/>
        <v>0</v>
      </c>
      <c r="AL46" s="54">
        <f t="shared" si="9"/>
        <v>0</v>
      </c>
      <c r="AM46" s="54">
        <f t="shared" si="9"/>
        <v>0</v>
      </c>
      <c r="AN46" s="54">
        <f t="shared" si="8"/>
        <v>0</v>
      </c>
      <c r="AO46" s="54">
        <f t="shared" si="8"/>
        <v>0</v>
      </c>
      <c r="AP46" s="54">
        <f t="shared" si="8"/>
        <v>0</v>
      </c>
      <c r="AQ46" s="54">
        <f t="shared" si="8"/>
        <v>0</v>
      </c>
      <c r="AR46" s="54">
        <f t="shared" si="8"/>
        <v>0</v>
      </c>
      <c r="AS46" s="54">
        <f t="shared" si="8"/>
        <v>0</v>
      </c>
      <c r="AT46" s="54">
        <f t="shared" si="8"/>
        <v>0</v>
      </c>
      <c r="AU46" s="54">
        <f t="shared" si="8"/>
        <v>0</v>
      </c>
      <c r="AV46" s="54">
        <f t="shared" si="8"/>
        <v>0</v>
      </c>
      <c r="AW46" s="54">
        <f t="shared" si="8"/>
        <v>0</v>
      </c>
      <c r="AX46" s="54">
        <f t="shared" si="8"/>
        <v>0</v>
      </c>
      <c r="AY46" s="54">
        <f t="shared" si="8"/>
        <v>0</v>
      </c>
      <c r="AZ46" s="54">
        <f t="shared" si="8"/>
        <v>0</v>
      </c>
      <c r="BA46" s="54">
        <f t="shared" si="8"/>
        <v>0</v>
      </c>
      <c r="BB46" s="54">
        <f t="shared" si="8"/>
        <v>0</v>
      </c>
      <c r="BC46" s="54">
        <f t="shared" si="8"/>
        <v>0</v>
      </c>
      <c r="BD46" s="54">
        <f t="shared" si="11"/>
        <v>0</v>
      </c>
      <c r="BE46" s="54">
        <f t="shared" si="11"/>
        <v>0</v>
      </c>
      <c r="BF46" s="54">
        <f t="shared" si="11"/>
        <v>0</v>
      </c>
      <c r="BG46" s="54">
        <f t="shared" si="11"/>
        <v>0</v>
      </c>
      <c r="BH46" s="54">
        <f t="shared" si="11"/>
        <v>0</v>
      </c>
      <c r="BI46" s="54">
        <f t="shared" si="11"/>
        <v>0</v>
      </c>
      <c r="BJ46" s="54">
        <f t="shared" si="11"/>
        <v>0</v>
      </c>
      <c r="BK46" s="54">
        <f t="shared" si="11"/>
        <v>0</v>
      </c>
      <c r="BL46" s="54">
        <f t="shared" si="11"/>
        <v>0</v>
      </c>
      <c r="BM46" s="54">
        <f t="shared" si="11"/>
        <v>0</v>
      </c>
      <c r="BN46" s="54">
        <f t="shared" si="11"/>
        <v>0</v>
      </c>
      <c r="BO46" s="54">
        <f t="shared" si="11"/>
        <v>0</v>
      </c>
      <c r="BP46" s="54">
        <f t="shared" si="11"/>
        <v>0</v>
      </c>
      <c r="BQ46" s="54">
        <f t="shared" si="11"/>
        <v>0</v>
      </c>
      <c r="BR46" s="54">
        <f t="shared" si="11"/>
        <v>0</v>
      </c>
      <c r="BS46" s="54">
        <f t="shared" si="11"/>
        <v>0</v>
      </c>
      <c r="BT46" s="54">
        <f t="shared" si="12"/>
        <v>0</v>
      </c>
      <c r="BU46" s="54">
        <f t="shared" si="12"/>
        <v>0</v>
      </c>
      <c r="BV46" s="54">
        <f t="shared" si="12"/>
        <v>0</v>
      </c>
      <c r="BW46" s="54">
        <f t="shared" si="12"/>
        <v>0</v>
      </c>
      <c r="BX46" s="54">
        <f t="shared" si="12"/>
        <v>0</v>
      </c>
      <c r="BY46" s="54">
        <f t="shared" si="12"/>
        <v>0</v>
      </c>
      <c r="BZ46" s="54">
        <f t="shared" si="12"/>
        <v>0</v>
      </c>
      <c r="CA46" s="54">
        <f t="shared" si="12"/>
        <v>0</v>
      </c>
      <c r="CB46" s="54">
        <f t="shared" si="12"/>
        <v>0</v>
      </c>
      <c r="CC46" s="54">
        <f t="shared" si="12"/>
        <v>0</v>
      </c>
      <c r="CD46" s="54">
        <f t="shared" si="12"/>
        <v>0</v>
      </c>
      <c r="CE46" s="54">
        <f t="shared" si="12"/>
        <v>0</v>
      </c>
    </row>
    <row r="47" spans="1:83" x14ac:dyDescent="0.25">
      <c r="A47" s="127" t="str">
        <f>A$23</f>
        <v>lot9</v>
      </c>
      <c r="B47" s="61">
        <f t="shared" si="14"/>
        <v>0</v>
      </c>
      <c r="C47" s="61">
        <f t="shared" si="13"/>
        <v>0</v>
      </c>
      <c r="D47" s="61">
        <f t="shared" si="13"/>
        <v>0</v>
      </c>
      <c r="E47" s="61">
        <f t="shared" si="13"/>
        <v>0</v>
      </c>
      <c r="F47" s="61">
        <f t="shared" si="13"/>
        <v>0</v>
      </c>
      <c r="G47" s="61">
        <f t="shared" si="13"/>
        <v>0</v>
      </c>
      <c r="H47" s="61">
        <f t="shared" si="13"/>
        <v>0</v>
      </c>
      <c r="I47" s="61">
        <f t="shared" si="13"/>
        <v>0</v>
      </c>
      <c r="J47" s="61">
        <f t="shared" si="13"/>
        <v>0</v>
      </c>
      <c r="K47" s="61">
        <f t="shared" si="13"/>
        <v>0</v>
      </c>
      <c r="L47" s="61">
        <f t="shared" si="13"/>
        <v>0</v>
      </c>
      <c r="M47" s="61">
        <f t="shared" si="13"/>
        <v>0</v>
      </c>
      <c r="N47" s="61">
        <f t="shared" si="13"/>
        <v>0</v>
      </c>
      <c r="O47" s="61">
        <f t="shared" si="13"/>
        <v>0</v>
      </c>
      <c r="P47" s="61">
        <f t="shared" si="13"/>
        <v>0</v>
      </c>
      <c r="Q47" s="61">
        <f t="shared" si="13"/>
        <v>0</v>
      </c>
      <c r="R47" s="61">
        <f t="shared" si="13"/>
        <v>0</v>
      </c>
      <c r="S47" s="61">
        <f t="shared" si="13"/>
        <v>0</v>
      </c>
      <c r="T47" s="61">
        <f t="shared" si="13"/>
        <v>0</v>
      </c>
      <c r="U47" s="61">
        <f t="shared" si="13"/>
        <v>0</v>
      </c>
      <c r="V47" s="61">
        <f t="shared" si="13"/>
        <v>0</v>
      </c>
      <c r="W47" s="61">
        <f t="shared" si="13"/>
        <v>0</v>
      </c>
      <c r="X47" s="61">
        <f t="shared" si="13"/>
        <v>0</v>
      </c>
      <c r="Y47" s="61">
        <f t="shared" si="13"/>
        <v>0</v>
      </c>
      <c r="Z47" s="52"/>
      <c r="AB47" s="5"/>
      <c r="AC47" t="s">
        <v>405</v>
      </c>
      <c r="AE47" s="17">
        <v>31</v>
      </c>
      <c r="AG47" s="126">
        <f>HLOOKUP(AF$4,[1]Anx!$C$86:$CO$121,AE47)</f>
        <v>0</v>
      </c>
      <c r="AH47" s="61">
        <f t="shared" si="4"/>
        <v>0</v>
      </c>
      <c r="AI47" s="129">
        <f>Troupeau!B101</f>
        <v>0</v>
      </c>
      <c r="AK47" s="54">
        <f t="shared" si="5"/>
        <v>0</v>
      </c>
      <c r="AL47" s="54">
        <f t="shared" si="9"/>
        <v>0</v>
      </c>
      <c r="AM47" s="54">
        <f t="shared" si="9"/>
        <v>0</v>
      </c>
      <c r="AN47" s="54">
        <f t="shared" si="8"/>
        <v>0</v>
      </c>
      <c r="AO47" s="54">
        <f t="shared" si="8"/>
        <v>0</v>
      </c>
      <c r="AP47" s="54">
        <f t="shared" si="8"/>
        <v>0</v>
      </c>
      <c r="AQ47" s="54">
        <f t="shared" si="8"/>
        <v>0</v>
      </c>
      <c r="AR47" s="54">
        <f t="shared" si="8"/>
        <v>0</v>
      </c>
      <c r="AS47" s="54">
        <f t="shared" si="8"/>
        <v>0</v>
      </c>
      <c r="AT47" s="54">
        <f t="shared" si="8"/>
        <v>0</v>
      </c>
      <c r="AU47" s="54">
        <f t="shared" si="8"/>
        <v>0</v>
      </c>
      <c r="AV47" s="54">
        <f t="shared" si="8"/>
        <v>0</v>
      </c>
      <c r="AW47" s="54">
        <f t="shared" si="8"/>
        <v>0</v>
      </c>
      <c r="AX47" s="54">
        <f t="shared" si="8"/>
        <v>0</v>
      </c>
      <c r="AY47" s="54">
        <f t="shared" si="8"/>
        <v>0</v>
      </c>
      <c r="AZ47" s="54">
        <f t="shared" si="8"/>
        <v>0</v>
      </c>
      <c r="BA47" s="54">
        <f t="shared" si="8"/>
        <v>0</v>
      </c>
      <c r="BB47" s="54">
        <f t="shared" si="8"/>
        <v>0</v>
      </c>
      <c r="BC47" s="54">
        <f t="shared" si="8"/>
        <v>0</v>
      </c>
      <c r="BD47" s="54">
        <f t="shared" si="11"/>
        <v>0</v>
      </c>
      <c r="BE47" s="54">
        <f t="shared" si="11"/>
        <v>0</v>
      </c>
      <c r="BF47" s="54">
        <f t="shared" si="11"/>
        <v>0</v>
      </c>
      <c r="BG47" s="54">
        <f t="shared" si="11"/>
        <v>0</v>
      </c>
      <c r="BH47" s="54">
        <f t="shared" si="11"/>
        <v>0</v>
      </c>
      <c r="BI47" s="54">
        <f t="shared" si="11"/>
        <v>0</v>
      </c>
      <c r="BJ47" s="54">
        <f t="shared" si="11"/>
        <v>0</v>
      </c>
      <c r="BK47" s="54">
        <f t="shared" si="11"/>
        <v>0</v>
      </c>
      <c r="BL47" s="54">
        <f t="shared" si="11"/>
        <v>0</v>
      </c>
      <c r="BM47" s="54">
        <f t="shared" si="11"/>
        <v>0</v>
      </c>
      <c r="BN47" s="54">
        <f t="shared" si="11"/>
        <v>0</v>
      </c>
      <c r="BO47" s="54">
        <f t="shared" si="11"/>
        <v>0</v>
      </c>
      <c r="BP47" s="54">
        <f t="shared" si="11"/>
        <v>0</v>
      </c>
      <c r="BQ47" s="54">
        <f t="shared" si="11"/>
        <v>0</v>
      </c>
      <c r="BR47" s="54">
        <f t="shared" si="11"/>
        <v>0</v>
      </c>
      <c r="BS47" s="54">
        <f t="shared" si="11"/>
        <v>0</v>
      </c>
      <c r="BT47" s="54">
        <f t="shared" si="12"/>
        <v>0</v>
      </c>
      <c r="BU47" s="54">
        <f t="shared" si="12"/>
        <v>0</v>
      </c>
      <c r="BV47" s="54">
        <f t="shared" si="12"/>
        <v>0</v>
      </c>
      <c r="BW47" s="54">
        <f t="shared" si="12"/>
        <v>0</v>
      </c>
      <c r="BX47" s="54">
        <f t="shared" si="12"/>
        <v>0</v>
      </c>
      <c r="BY47" s="54">
        <f t="shared" si="12"/>
        <v>0</v>
      </c>
      <c r="BZ47" s="54">
        <f t="shared" si="12"/>
        <v>0</v>
      </c>
      <c r="CA47" s="54">
        <f t="shared" si="12"/>
        <v>0</v>
      </c>
      <c r="CB47" s="54">
        <f t="shared" si="12"/>
        <v>0</v>
      </c>
      <c r="CC47" s="54">
        <f t="shared" si="12"/>
        <v>0</v>
      </c>
      <c r="CD47" s="54">
        <f t="shared" si="12"/>
        <v>0</v>
      </c>
      <c r="CE47" s="54">
        <f t="shared" si="12"/>
        <v>0</v>
      </c>
    </row>
    <row r="48" spans="1:83" x14ac:dyDescent="0.25">
      <c r="A48" s="128" t="str">
        <f>A$24</f>
        <v>lot10</v>
      </c>
      <c r="B48" s="61">
        <f t="shared" si="14"/>
        <v>0</v>
      </c>
      <c r="C48" s="61">
        <f t="shared" si="13"/>
        <v>0</v>
      </c>
      <c r="D48" s="61">
        <f t="shared" si="13"/>
        <v>0</v>
      </c>
      <c r="E48" s="61">
        <f t="shared" si="13"/>
        <v>0</v>
      </c>
      <c r="F48" s="61">
        <f t="shared" si="13"/>
        <v>0</v>
      </c>
      <c r="G48" s="61">
        <f t="shared" si="13"/>
        <v>0</v>
      </c>
      <c r="H48" s="61">
        <f t="shared" si="13"/>
        <v>0</v>
      </c>
      <c r="I48" s="61">
        <f t="shared" si="13"/>
        <v>0</v>
      </c>
      <c r="J48" s="61">
        <f t="shared" si="13"/>
        <v>0</v>
      </c>
      <c r="K48" s="61">
        <f t="shared" si="13"/>
        <v>0</v>
      </c>
      <c r="L48" s="61">
        <f t="shared" si="13"/>
        <v>0</v>
      </c>
      <c r="M48" s="61">
        <f t="shared" si="13"/>
        <v>0</v>
      </c>
      <c r="N48" s="61">
        <f t="shared" si="13"/>
        <v>0</v>
      </c>
      <c r="O48" s="61">
        <f t="shared" si="13"/>
        <v>0</v>
      </c>
      <c r="P48" s="61">
        <f t="shared" si="13"/>
        <v>0</v>
      </c>
      <c r="Q48" s="61">
        <f t="shared" si="13"/>
        <v>0</v>
      </c>
      <c r="R48" s="61">
        <f t="shared" si="13"/>
        <v>0</v>
      </c>
      <c r="S48" s="61">
        <f t="shared" si="13"/>
        <v>0</v>
      </c>
      <c r="T48" s="61">
        <f t="shared" si="13"/>
        <v>0</v>
      </c>
      <c r="U48" s="61">
        <f t="shared" si="13"/>
        <v>0</v>
      </c>
      <c r="V48" s="61">
        <f t="shared" si="13"/>
        <v>0</v>
      </c>
      <c r="W48" s="61">
        <f t="shared" si="13"/>
        <v>0</v>
      </c>
      <c r="X48" s="61">
        <f t="shared" si="13"/>
        <v>0</v>
      </c>
      <c r="Y48" s="61">
        <f t="shared" si="13"/>
        <v>0</v>
      </c>
      <c r="Z48" s="52"/>
      <c r="AB48" s="5"/>
      <c r="AC48" t="s">
        <v>406</v>
      </c>
      <c r="AE48" s="17">
        <v>32</v>
      </c>
      <c r="AG48" s="126">
        <f>HLOOKUP(AF$4,[1]Anx!$C$86:$CO$121,AE48)</f>
        <v>0</v>
      </c>
      <c r="AH48" s="61">
        <f t="shared" si="4"/>
        <v>0</v>
      </c>
      <c r="AI48" s="129">
        <f>Troupeau!B102</f>
        <v>0</v>
      </c>
      <c r="AK48" s="54">
        <f t="shared" si="5"/>
        <v>0</v>
      </c>
      <c r="AL48" s="54">
        <f t="shared" si="9"/>
        <v>0</v>
      </c>
      <c r="AM48" s="54">
        <f t="shared" si="9"/>
        <v>0</v>
      </c>
      <c r="AN48" s="54">
        <f t="shared" si="8"/>
        <v>0</v>
      </c>
      <c r="AO48" s="54">
        <f t="shared" si="8"/>
        <v>0</v>
      </c>
      <c r="AP48" s="54">
        <f t="shared" si="8"/>
        <v>0</v>
      </c>
      <c r="AQ48" s="54">
        <f t="shared" si="8"/>
        <v>0</v>
      </c>
      <c r="AR48" s="54">
        <f t="shared" si="8"/>
        <v>0</v>
      </c>
      <c r="AS48" s="54">
        <f t="shared" si="8"/>
        <v>0</v>
      </c>
      <c r="AT48" s="54">
        <f t="shared" si="8"/>
        <v>0</v>
      </c>
      <c r="AU48" s="54">
        <f t="shared" si="8"/>
        <v>0</v>
      </c>
      <c r="AV48" s="54">
        <f t="shared" si="8"/>
        <v>0</v>
      </c>
      <c r="AW48" s="54">
        <f t="shared" si="8"/>
        <v>0</v>
      </c>
      <c r="AX48" s="54">
        <f t="shared" si="8"/>
        <v>0</v>
      </c>
      <c r="AY48" s="54">
        <f t="shared" si="8"/>
        <v>0</v>
      </c>
      <c r="AZ48" s="54">
        <f t="shared" si="8"/>
        <v>0</v>
      </c>
      <c r="BA48" s="54">
        <f t="shared" si="8"/>
        <v>0</v>
      </c>
      <c r="BB48" s="54">
        <f t="shared" si="8"/>
        <v>0</v>
      </c>
      <c r="BC48" s="54">
        <f t="shared" si="8"/>
        <v>0</v>
      </c>
      <c r="BD48" s="54">
        <f t="shared" si="11"/>
        <v>0</v>
      </c>
      <c r="BE48" s="54">
        <f t="shared" si="11"/>
        <v>0</v>
      </c>
      <c r="BF48" s="54">
        <f t="shared" si="11"/>
        <v>0</v>
      </c>
      <c r="BG48" s="54">
        <f t="shared" si="11"/>
        <v>0</v>
      </c>
      <c r="BH48" s="54">
        <f t="shared" si="11"/>
        <v>0</v>
      </c>
      <c r="BI48" s="54">
        <f t="shared" si="11"/>
        <v>0</v>
      </c>
      <c r="BJ48" s="54">
        <f t="shared" si="11"/>
        <v>0</v>
      </c>
      <c r="BK48" s="54">
        <f t="shared" si="11"/>
        <v>0</v>
      </c>
      <c r="BL48" s="54">
        <f t="shared" si="11"/>
        <v>0</v>
      </c>
      <c r="BM48" s="54">
        <f t="shared" si="11"/>
        <v>0</v>
      </c>
      <c r="BN48" s="54">
        <f t="shared" si="11"/>
        <v>0</v>
      </c>
      <c r="BO48" s="54">
        <f t="shared" si="11"/>
        <v>0</v>
      </c>
      <c r="BP48" s="54">
        <f t="shared" si="11"/>
        <v>0</v>
      </c>
      <c r="BQ48" s="54">
        <f t="shared" si="11"/>
        <v>0</v>
      </c>
      <c r="BR48" s="54">
        <f t="shared" si="11"/>
        <v>0</v>
      </c>
      <c r="BS48" s="54">
        <f t="shared" si="11"/>
        <v>0</v>
      </c>
      <c r="BT48" s="54">
        <f t="shared" si="12"/>
        <v>0</v>
      </c>
      <c r="BU48" s="54">
        <f t="shared" si="12"/>
        <v>0</v>
      </c>
      <c r="BV48" s="54">
        <f t="shared" si="12"/>
        <v>0</v>
      </c>
      <c r="BW48" s="54">
        <f t="shared" si="12"/>
        <v>0</v>
      </c>
      <c r="BX48" s="54">
        <f t="shared" si="12"/>
        <v>0</v>
      </c>
      <c r="BY48" s="54">
        <f t="shared" si="12"/>
        <v>0</v>
      </c>
      <c r="BZ48" s="54">
        <f t="shared" si="12"/>
        <v>0</v>
      </c>
      <c r="CA48" s="54">
        <f t="shared" si="12"/>
        <v>0</v>
      </c>
      <c r="CB48" s="54">
        <f t="shared" si="12"/>
        <v>0</v>
      </c>
      <c r="CC48" s="54">
        <f t="shared" si="12"/>
        <v>0</v>
      </c>
      <c r="CD48" s="54">
        <f t="shared" si="12"/>
        <v>0</v>
      </c>
      <c r="CE48" s="54">
        <f t="shared" si="12"/>
        <v>0</v>
      </c>
    </row>
    <row r="49" spans="1:83" s="2" customFormat="1" x14ac:dyDescent="0.25">
      <c r="A49" s="55" t="s">
        <v>171</v>
      </c>
      <c r="B49" s="62">
        <f>SUM(B39:B48)</f>
        <v>46.239999999999995</v>
      </c>
      <c r="C49" s="62">
        <f t="shared" ref="C49:Y49" si="15">SUM(C39:C48)</f>
        <v>46.239999999999995</v>
      </c>
      <c r="D49" s="62">
        <f t="shared" si="15"/>
        <v>46.8</v>
      </c>
      <c r="E49" s="62">
        <f t="shared" si="15"/>
        <v>47.08</v>
      </c>
      <c r="F49" s="62">
        <f t="shared" si="15"/>
        <v>47.639999999999993</v>
      </c>
      <c r="G49" s="62">
        <f t="shared" si="15"/>
        <v>48.48</v>
      </c>
      <c r="H49" s="62">
        <f t="shared" si="15"/>
        <v>43.839999999999996</v>
      </c>
      <c r="I49" s="62">
        <f t="shared" si="15"/>
        <v>44.399999999999991</v>
      </c>
      <c r="J49" s="62">
        <f t="shared" si="15"/>
        <v>44.679999999999993</v>
      </c>
      <c r="K49" s="62">
        <f t="shared" si="15"/>
        <v>44.679999999999993</v>
      </c>
      <c r="L49" s="62">
        <f t="shared" si="15"/>
        <v>44.679999999999993</v>
      </c>
      <c r="M49" s="62">
        <f t="shared" si="15"/>
        <v>44.679999999999993</v>
      </c>
      <c r="N49" s="62">
        <f t="shared" si="15"/>
        <v>44.679999999999993</v>
      </c>
      <c r="O49" s="62">
        <f t="shared" si="15"/>
        <v>44.679999999999993</v>
      </c>
      <c r="P49" s="62">
        <f t="shared" si="15"/>
        <v>44.679999999999993</v>
      </c>
      <c r="Q49" s="62">
        <f t="shared" si="15"/>
        <v>43.32</v>
      </c>
      <c r="R49" s="62">
        <f t="shared" si="15"/>
        <v>41.96</v>
      </c>
      <c r="S49" s="62">
        <f t="shared" si="15"/>
        <v>40.6</v>
      </c>
      <c r="T49" s="62">
        <f t="shared" si="15"/>
        <v>40.44</v>
      </c>
      <c r="U49" s="62">
        <f t="shared" si="15"/>
        <v>44.72</v>
      </c>
      <c r="V49" s="62">
        <f t="shared" si="15"/>
        <v>44.68</v>
      </c>
      <c r="W49" s="62">
        <f t="shared" si="15"/>
        <v>46.239999999999995</v>
      </c>
      <c r="X49" s="62">
        <f t="shared" si="15"/>
        <v>46.239999999999995</v>
      </c>
      <c r="Y49" s="62">
        <f t="shared" si="15"/>
        <v>46.239999999999995</v>
      </c>
      <c r="Z49" s="23"/>
      <c r="AA49" s="46">
        <f>AVERAGE(B49:Y49)</f>
        <v>44.913333333333327</v>
      </c>
      <c r="AB49" t="s">
        <v>191</v>
      </c>
      <c r="AC49" t="s">
        <v>407</v>
      </c>
      <c r="AE49" s="17">
        <v>33</v>
      </c>
      <c r="AG49" s="126">
        <f>HLOOKUP(AF$4,[1]Anx!$C$86:$CO$121,AE49)</f>
        <v>0</v>
      </c>
      <c r="AH49" s="61">
        <f t="shared" si="4"/>
        <v>0</v>
      </c>
      <c r="AI49" s="129">
        <f>Troupeau!B103</f>
        <v>0</v>
      </c>
      <c r="AK49" s="54">
        <f t="shared" si="5"/>
        <v>0</v>
      </c>
      <c r="AL49" s="54">
        <f t="shared" si="9"/>
        <v>0</v>
      </c>
      <c r="AM49" s="54">
        <f t="shared" si="9"/>
        <v>0</v>
      </c>
      <c r="AN49" s="54">
        <f t="shared" si="8"/>
        <v>0</v>
      </c>
      <c r="AO49" s="54">
        <f t="shared" si="8"/>
        <v>0</v>
      </c>
      <c r="AP49" s="54">
        <f t="shared" si="8"/>
        <v>0</v>
      </c>
      <c r="AQ49" s="54">
        <f t="shared" si="8"/>
        <v>0</v>
      </c>
      <c r="AR49" s="54">
        <f t="shared" si="8"/>
        <v>0</v>
      </c>
      <c r="AS49" s="54">
        <f t="shared" si="8"/>
        <v>0</v>
      </c>
      <c r="AT49" s="54">
        <f t="shared" si="8"/>
        <v>0</v>
      </c>
      <c r="AU49" s="54">
        <f t="shared" si="8"/>
        <v>0</v>
      </c>
      <c r="AV49" s="54">
        <f t="shared" si="8"/>
        <v>0</v>
      </c>
      <c r="AW49" s="54">
        <f t="shared" si="8"/>
        <v>0</v>
      </c>
      <c r="AX49" s="54">
        <f t="shared" si="8"/>
        <v>0</v>
      </c>
      <c r="AY49" s="54">
        <f t="shared" si="8"/>
        <v>0</v>
      </c>
      <c r="AZ49" s="54">
        <f t="shared" si="8"/>
        <v>0</v>
      </c>
      <c r="BA49" s="54">
        <f t="shared" si="8"/>
        <v>0</v>
      </c>
      <c r="BB49" s="54">
        <f t="shared" si="8"/>
        <v>0</v>
      </c>
      <c r="BC49" s="54">
        <f t="shared" si="8"/>
        <v>0</v>
      </c>
      <c r="BD49" s="54">
        <f t="shared" si="11"/>
        <v>0</v>
      </c>
      <c r="BE49" s="54">
        <f t="shared" si="11"/>
        <v>0</v>
      </c>
      <c r="BF49" s="54">
        <f t="shared" si="11"/>
        <v>0</v>
      </c>
      <c r="BG49" s="54">
        <f t="shared" si="11"/>
        <v>0</v>
      </c>
      <c r="BH49" s="54">
        <f t="shared" si="11"/>
        <v>0</v>
      </c>
      <c r="BI49" s="54">
        <f t="shared" si="11"/>
        <v>0</v>
      </c>
      <c r="BJ49" s="54">
        <f t="shared" si="11"/>
        <v>0</v>
      </c>
      <c r="BK49" s="54">
        <f t="shared" si="11"/>
        <v>0</v>
      </c>
      <c r="BL49" s="54">
        <f t="shared" si="11"/>
        <v>0</v>
      </c>
      <c r="BM49" s="54">
        <f t="shared" si="11"/>
        <v>0</v>
      </c>
      <c r="BN49" s="54">
        <f t="shared" si="11"/>
        <v>0</v>
      </c>
      <c r="BO49" s="54">
        <f t="shared" si="11"/>
        <v>0</v>
      </c>
      <c r="BP49" s="54">
        <f t="shared" si="11"/>
        <v>0</v>
      </c>
      <c r="BQ49" s="54">
        <f t="shared" si="11"/>
        <v>0</v>
      </c>
      <c r="BR49" s="54">
        <f t="shared" si="11"/>
        <v>0</v>
      </c>
      <c r="BS49" s="54">
        <f t="shared" si="11"/>
        <v>0</v>
      </c>
      <c r="BT49" s="54">
        <f t="shared" si="12"/>
        <v>0</v>
      </c>
      <c r="BU49" s="54">
        <f t="shared" si="12"/>
        <v>0</v>
      </c>
      <c r="BV49" s="54">
        <f t="shared" si="12"/>
        <v>0</v>
      </c>
      <c r="BW49" s="54">
        <f t="shared" si="12"/>
        <v>0</v>
      </c>
      <c r="BX49" s="54">
        <f t="shared" si="12"/>
        <v>0</v>
      </c>
      <c r="BY49" s="54">
        <f t="shared" si="12"/>
        <v>0</v>
      </c>
      <c r="BZ49" s="54">
        <f t="shared" si="12"/>
        <v>0</v>
      </c>
      <c r="CA49" s="54">
        <f t="shared" si="12"/>
        <v>0</v>
      </c>
      <c r="CB49" s="54">
        <f t="shared" si="12"/>
        <v>0</v>
      </c>
      <c r="CC49" s="54">
        <f t="shared" si="12"/>
        <v>0</v>
      </c>
      <c r="CD49" s="54">
        <f t="shared" si="12"/>
        <v>0</v>
      </c>
      <c r="CE49" s="54">
        <f t="shared" si="12"/>
        <v>0</v>
      </c>
    </row>
    <row r="50" spans="1:83" s="5" customFormat="1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AA50" s="5">
        <f>44/41.2</f>
        <v>1.0679611650485437</v>
      </c>
      <c r="AC50" t="s">
        <v>408</v>
      </c>
      <c r="AE50" s="17">
        <v>34</v>
      </c>
      <c r="AG50" s="126">
        <f>HLOOKUP(AF$4,[1]Anx!$C$86:$CO$121,AE50)</f>
        <v>0</v>
      </c>
      <c r="AH50" s="61">
        <f t="shared" si="4"/>
        <v>0</v>
      </c>
      <c r="AI50" s="129">
        <f>Troupeau!B104</f>
        <v>0</v>
      </c>
      <c r="AK50" s="54">
        <f t="shared" si="5"/>
        <v>0</v>
      </c>
      <c r="AL50" s="54">
        <f t="shared" si="9"/>
        <v>0</v>
      </c>
      <c r="AM50" s="54">
        <f t="shared" si="9"/>
        <v>0</v>
      </c>
      <c r="AN50" s="54">
        <f t="shared" si="8"/>
        <v>0</v>
      </c>
      <c r="AO50" s="54">
        <f t="shared" si="8"/>
        <v>0</v>
      </c>
      <c r="AP50" s="54">
        <f t="shared" si="8"/>
        <v>0</v>
      </c>
      <c r="AQ50" s="54">
        <f t="shared" si="8"/>
        <v>0</v>
      </c>
      <c r="AR50" s="54">
        <f t="shared" si="8"/>
        <v>0</v>
      </c>
      <c r="AS50" s="54">
        <f t="shared" si="8"/>
        <v>0</v>
      </c>
      <c r="AT50" s="54">
        <f t="shared" si="8"/>
        <v>0</v>
      </c>
      <c r="AU50" s="54">
        <f t="shared" si="8"/>
        <v>0</v>
      </c>
      <c r="AV50" s="54">
        <f t="shared" si="8"/>
        <v>0</v>
      </c>
      <c r="AW50" s="54">
        <f t="shared" si="8"/>
        <v>0</v>
      </c>
      <c r="AX50" s="54">
        <f t="shared" si="8"/>
        <v>0</v>
      </c>
      <c r="AY50" s="54">
        <f t="shared" si="8"/>
        <v>0</v>
      </c>
      <c r="AZ50" s="54">
        <f t="shared" si="8"/>
        <v>0</v>
      </c>
      <c r="BA50" s="54">
        <f t="shared" si="8"/>
        <v>0</v>
      </c>
      <c r="BB50" s="54">
        <f t="shared" si="8"/>
        <v>0</v>
      </c>
      <c r="BC50" s="54">
        <f t="shared" ref="BC50:BR52" si="16">IF($AH50=BC$17,ROUND($AI50/1000,1),0)</f>
        <v>0</v>
      </c>
      <c r="BD50" s="54">
        <f t="shared" si="16"/>
        <v>0</v>
      </c>
      <c r="BE50" s="54">
        <f t="shared" si="16"/>
        <v>0</v>
      </c>
      <c r="BF50" s="54">
        <f t="shared" si="16"/>
        <v>0</v>
      </c>
      <c r="BG50" s="54">
        <f t="shared" si="16"/>
        <v>0</v>
      </c>
      <c r="BH50" s="54">
        <f t="shared" si="16"/>
        <v>0</v>
      </c>
      <c r="BI50" s="54">
        <f t="shared" si="16"/>
        <v>0</v>
      </c>
      <c r="BJ50" s="54">
        <f t="shared" si="16"/>
        <v>0</v>
      </c>
      <c r="BK50" s="54">
        <f t="shared" si="16"/>
        <v>0</v>
      </c>
      <c r="BL50" s="54">
        <f t="shared" si="16"/>
        <v>0</v>
      </c>
      <c r="BM50" s="54">
        <f t="shared" si="16"/>
        <v>0</v>
      </c>
      <c r="BN50" s="54">
        <f t="shared" si="16"/>
        <v>0</v>
      </c>
      <c r="BO50" s="54">
        <f t="shared" si="16"/>
        <v>0</v>
      </c>
      <c r="BP50" s="54">
        <f t="shared" si="16"/>
        <v>0</v>
      </c>
      <c r="BQ50" s="54">
        <f t="shared" si="16"/>
        <v>0</v>
      </c>
      <c r="BR50" s="54">
        <f t="shared" si="16"/>
        <v>0</v>
      </c>
      <c r="BS50" s="54">
        <f t="shared" si="11"/>
        <v>0</v>
      </c>
      <c r="BT50" s="54">
        <f t="shared" si="12"/>
        <v>0</v>
      </c>
      <c r="BU50" s="54">
        <f t="shared" si="12"/>
        <v>0</v>
      </c>
      <c r="BV50" s="54">
        <f t="shared" si="12"/>
        <v>0</v>
      </c>
      <c r="BW50" s="54">
        <f t="shared" si="12"/>
        <v>0</v>
      </c>
      <c r="BX50" s="54">
        <f t="shared" si="12"/>
        <v>0</v>
      </c>
      <c r="BY50" s="54">
        <f t="shared" si="12"/>
        <v>0</v>
      </c>
      <c r="BZ50" s="54">
        <f t="shared" si="12"/>
        <v>0</v>
      </c>
      <c r="CA50" s="54">
        <f t="shared" si="12"/>
        <v>0</v>
      </c>
      <c r="CB50" s="54">
        <f t="shared" si="12"/>
        <v>0</v>
      </c>
      <c r="CC50" s="54">
        <f t="shared" si="12"/>
        <v>0</v>
      </c>
      <c r="CD50" s="54">
        <f t="shared" si="12"/>
        <v>0</v>
      </c>
      <c r="CE50" s="54">
        <f t="shared" si="12"/>
        <v>0</v>
      </c>
    </row>
    <row r="51" spans="1:83" x14ac:dyDescent="0.25">
      <c r="A51" s="2" t="s">
        <v>175</v>
      </c>
      <c r="AC51" t="s">
        <v>409</v>
      </c>
      <c r="AE51" s="17">
        <v>35</v>
      </c>
      <c r="AG51" s="126">
        <f>HLOOKUP(AF$4,[1]Anx!$C$86:$CO$121,AE51)</f>
        <v>0</v>
      </c>
      <c r="AH51" s="61">
        <f t="shared" si="4"/>
        <v>0</v>
      </c>
      <c r="AI51" s="129">
        <f>Troupeau!B105</f>
        <v>0</v>
      </c>
      <c r="AK51" s="54">
        <f t="shared" si="5"/>
        <v>0</v>
      </c>
      <c r="AL51" s="54">
        <f t="shared" si="9"/>
        <v>0</v>
      </c>
      <c r="AM51" s="54">
        <f t="shared" si="9"/>
        <v>0</v>
      </c>
      <c r="AN51" s="54">
        <f t="shared" si="9"/>
        <v>0</v>
      </c>
      <c r="AO51" s="54">
        <f t="shared" si="9"/>
        <v>0</v>
      </c>
      <c r="AP51" s="54">
        <f t="shared" si="9"/>
        <v>0</v>
      </c>
      <c r="AQ51" s="54">
        <f t="shared" si="9"/>
        <v>0</v>
      </c>
      <c r="AR51" s="54">
        <f t="shared" si="9"/>
        <v>0</v>
      </c>
      <c r="AS51" s="54">
        <f t="shared" si="9"/>
        <v>0</v>
      </c>
      <c r="AT51" s="54">
        <f t="shared" si="9"/>
        <v>0</v>
      </c>
      <c r="AU51" s="54">
        <f t="shared" si="9"/>
        <v>0</v>
      </c>
      <c r="AV51" s="54">
        <f t="shared" si="9"/>
        <v>0</v>
      </c>
      <c r="AW51" s="54">
        <f t="shared" si="9"/>
        <v>0</v>
      </c>
      <c r="AX51" s="54">
        <f t="shared" si="9"/>
        <v>0</v>
      </c>
      <c r="AY51" s="54">
        <f t="shared" si="9"/>
        <v>0</v>
      </c>
      <c r="AZ51" s="54">
        <f t="shared" si="9"/>
        <v>0</v>
      </c>
      <c r="BA51" s="54">
        <f t="shared" si="9"/>
        <v>0</v>
      </c>
      <c r="BB51" s="54">
        <f t="shared" ref="AN51:BB52" si="17">IF($AH51=BB$17,ROUND($AI51/1000,1),0)</f>
        <v>0</v>
      </c>
      <c r="BC51" s="54">
        <f t="shared" si="16"/>
        <v>0</v>
      </c>
      <c r="BD51" s="54">
        <f t="shared" si="16"/>
        <v>0</v>
      </c>
      <c r="BE51" s="54">
        <f t="shared" si="16"/>
        <v>0</v>
      </c>
      <c r="BF51" s="54">
        <f t="shared" si="16"/>
        <v>0</v>
      </c>
      <c r="BG51" s="54">
        <f t="shared" si="16"/>
        <v>0</v>
      </c>
      <c r="BH51" s="54">
        <f t="shared" si="16"/>
        <v>0</v>
      </c>
      <c r="BI51" s="54">
        <f t="shared" si="16"/>
        <v>0</v>
      </c>
      <c r="BJ51" s="54">
        <f t="shared" si="16"/>
        <v>0</v>
      </c>
      <c r="BK51" s="54">
        <f t="shared" si="16"/>
        <v>0</v>
      </c>
      <c r="BL51" s="54">
        <f t="shared" si="16"/>
        <v>0</v>
      </c>
      <c r="BM51" s="54">
        <f t="shared" si="16"/>
        <v>0</v>
      </c>
      <c r="BN51" s="54">
        <f t="shared" si="16"/>
        <v>0</v>
      </c>
      <c r="BO51" s="54">
        <f t="shared" si="16"/>
        <v>0</v>
      </c>
      <c r="BP51" s="54">
        <f t="shared" si="16"/>
        <v>0</v>
      </c>
      <c r="BQ51" s="54">
        <f t="shared" si="16"/>
        <v>0</v>
      </c>
      <c r="BR51" s="54">
        <f t="shared" si="16"/>
        <v>0</v>
      </c>
      <c r="BS51" s="54">
        <f t="shared" si="11"/>
        <v>0</v>
      </c>
      <c r="BT51" s="54">
        <f t="shared" si="12"/>
        <v>0</v>
      </c>
      <c r="BU51" s="54">
        <f t="shared" si="12"/>
        <v>0</v>
      </c>
      <c r="BV51" s="54">
        <f t="shared" si="12"/>
        <v>0</v>
      </c>
      <c r="BW51" s="54">
        <f t="shared" si="12"/>
        <v>0</v>
      </c>
      <c r="BX51" s="54">
        <f t="shared" si="12"/>
        <v>0</v>
      </c>
      <c r="BY51" s="54">
        <f t="shared" si="12"/>
        <v>0</v>
      </c>
      <c r="BZ51" s="54">
        <f t="shared" si="12"/>
        <v>0</v>
      </c>
      <c r="CA51" s="54">
        <f t="shared" si="12"/>
        <v>0</v>
      </c>
      <c r="CB51" s="54">
        <f t="shared" si="12"/>
        <v>0</v>
      </c>
      <c r="CC51" s="54">
        <f t="shared" si="12"/>
        <v>0</v>
      </c>
      <c r="CD51" s="54">
        <f t="shared" si="12"/>
        <v>0</v>
      </c>
      <c r="CE51" s="54">
        <f t="shared" si="12"/>
        <v>0</v>
      </c>
    </row>
    <row r="52" spans="1:83" x14ac:dyDescent="0.25">
      <c r="A52" s="127" t="str">
        <f>A$15</f>
        <v xml:space="preserve">Vaches </v>
      </c>
      <c r="B52" s="60">
        <v>1</v>
      </c>
      <c r="C52" s="60">
        <v>1</v>
      </c>
      <c r="D52" s="60">
        <v>1</v>
      </c>
      <c r="E52" s="60">
        <v>1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0</v>
      </c>
      <c r="S52" s="60">
        <v>0</v>
      </c>
      <c r="T52" s="60">
        <v>0</v>
      </c>
      <c r="U52" s="60">
        <v>0</v>
      </c>
      <c r="V52" s="60">
        <v>1</v>
      </c>
      <c r="W52" s="60">
        <v>1</v>
      </c>
      <c r="X52" s="60">
        <v>1</v>
      </c>
      <c r="Y52" s="60">
        <v>1</v>
      </c>
      <c r="Z52" s="52"/>
      <c r="AC52" t="s">
        <v>410</v>
      </c>
      <c r="AE52" s="17">
        <v>36</v>
      </c>
      <c r="AG52" s="126">
        <f>HLOOKUP(AF$4,[1]Anx!$C$86:$CO$121,AE52)</f>
        <v>0</v>
      </c>
      <c r="AH52" s="61">
        <f t="shared" si="4"/>
        <v>0</v>
      </c>
      <c r="AI52" s="129">
        <f>Troupeau!B106</f>
        <v>0</v>
      </c>
      <c r="AK52" s="54">
        <f t="shared" si="5"/>
        <v>0</v>
      </c>
      <c r="AL52" s="54">
        <f t="shared" si="9"/>
        <v>0</v>
      </c>
      <c r="AM52" s="54">
        <f t="shared" si="9"/>
        <v>0</v>
      </c>
      <c r="AN52" s="54">
        <f t="shared" si="17"/>
        <v>0</v>
      </c>
      <c r="AO52" s="54">
        <f t="shared" si="17"/>
        <v>0</v>
      </c>
      <c r="AP52" s="54">
        <f t="shared" si="17"/>
        <v>0</v>
      </c>
      <c r="AQ52" s="54">
        <f t="shared" si="17"/>
        <v>0</v>
      </c>
      <c r="AR52" s="54">
        <f t="shared" si="17"/>
        <v>0</v>
      </c>
      <c r="AS52" s="54">
        <f t="shared" si="17"/>
        <v>0</v>
      </c>
      <c r="AT52" s="54">
        <f t="shared" si="17"/>
        <v>0</v>
      </c>
      <c r="AU52" s="54">
        <f t="shared" si="17"/>
        <v>0</v>
      </c>
      <c r="AV52" s="54">
        <f t="shared" si="17"/>
        <v>0</v>
      </c>
      <c r="AW52" s="54">
        <f t="shared" si="17"/>
        <v>0</v>
      </c>
      <c r="AX52" s="54">
        <f t="shared" si="17"/>
        <v>0</v>
      </c>
      <c r="AY52" s="54">
        <f t="shared" si="17"/>
        <v>0</v>
      </c>
      <c r="AZ52" s="54">
        <f t="shared" si="17"/>
        <v>0</v>
      </c>
      <c r="BA52" s="54">
        <f t="shared" si="17"/>
        <v>0</v>
      </c>
      <c r="BB52" s="54">
        <f t="shared" si="17"/>
        <v>0</v>
      </c>
      <c r="BC52" s="54">
        <f t="shared" si="16"/>
        <v>0</v>
      </c>
      <c r="BD52" s="54">
        <f t="shared" si="16"/>
        <v>0</v>
      </c>
      <c r="BE52" s="54">
        <f t="shared" si="16"/>
        <v>0</v>
      </c>
      <c r="BF52" s="54">
        <f t="shared" si="16"/>
        <v>0</v>
      </c>
      <c r="BG52" s="54">
        <f t="shared" si="16"/>
        <v>0</v>
      </c>
      <c r="BH52" s="54">
        <f t="shared" si="16"/>
        <v>0</v>
      </c>
      <c r="BI52" s="54">
        <f t="shared" si="16"/>
        <v>0</v>
      </c>
      <c r="BJ52" s="54">
        <f t="shared" si="16"/>
        <v>0</v>
      </c>
      <c r="BK52" s="54">
        <f t="shared" si="16"/>
        <v>0</v>
      </c>
      <c r="BL52" s="54">
        <f t="shared" si="16"/>
        <v>0</v>
      </c>
      <c r="BM52" s="54">
        <f t="shared" si="16"/>
        <v>0</v>
      </c>
      <c r="BN52" s="54">
        <f t="shared" si="16"/>
        <v>0</v>
      </c>
      <c r="BO52" s="54">
        <f t="shared" si="16"/>
        <v>0</v>
      </c>
      <c r="BP52" s="54">
        <f t="shared" si="16"/>
        <v>0</v>
      </c>
      <c r="BQ52" s="54">
        <f t="shared" si="16"/>
        <v>0</v>
      </c>
      <c r="BR52" s="54">
        <f t="shared" si="16"/>
        <v>0</v>
      </c>
      <c r="BS52" s="54">
        <f t="shared" si="11"/>
        <v>0</v>
      </c>
      <c r="BT52" s="54">
        <f t="shared" si="12"/>
        <v>0</v>
      </c>
      <c r="BU52" s="54">
        <f t="shared" si="12"/>
        <v>0</v>
      </c>
      <c r="BV52" s="54">
        <f t="shared" si="12"/>
        <v>0</v>
      </c>
      <c r="BW52" s="54">
        <f t="shared" si="12"/>
        <v>0</v>
      </c>
      <c r="BX52" s="54">
        <f t="shared" si="12"/>
        <v>0</v>
      </c>
      <c r="BY52" s="54">
        <f t="shared" si="12"/>
        <v>0</v>
      </c>
      <c r="BZ52" s="54">
        <f t="shared" si="12"/>
        <v>0</v>
      </c>
      <c r="CA52" s="54">
        <f t="shared" si="12"/>
        <v>0</v>
      </c>
      <c r="CB52" s="54">
        <f t="shared" si="12"/>
        <v>0</v>
      </c>
      <c r="CC52" s="54">
        <f t="shared" si="12"/>
        <v>0</v>
      </c>
      <c r="CD52" s="54">
        <f t="shared" si="12"/>
        <v>0</v>
      </c>
      <c r="CE52" s="54">
        <f t="shared" si="12"/>
        <v>0</v>
      </c>
    </row>
    <row r="53" spans="1:83" x14ac:dyDescent="0.25">
      <c r="A53" s="128" t="str">
        <f>A$16</f>
        <v>Génisses 24 mois</v>
      </c>
      <c r="B53" s="60">
        <v>1</v>
      </c>
      <c r="C53" s="60">
        <v>1</v>
      </c>
      <c r="D53" s="60">
        <v>1</v>
      </c>
      <c r="E53" s="60">
        <v>1</v>
      </c>
      <c r="F53" s="60">
        <v>0.5</v>
      </c>
      <c r="G53" s="60">
        <v>0.5</v>
      </c>
      <c r="H53" s="60">
        <v>0</v>
      </c>
      <c r="I53" s="60">
        <v>0</v>
      </c>
      <c r="J53" s="60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0.5</v>
      </c>
      <c r="W53" s="60">
        <v>1</v>
      </c>
      <c r="X53" s="60">
        <v>1</v>
      </c>
      <c r="Y53" s="60">
        <v>1</v>
      </c>
      <c r="Z53" s="52"/>
      <c r="AG53" s="5"/>
    </row>
    <row r="54" spans="1:83" x14ac:dyDescent="0.25">
      <c r="A54" s="128" t="str">
        <f>A$17</f>
        <v>Génisses jeunes</v>
      </c>
      <c r="B54" s="60">
        <v>1</v>
      </c>
      <c r="C54" s="60">
        <v>1</v>
      </c>
      <c r="D54" s="60">
        <v>1</v>
      </c>
      <c r="E54" s="60">
        <v>1</v>
      </c>
      <c r="F54" s="60">
        <v>1</v>
      </c>
      <c r="G54" s="60">
        <v>1</v>
      </c>
      <c r="H54" s="60">
        <v>1</v>
      </c>
      <c r="I54" s="60">
        <v>1</v>
      </c>
      <c r="J54" s="60">
        <v>1</v>
      </c>
      <c r="K54" s="60">
        <v>0.5</v>
      </c>
      <c r="L54" s="60">
        <v>0.5</v>
      </c>
      <c r="M54" s="60">
        <v>0.5</v>
      </c>
      <c r="N54" s="60">
        <v>0.5</v>
      </c>
      <c r="O54" s="60">
        <v>0.5</v>
      </c>
      <c r="P54" s="60">
        <v>0.5</v>
      </c>
      <c r="Q54" s="60">
        <v>0.5</v>
      </c>
      <c r="R54" s="60">
        <v>0.5</v>
      </c>
      <c r="S54" s="60">
        <v>0.5</v>
      </c>
      <c r="T54" s="60">
        <v>0.5</v>
      </c>
      <c r="U54" s="60">
        <v>0.5</v>
      </c>
      <c r="V54" s="60">
        <v>0.5</v>
      </c>
      <c r="W54" s="60">
        <v>1</v>
      </c>
      <c r="X54" s="60">
        <v>1</v>
      </c>
      <c r="Y54" s="60">
        <v>1</v>
      </c>
      <c r="Z54" s="52"/>
      <c r="AD54" s="81"/>
      <c r="AG54" s="5"/>
      <c r="AJ54" t="s">
        <v>13</v>
      </c>
      <c r="AK54" s="84">
        <f t="shared" ref="AK54:CD54" si="18">SUM(AK18:AK52)</f>
        <v>2.6</v>
      </c>
      <c r="AL54" s="84">
        <f t="shared" si="18"/>
        <v>2.6999999999999997</v>
      </c>
      <c r="AM54" s="84">
        <f t="shared" si="18"/>
        <v>0</v>
      </c>
      <c r="AN54" s="84">
        <f t="shared" si="18"/>
        <v>0</v>
      </c>
      <c r="AO54" s="84">
        <f t="shared" si="18"/>
        <v>0</v>
      </c>
      <c r="AP54" s="84">
        <f t="shared" si="18"/>
        <v>2.2000000000000002</v>
      </c>
      <c r="AQ54" s="84">
        <f t="shared" si="18"/>
        <v>0</v>
      </c>
      <c r="AR54" s="84">
        <f t="shared" si="18"/>
        <v>0</v>
      </c>
      <c r="AS54" s="84">
        <f t="shared" si="18"/>
        <v>0</v>
      </c>
      <c r="AT54" s="84">
        <f t="shared" si="18"/>
        <v>0</v>
      </c>
      <c r="AU54" s="84">
        <f t="shared" si="18"/>
        <v>0</v>
      </c>
      <c r="AV54" s="84">
        <f t="shared" si="18"/>
        <v>0</v>
      </c>
      <c r="AW54" s="84">
        <f t="shared" si="18"/>
        <v>0</v>
      </c>
      <c r="AX54" s="84">
        <f t="shared" si="18"/>
        <v>0</v>
      </c>
      <c r="AY54" s="84">
        <f t="shared" si="18"/>
        <v>0</v>
      </c>
      <c r="AZ54" s="84">
        <f t="shared" si="18"/>
        <v>0</v>
      </c>
      <c r="BA54" s="84">
        <f t="shared" si="18"/>
        <v>4.4000000000000004</v>
      </c>
      <c r="BB54" s="84">
        <f t="shared" si="18"/>
        <v>0</v>
      </c>
      <c r="BC54" s="84">
        <f t="shared" si="18"/>
        <v>0</v>
      </c>
      <c r="BD54" s="84">
        <f t="shared" si="18"/>
        <v>0</v>
      </c>
      <c r="BE54" s="84">
        <f t="shared" si="18"/>
        <v>0</v>
      </c>
      <c r="BF54" s="84">
        <f t="shared" si="18"/>
        <v>0</v>
      </c>
      <c r="BG54" s="84">
        <f t="shared" si="18"/>
        <v>0</v>
      </c>
      <c r="BH54" s="84">
        <f t="shared" si="18"/>
        <v>0</v>
      </c>
      <c r="BI54" s="84">
        <f t="shared" si="18"/>
        <v>0</v>
      </c>
      <c r="BJ54" s="84">
        <f t="shared" si="18"/>
        <v>0</v>
      </c>
      <c r="BK54" s="84">
        <f t="shared" si="18"/>
        <v>0</v>
      </c>
      <c r="BL54" s="84">
        <f t="shared" si="18"/>
        <v>0</v>
      </c>
      <c r="BM54" s="84">
        <f t="shared" si="18"/>
        <v>0</v>
      </c>
      <c r="BN54" s="84">
        <f t="shared" si="18"/>
        <v>0</v>
      </c>
      <c r="BO54" s="84">
        <f t="shared" si="18"/>
        <v>0</v>
      </c>
      <c r="BP54" s="84">
        <f t="shared" si="18"/>
        <v>0</v>
      </c>
      <c r="BQ54" s="84">
        <f t="shared" si="18"/>
        <v>0</v>
      </c>
      <c r="BR54" s="84">
        <f t="shared" si="18"/>
        <v>0</v>
      </c>
      <c r="BS54" s="84">
        <f t="shared" si="18"/>
        <v>0</v>
      </c>
      <c r="BT54" s="84">
        <f t="shared" si="18"/>
        <v>0</v>
      </c>
      <c r="BU54" s="84">
        <f t="shared" si="18"/>
        <v>0</v>
      </c>
      <c r="BV54" s="84">
        <f t="shared" si="18"/>
        <v>0</v>
      </c>
      <c r="BW54" s="84">
        <f t="shared" si="18"/>
        <v>0</v>
      </c>
      <c r="BX54" s="84">
        <f t="shared" si="18"/>
        <v>0</v>
      </c>
      <c r="BY54" s="84">
        <f t="shared" si="18"/>
        <v>0</v>
      </c>
      <c r="BZ54" s="84">
        <f t="shared" si="18"/>
        <v>0</v>
      </c>
      <c r="CA54" s="84">
        <f t="shared" si="18"/>
        <v>0</v>
      </c>
      <c r="CB54" s="84">
        <f t="shared" si="18"/>
        <v>0</v>
      </c>
      <c r="CC54" s="84">
        <f t="shared" si="18"/>
        <v>0</v>
      </c>
      <c r="CD54" s="84">
        <f t="shared" si="18"/>
        <v>0</v>
      </c>
      <c r="CE54" s="84">
        <f>SUM(CE18:CE52)</f>
        <v>0</v>
      </c>
    </row>
    <row r="55" spans="1:83" x14ac:dyDescent="0.25">
      <c r="A55" s="127" t="str">
        <f>A$18</f>
        <v>broutards</v>
      </c>
      <c r="B55" s="60">
        <v>1</v>
      </c>
      <c r="C55" s="60">
        <v>1</v>
      </c>
      <c r="D55" s="60">
        <v>1</v>
      </c>
      <c r="E55" s="60">
        <v>1</v>
      </c>
      <c r="F55" s="60">
        <v>1</v>
      </c>
      <c r="G55" s="60">
        <v>1</v>
      </c>
      <c r="H55" s="60">
        <v>1</v>
      </c>
      <c r="I55" s="60">
        <v>1</v>
      </c>
      <c r="J55" s="60">
        <v>1</v>
      </c>
      <c r="K55" s="60">
        <v>1</v>
      </c>
      <c r="L55" s="60">
        <v>1</v>
      </c>
      <c r="M55" s="60">
        <v>1</v>
      </c>
      <c r="N55" s="60">
        <v>1</v>
      </c>
      <c r="O55" s="60">
        <v>1</v>
      </c>
      <c r="P55" s="60">
        <v>1</v>
      </c>
      <c r="Q55" s="60">
        <v>1</v>
      </c>
      <c r="R55" s="60">
        <v>1</v>
      </c>
      <c r="S55" s="60">
        <v>1</v>
      </c>
      <c r="T55" s="60">
        <v>1</v>
      </c>
      <c r="U55" s="60">
        <v>1</v>
      </c>
      <c r="V55" s="60">
        <v>1</v>
      </c>
      <c r="W55" s="60">
        <v>1</v>
      </c>
      <c r="X55" s="60">
        <v>1</v>
      </c>
      <c r="Y55" s="60">
        <v>1</v>
      </c>
      <c r="Z55" s="52"/>
      <c r="AB55" s="2" t="s">
        <v>180</v>
      </c>
      <c r="AC55" s="2"/>
      <c r="AD55" s="81"/>
      <c r="AE55" s="86"/>
      <c r="AG55" s="5"/>
    </row>
    <row r="56" spans="1:83" x14ac:dyDescent="0.25">
      <c r="A56" s="128" t="str">
        <f>A$19</f>
        <v>génisses &lt; 1 an</v>
      </c>
      <c r="B56" s="60">
        <v>1</v>
      </c>
      <c r="C56" s="60">
        <v>1</v>
      </c>
      <c r="D56" s="60">
        <v>1</v>
      </c>
      <c r="E56" s="60">
        <v>1</v>
      </c>
      <c r="F56" s="60">
        <v>1</v>
      </c>
      <c r="G56" s="60">
        <v>1</v>
      </c>
      <c r="H56" s="60">
        <v>1</v>
      </c>
      <c r="I56" s="60">
        <v>1</v>
      </c>
      <c r="J56" s="60">
        <v>1</v>
      </c>
      <c r="K56" s="60">
        <v>1</v>
      </c>
      <c r="L56" s="60">
        <v>1</v>
      </c>
      <c r="M56" s="60">
        <v>1</v>
      </c>
      <c r="N56" s="60">
        <v>1</v>
      </c>
      <c r="O56" s="60">
        <v>1</v>
      </c>
      <c r="P56" s="60">
        <v>1</v>
      </c>
      <c r="Q56" s="60">
        <v>1</v>
      </c>
      <c r="R56" s="60">
        <v>1</v>
      </c>
      <c r="S56" s="60">
        <v>1</v>
      </c>
      <c r="T56" s="60">
        <v>1</v>
      </c>
      <c r="U56" s="60">
        <v>1</v>
      </c>
      <c r="V56" s="60">
        <v>1</v>
      </c>
      <c r="W56" s="60">
        <v>1</v>
      </c>
      <c r="X56" s="60">
        <v>1</v>
      </c>
      <c r="Y56" s="60">
        <v>1</v>
      </c>
      <c r="Z56" s="52"/>
      <c r="AB56" t="s">
        <v>184</v>
      </c>
      <c r="AC56" t="s">
        <v>185</v>
      </c>
      <c r="AD56" s="64">
        <f>AA73*AF5/1000</f>
        <v>61.229411764705887</v>
      </c>
      <c r="AE56" s="87"/>
      <c r="AF56" t="s">
        <v>190</v>
      </c>
      <c r="AG56" s="5"/>
    </row>
    <row r="57" spans="1:83" x14ac:dyDescent="0.25">
      <c r="A57" s="127" t="str">
        <f>A$20</f>
        <v>lot6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52"/>
      <c r="AB57" t="s">
        <v>186</v>
      </c>
      <c r="AC57" t="s">
        <v>187</v>
      </c>
      <c r="AD57" s="64">
        <f>AD59*AD60/1000</f>
        <v>0</v>
      </c>
      <c r="AE57" s="87"/>
      <c r="AF57" t="s">
        <v>190</v>
      </c>
      <c r="AG57" s="5"/>
    </row>
    <row r="58" spans="1:83" x14ac:dyDescent="0.25">
      <c r="A58" s="128" t="str">
        <f>A$21</f>
        <v>lot7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52"/>
      <c r="AD58" s="120"/>
      <c r="AE58" s="88"/>
      <c r="AG58" s="5"/>
    </row>
    <row r="59" spans="1:83" x14ac:dyDescent="0.25">
      <c r="A59" s="128" t="str">
        <f>A$22</f>
        <v>lot8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52"/>
      <c r="AB59" t="s">
        <v>188</v>
      </c>
      <c r="AD59" s="142"/>
      <c r="AE59" s="87"/>
      <c r="AG59" s="5"/>
    </row>
    <row r="60" spans="1:83" x14ac:dyDescent="0.25">
      <c r="A60" s="127" t="str">
        <f>A$23</f>
        <v>lot9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52"/>
      <c r="AB60" t="s">
        <v>189</v>
      </c>
      <c r="AD60" s="142"/>
      <c r="AE60" s="87"/>
      <c r="AG60" s="5"/>
    </row>
    <row r="61" spans="1:83" x14ac:dyDescent="0.25">
      <c r="A61" s="128" t="str">
        <f>A$24</f>
        <v>lot10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52"/>
      <c r="AB61" s="15" t="s">
        <v>226</v>
      </c>
      <c r="AD61" s="142"/>
      <c r="AE61" s="88"/>
      <c r="AG61" s="5"/>
    </row>
    <row r="62" spans="1:83" s="5" customFormat="1" x14ac:dyDescent="0.25">
      <c r="A62" s="55" t="s">
        <v>178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52"/>
      <c r="AD62" s="52"/>
      <c r="AE62" s="86"/>
    </row>
    <row r="63" spans="1:83" s="5" customFormat="1" hidden="1" x14ac:dyDescent="0.25">
      <c r="A63" s="38" t="str">
        <f>A$15</f>
        <v xml:space="preserve">Vaches </v>
      </c>
      <c r="B63" s="61">
        <f t="shared" ref="B63:Y63" si="19">B39*B52*B$3</f>
        <v>432.13999999999993</v>
      </c>
      <c r="C63" s="61">
        <f t="shared" si="19"/>
        <v>432.13999999999993</v>
      </c>
      <c r="D63" s="61">
        <f t="shared" si="19"/>
        <v>390.31999999999994</v>
      </c>
      <c r="E63" s="61">
        <f t="shared" si="19"/>
        <v>390.31999999999994</v>
      </c>
      <c r="F63" s="61">
        <f t="shared" si="19"/>
        <v>0</v>
      </c>
      <c r="G63" s="61">
        <f t="shared" si="19"/>
        <v>0</v>
      </c>
      <c r="H63" s="61">
        <f t="shared" si="19"/>
        <v>0</v>
      </c>
      <c r="I63" s="61">
        <f t="shared" si="19"/>
        <v>0</v>
      </c>
      <c r="J63" s="61">
        <f t="shared" si="19"/>
        <v>0</v>
      </c>
      <c r="K63" s="61">
        <f t="shared" si="19"/>
        <v>0</v>
      </c>
      <c r="L63" s="61">
        <f t="shared" si="19"/>
        <v>0</v>
      </c>
      <c r="M63" s="61">
        <f t="shared" si="19"/>
        <v>0</v>
      </c>
      <c r="N63" s="61">
        <f t="shared" si="19"/>
        <v>0</v>
      </c>
      <c r="O63" s="61">
        <f t="shared" si="19"/>
        <v>0</v>
      </c>
      <c r="P63" s="61">
        <f t="shared" si="19"/>
        <v>0</v>
      </c>
      <c r="Q63" s="61">
        <f t="shared" si="19"/>
        <v>0</v>
      </c>
      <c r="R63" s="61">
        <f t="shared" si="19"/>
        <v>0</v>
      </c>
      <c r="S63" s="61">
        <f t="shared" si="19"/>
        <v>0</v>
      </c>
      <c r="T63" s="61">
        <f t="shared" si="19"/>
        <v>0</v>
      </c>
      <c r="U63" s="61">
        <f t="shared" si="19"/>
        <v>0</v>
      </c>
      <c r="V63" s="61">
        <f t="shared" si="19"/>
        <v>387.6</v>
      </c>
      <c r="W63" s="61">
        <f t="shared" si="19"/>
        <v>418.19999999999993</v>
      </c>
      <c r="X63" s="61">
        <f t="shared" si="19"/>
        <v>432.13999999999993</v>
      </c>
      <c r="Y63" s="61">
        <f t="shared" si="19"/>
        <v>432.13999999999993</v>
      </c>
      <c r="Z63" s="52"/>
      <c r="AE63" s="86"/>
    </row>
    <row r="64" spans="1:83" s="5" customFormat="1" hidden="1" x14ac:dyDescent="0.25">
      <c r="A64" s="38" t="str">
        <f>A$16</f>
        <v>Génisses 24 mois</v>
      </c>
      <c r="B64" s="61">
        <f t="shared" ref="B64:Y64" si="20">B40*B53*B$3</f>
        <v>119.03999999999999</v>
      </c>
      <c r="C64" s="61">
        <f t="shared" si="20"/>
        <v>119.03999999999999</v>
      </c>
      <c r="D64" s="61">
        <f t="shared" si="20"/>
        <v>107.52</v>
      </c>
      <c r="E64" s="61">
        <f t="shared" si="20"/>
        <v>107.52</v>
      </c>
      <c r="F64" s="61">
        <f t="shared" si="20"/>
        <v>59.519999999999996</v>
      </c>
      <c r="G64" s="61">
        <f t="shared" si="20"/>
        <v>59.519999999999996</v>
      </c>
      <c r="H64" s="61">
        <f t="shared" si="20"/>
        <v>0</v>
      </c>
      <c r="I64" s="61">
        <f t="shared" si="20"/>
        <v>0</v>
      </c>
      <c r="J64" s="61">
        <f t="shared" si="20"/>
        <v>0</v>
      </c>
      <c r="K64" s="61">
        <f t="shared" si="20"/>
        <v>0</v>
      </c>
      <c r="L64" s="61">
        <f t="shared" si="20"/>
        <v>0</v>
      </c>
      <c r="M64" s="61">
        <f t="shared" si="20"/>
        <v>0</v>
      </c>
      <c r="N64" s="61">
        <f t="shared" si="20"/>
        <v>0</v>
      </c>
      <c r="O64" s="61">
        <f t="shared" si="20"/>
        <v>0</v>
      </c>
      <c r="P64" s="61">
        <f t="shared" si="20"/>
        <v>0</v>
      </c>
      <c r="Q64" s="61">
        <f t="shared" si="20"/>
        <v>0</v>
      </c>
      <c r="R64" s="61">
        <f t="shared" si="20"/>
        <v>0</v>
      </c>
      <c r="S64" s="61">
        <f t="shared" si="20"/>
        <v>0</v>
      </c>
      <c r="T64" s="61">
        <f t="shared" si="20"/>
        <v>0</v>
      </c>
      <c r="U64" s="61">
        <f t="shared" si="20"/>
        <v>0</v>
      </c>
      <c r="V64" s="61">
        <f t="shared" si="20"/>
        <v>57.599999999999994</v>
      </c>
      <c r="W64" s="61">
        <f t="shared" si="20"/>
        <v>115.19999999999999</v>
      </c>
      <c r="X64" s="61">
        <f t="shared" si="20"/>
        <v>119.03999999999999</v>
      </c>
      <c r="Y64" s="61">
        <f t="shared" si="20"/>
        <v>119.03999999999999</v>
      </c>
      <c r="Z64" s="52"/>
      <c r="AE64" s="86"/>
    </row>
    <row r="65" spans="1:33" s="5" customFormat="1" hidden="1" x14ac:dyDescent="0.25">
      <c r="A65" s="38" t="str">
        <f>A$17</f>
        <v>Génisses jeunes</v>
      </c>
      <c r="B65" s="61">
        <f t="shared" ref="B65:Y65" si="21">B41*B54*B$3</f>
        <v>89.28</v>
      </c>
      <c r="C65" s="61">
        <f t="shared" si="21"/>
        <v>89.28</v>
      </c>
      <c r="D65" s="61">
        <f t="shared" si="21"/>
        <v>80.64</v>
      </c>
      <c r="E65" s="61">
        <f t="shared" si="21"/>
        <v>80.64</v>
      </c>
      <c r="F65" s="61">
        <f t="shared" si="21"/>
        <v>89.28</v>
      </c>
      <c r="G65" s="61">
        <f t="shared" si="21"/>
        <v>89.28</v>
      </c>
      <c r="H65" s="61">
        <f t="shared" si="21"/>
        <v>86.399999999999991</v>
      </c>
      <c r="I65" s="61">
        <f t="shared" si="21"/>
        <v>86.399999999999991</v>
      </c>
      <c r="J65" s="61">
        <f t="shared" si="21"/>
        <v>89.28</v>
      </c>
      <c r="K65" s="61">
        <f t="shared" si="21"/>
        <v>44.64</v>
      </c>
      <c r="L65" s="61">
        <f t="shared" si="21"/>
        <v>43.199999999999996</v>
      </c>
      <c r="M65" s="61">
        <f t="shared" si="21"/>
        <v>43.199999999999996</v>
      </c>
      <c r="N65" s="61">
        <f t="shared" si="21"/>
        <v>44.64</v>
      </c>
      <c r="O65" s="61">
        <f t="shared" si="21"/>
        <v>44.64</v>
      </c>
      <c r="P65" s="61">
        <f t="shared" si="21"/>
        <v>44.64</v>
      </c>
      <c r="Q65" s="61">
        <f t="shared" si="21"/>
        <v>44.64</v>
      </c>
      <c r="R65" s="61">
        <f t="shared" si="21"/>
        <v>43.199999999999996</v>
      </c>
      <c r="S65" s="61">
        <f t="shared" si="21"/>
        <v>43.199999999999996</v>
      </c>
      <c r="T65" s="61">
        <f t="shared" si="21"/>
        <v>44.64</v>
      </c>
      <c r="U65" s="61">
        <f t="shared" si="21"/>
        <v>44.64</v>
      </c>
      <c r="V65" s="61">
        <f t="shared" si="21"/>
        <v>43.199999999999996</v>
      </c>
      <c r="W65" s="61">
        <f t="shared" si="21"/>
        <v>86.399999999999991</v>
      </c>
      <c r="X65" s="61">
        <f t="shared" si="21"/>
        <v>89.28</v>
      </c>
      <c r="Y65" s="61">
        <f t="shared" si="21"/>
        <v>89.28</v>
      </c>
      <c r="Z65" s="52"/>
      <c r="AE65" s="86"/>
    </row>
    <row r="66" spans="1:33" s="5" customFormat="1" hidden="1" x14ac:dyDescent="0.25">
      <c r="A66" s="38" t="str">
        <f>A$18</f>
        <v>broutards</v>
      </c>
      <c r="B66" s="61">
        <f t="shared" ref="B66:Y66" si="22">B42*B55*B$3</f>
        <v>76.259999999999991</v>
      </c>
      <c r="C66" s="61">
        <f t="shared" si="22"/>
        <v>76.259999999999991</v>
      </c>
      <c r="D66" s="61">
        <f t="shared" si="22"/>
        <v>68.879999999999981</v>
      </c>
      <c r="E66" s="61">
        <f t="shared" si="22"/>
        <v>68.879999999999981</v>
      </c>
      <c r="F66" s="61">
        <f t="shared" si="22"/>
        <v>76.259999999999991</v>
      </c>
      <c r="G66" s="61">
        <f t="shared" si="22"/>
        <v>76.259999999999991</v>
      </c>
      <c r="H66" s="61">
        <f t="shared" si="22"/>
        <v>0</v>
      </c>
      <c r="I66" s="61">
        <f t="shared" si="22"/>
        <v>0</v>
      </c>
      <c r="J66" s="61">
        <f t="shared" si="22"/>
        <v>0</v>
      </c>
      <c r="K66" s="61">
        <f t="shared" si="22"/>
        <v>0</v>
      </c>
      <c r="L66" s="61">
        <f t="shared" si="22"/>
        <v>0</v>
      </c>
      <c r="M66" s="61">
        <f t="shared" si="22"/>
        <v>0</v>
      </c>
      <c r="N66" s="61">
        <f t="shared" si="22"/>
        <v>0</v>
      </c>
      <c r="O66" s="61">
        <f t="shared" si="22"/>
        <v>0</v>
      </c>
      <c r="P66" s="61">
        <f t="shared" si="22"/>
        <v>0</v>
      </c>
      <c r="Q66" s="61">
        <f t="shared" si="22"/>
        <v>0</v>
      </c>
      <c r="R66" s="61">
        <f t="shared" si="22"/>
        <v>0</v>
      </c>
      <c r="S66" s="61">
        <f t="shared" si="22"/>
        <v>0</v>
      </c>
      <c r="T66" s="61">
        <f t="shared" si="22"/>
        <v>0</v>
      </c>
      <c r="U66" s="61">
        <f t="shared" si="22"/>
        <v>68.820000000000007</v>
      </c>
      <c r="V66" s="61">
        <f t="shared" si="22"/>
        <v>68.399999999999991</v>
      </c>
      <c r="W66" s="61">
        <f t="shared" si="22"/>
        <v>73.799999999999983</v>
      </c>
      <c r="X66" s="61">
        <f t="shared" si="22"/>
        <v>76.259999999999991</v>
      </c>
      <c r="Y66" s="61">
        <f t="shared" si="22"/>
        <v>76.259999999999991</v>
      </c>
      <c r="Z66" s="52"/>
      <c r="AE66" s="86"/>
    </row>
    <row r="67" spans="1:33" s="5" customFormat="1" hidden="1" x14ac:dyDescent="0.25">
      <c r="A67" s="38" t="str">
        <f>A$19</f>
        <v>génisses &lt; 1 an</v>
      </c>
      <c r="B67" s="61">
        <f t="shared" ref="B67:Y67" si="23">B43*B56*B$3</f>
        <v>0</v>
      </c>
      <c r="C67" s="61">
        <f t="shared" si="23"/>
        <v>0</v>
      </c>
      <c r="D67" s="61">
        <f t="shared" si="23"/>
        <v>7.8399999999999981</v>
      </c>
      <c r="E67" s="61">
        <f t="shared" si="23"/>
        <v>11.760000000000002</v>
      </c>
      <c r="F67" s="61">
        <f t="shared" si="23"/>
        <v>21.7</v>
      </c>
      <c r="G67" s="61">
        <f t="shared" si="23"/>
        <v>34.72</v>
      </c>
      <c r="H67" s="61">
        <f t="shared" si="23"/>
        <v>37.799999999999997</v>
      </c>
      <c r="I67" s="61">
        <f t="shared" si="23"/>
        <v>46.199999999999996</v>
      </c>
      <c r="J67" s="61">
        <f t="shared" si="23"/>
        <v>52.08</v>
      </c>
      <c r="K67" s="61">
        <f t="shared" si="23"/>
        <v>52.08</v>
      </c>
      <c r="L67" s="61">
        <f t="shared" si="23"/>
        <v>50.4</v>
      </c>
      <c r="M67" s="61">
        <f t="shared" si="23"/>
        <v>50.4</v>
      </c>
      <c r="N67" s="61">
        <f t="shared" si="23"/>
        <v>52.08</v>
      </c>
      <c r="O67" s="61">
        <f t="shared" si="23"/>
        <v>52.08</v>
      </c>
      <c r="P67" s="61">
        <f t="shared" si="23"/>
        <v>52.08</v>
      </c>
      <c r="Q67" s="61">
        <f t="shared" si="23"/>
        <v>52.08</v>
      </c>
      <c r="R67" s="61">
        <f t="shared" si="23"/>
        <v>50.4</v>
      </c>
      <c r="S67" s="61">
        <f t="shared" si="23"/>
        <v>50.4</v>
      </c>
      <c r="T67" s="61">
        <f t="shared" si="23"/>
        <v>39.06</v>
      </c>
      <c r="U67" s="61">
        <f t="shared" si="23"/>
        <v>26.040000000000003</v>
      </c>
      <c r="V67" s="61">
        <f t="shared" si="23"/>
        <v>12.600000000000001</v>
      </c>
      <c r="W67" s="61">
        <f t="shared" si="23"/>
        <v>0</v>
      </c>
      <c r="X67" s="61">
        <f t="shared" si="23"/>
        <v>0</v>
      </c>
      <c r="Y67" s="61">
        <f t="shared" si="23"/>
        <v>0</v>
      </c>
      <c r="Z67" s="52"/>
      <c r="AE67" s="86"/>
    </row>
    <row r="68" spans="1:33" s="5" customFormat="1" hidden="1" x14ac:dyDescent="0.25">
      <c r="A68" s="38" t="str">
        <f>A$20</f>
        <v>lot6</v>
      </c>
      <c r="B68" s="61">
        <f t="shared" ref="B68:Y68" si="24">B44*B57*B$3</f>
        <v>0</v>
      </c>
      <c r="C68" s="61">
        <f t="shared" si="24"/>
        <v>0</v>
      </c>
      <c r="D68" s="61">
        <f t="shared" si="24"/>
        <v>0</v>
      </c>
      <c r="E68" s="61">
        <f t="shared" si="24"/>
        <v>0</v>
      </c>
      <c r="F68" s="61">
        <f t="shared" si="24"/>
        <v>0</v>
      </c>
      <c r="G68" s="61">
        <f t="shared" si="24"/>
        <v>0</v>
      </c>
      <c r="H68" s="61">
        <f t="shared" si="24"/>
        <v>0</v>
      </c>
      <c r="I68" s="61">
        <f t="shared" si="24"/>
        <v>0</v>
      </c>
      <c r="J68" s="61">
        <f t="shared" si="24"/>
        <v>0</v>
      </c>
      <c r="K68" s="61">
        <f t="shared" si="24"/>
        <v>0</v>
      </c>
      <c r="L68" s="61">
        <f t="shared" si="24"/>
        <v>0</v>
      </c>
      <c r="M68" s="61">
        <f t="shared" si="24"/>
        <v>0</v>
      </c>
      <c r="N68" s="61">
        <f t="shared" si="24"/>
        <v>0</v>
      </c>
      <c r="O68" s="61">
        <f t="shared" si="24"/>
        <v>0</v>
      </c>
      <c r="P68" s="61">
        <f t="shared" si="24"/>
        <v>0</v>
      </c>
      <c r="Q68" s="61">
        <f t="shared" si="24"/>
        <v>0</v>
      </c>
      <c r="R68" s="61">
        <f t="shared" si="24"/>
        <v>0</v>
      </c>
      <c r="S68" s="61">
        <f t="shared" si="24"/>
        <v>0</v>
      </c>
      <c r="T68" s="61">
        <f t="shared" si="24"/>
        <v>0</v>
      </c>
      <c r="U68" s="61">
        <f t="shared" si="24"/>
        <v>0</v>
      </c>
      <c r="V68" s="61">
        <f t="shared" si="24"/>
        <v>0</v>
      </c>
      <c r="W68" s="61">
        <f t="shared" si="24"/>
        <v>0</v>
      </c>
      <c r="X68" s="61">
        <f t="shared" si="24"/>
        <v>0</v>
      </c>
      <c r="Y68" s="61">
        <f t="shared" si="24"/>
        <v>0</v>
      </c>
      <c r="Z68" s="52"/>
      <c r="AE68" s="86"/>
    </row>
    <row r="69" spans="1:33" s="5" customFormat="1" hidden="1" x14ac:dyDescent="0.25">
      <c r="A69" s="38" t="str">
        <f>A$21</f>
        <v>lot7</v>
      </c>
      <c r="B69" s="61">
        <f t="shared" ref="B69:Y69" si="25">B45*B58*B$3</f>
        <v>0</v>
      </c>
      <c r="C69" s="61">
        <f t="shared" si="25"/>
        <v>0</v>
      </c>
      <c r="D69" s="61">
        <f t="shared" si="25"/>
        <v>0</v>
      </c>
      <c r="E69" s="61">
        <f t="shared" si="25"/>
        <v>0</v>
      </c>
      <c r="F69" s="61">
        <f t="shared" si="25"/>
        <v>0</v>
      </c>
      <c r="G69" s="61">
        <f t="shared" si="25"/>
        <v>0</v>
      </c>
      <c r="H69" s="61">
        <f t="shared" si="25"/>
        <v>0</v>
      </c>
      <c r="I69" s="61">
        <f t="shared" si="25"/>
        <v>0</v>
      </c>
      <c r="J69" s="61">
        <f t="shared" si="25"/>
        <v>0</v>
      </c>
      <c r="K69" s="61">
        <f t="shared" si="25"/>
        <v>0</v>
      </c>
      <c r="L69" s="61">
        <f t="shared" si="25"/>
        <v>0</v>
      </c>
      <c r="M69" s="61">
        <f t="shared" si="25"/>
        <v>0</v>
      </c>
      <c r="N69" s="61">
        <f t="shared" si="25"/>
        <v>0</v>
      </c>
      <c r="O69" s="61">
        <f t="shared" si="25"/>
        <v>0</v>
      </c>
      <c r="P69" s="61">
        <f t="shared" si="25"/>
        <v>0</v>
      </c>
      <c r="Q69" s="61">
        <f t="shared" si="25"/>
        <v>0</v>
      </c>
      <c r="R69" s="61">
        <f t="shared" si="25"/>
        <v>0</v>
      </c>
      <c r="S69" s="61">
        <f t="shared" si="25"/>
        <v>0</v>
      </c>
      <c r="T69" s="61">
        <f t="shared" si="25"/>
        <v>0</v>
      </c>
      <c r="U69" s="61">
        <f t="shared" si="25"/>
        <v>0</v>
      </c>
      <c r="V69" s="61">
        <f t="shared" si="25"/>
        <v>0</v>
      </c>
      <c r="W69" s="61">
        <f t="shared" si="25"/>
        <v>0</v>
      </c>
      <c r="X69" s="61">
        <f t="shared" si="25"/>
        <v>0</v>
      </c>
      <c r="Y69" s="61">
        <f t="shared" si="25"/>
        <v>0</v>
      </c>
      <c r="Z69" s="52"/>
      <c r="AE69" s="86"/>
    </row>
    <row r="70" spans="1:33" s="5" customFormat="1" hidden="1" x14ac:dyDescent="0.25">
      <c r="A70" s="38" t="str">
        <f>A$22</f>
        <v>lot8</v>
      </c>
      <c r="B70" s="61">
        <f t="shared" ref="B70:Y70" si="26">B46*B59*B$3</f>
        <v>0</v>
      </c>
      <c r="C70" s="61">
        <f t="shared" si="26"/>
        <v>0</v>
      </c>
      <c r="D70" s="61">
        <f t="shared" si="26"/>
        <v>0</v>
      </c>
      <c r="E70" s="61">
        <f t="shared" si="26"/>
        <v>0</v>
      </c>
      <c r="F70" s="61">
        <f t="shared" si="26"/>
        <v>0</v>
      </c>
      <c r="G70" s="61">
        <f t="shared" si="26"/>
        <v>0</v>
      </c>
      <c r="H70" s="61">
        <f t="shared" si="26"/>
        <v>0</v>
      </c>
      <c r="I70" s="61">
        <f t="shared" si="26"/>
        <v>0</v>
      </c>
      <c r="J70" s="61">
        <f t="shared" si="26"/>
        <v>0</v>
      </c>
      <c r="K70" s="61">
        <f t="shared" si="26"/>
        <v>0</v>
      </c>
      <c r="L70" s="61">
        <f t="shared" si="26"/>
        <v>0</v>
      </c>
      <c r="M70" s="61">
        <f t="shared" si="26"/>
        <v>0</v>
      </c>
      <c r="N70" s="61">
        <f t="shared" si="26"/>
        <v>0</v>
      </c>
      <c r="O70" s="61">
        <f t="shared" si="26"/>
        <v>0</v>
      </c>
      <c r="P70" s="61">
        <f t="shared" si="26"/>
        <v>0</v>
      </c>
      <c r="Q70" s="61">
        <f t="shared" si="26"/>
        <v>0</v>
      </c>
      <c r="R70" s="61">
        <f t="shared" si="26"/>
        <v>0</v>
      </c>
      <c r="S70" s="61">
        <f t="shared" si="26"/>
        <v>0</v>
      </c>
      <c r="T70" s="61">
        <f t="shared" si="26"/>
        <v>0</v>
      </c>
      <c r="U70" s="61">
        <f t="shared" si="26"/>
        <v>0</v>
      </c>
      <c r="V70" s="61">
        <f t="shared" si="26"/>
        <v>0</v>
      </c>
      <c r="W70" s="61">
        <f t="shared" si="26"/>
        <v>0</v>
      </c>
      <c r="X70" s="61">
        <f t="shared" si="26"/>
        <v>0</v>
      </c>
      <c r="Y70" s="61">
        <f t="shared" si="26"/>
        <v>0</v>
      </c>
      <c r="Z70" s="52"/>
      <c r="AE70" s="86"/>
    </row>
    <row r="71" spans="1:33" s="5" customFormat="1" hidden="1" x14ac:dyDescent="0.25">
      <c r="A71" s="38" t="str">
        <f>A$23</f>
        <v>lot9</v>
      </c>
      <c r="B71" s="61">
        <f t="shared" ref="B71:Y71" si="27">B47*B60*B$3</f>
        <v>0</v>
      </c>
      <c r="C71" s="61">
        <f t="shared" si="27"/>
        <v>0</v>
      </c>
      <c r="D71" s="61">
        <f t="shared" si="27"/>
        <v>0</v>
      </c>
      <c r="E71" s="61">
        <f t="shared" si="27"/>
        <v>0</v>
      </c>
      <c r="F71" s="61">
        <f t="shared" si="27"/>
        <v>0</v>
      </c>
      <c r="G71" s="61">
        <f t="shared" si="27"/>
        <v>0</v>
      </c>
      <c r="H71" s="61">
        <f t="shared" si="27"/>
        <v>0</v>
      </c>
      <c r="I71" s="61">
        <f t="shared" si="27"/>
        <v>0</v>
      </c>
      <c r="J71" s="61">
        <f t="shared" si="27"/>
        <v>0</v>
      </c>
      <c r="K71" s="61">
        <f t="shared" si="27"/>
        <v>0</v>
      </c>
      <c r="L71" s="61">
        <f t="shared" si="27"/>
        <v>0</v>
      </c>
      <c r="M71" s="61">
        <f t="shared" si="27"/>
        <v>0</v>
      </c>
      <c r="N71" s="61">
        <f t="shared" si="27"/>
        <v>0</v>
      </c>
      <c r="O71" s="61">
        <f t="shared" si="27"/>
        <v>0</v>
      </c>
      <c r="P71" s="61">
        <f t="shared" si="27"/>
        <v>0</v>
      </c>
      <c r="Q71" s="61">
        <f t="shared" si="27"/>
        <v>0</v>
      </c>
      <c r="R71" s="61">
        <f t="shared" si="27"/>
        <v>0</v>
      </c>
      <c r="S71" s="61">
        <f t="shared" si="27"/>
        <v>0</v>
      </c>
      <c r="T71" s="61">
        <f t="shared" si="27"/>
        <v>0</v>
      </c>
      <c r="U71" s="61">
        <f t="shared" si="27"/>
        <v>0</v>
      </c>
      <c r="V71" s="61">
        <f t="shared" si="27"/>
        <v>0</v>
      </c>
      <c r="W71" s="61">
        <f t="shared" si="27"/>
        <v>0</v>
      </c>
      <c r="X71" s="61">
        <f t="shared" si="27"/>
        <v>0</v>
      </c>
      <c r="Y71" s="61">
        <f t="shared" si="27"/>
        <v>0</v>
      </c>
      <c r="Z71" s="52"/>
      <c r="AE71" s="86"/>
    </row>
    <row r="72" spans="1:33" s="5" customFormat="1" hidden="1" x14ac:dyDescent="0.25">
      <c r="A72" s="38" t="str">
        <f>A$24</f>
        <v>lot10</v>
      </c>
      <c r="B72" s="61">
        <f t="shared" ref="B72:Y72" si="28">B48*B61*B$3</f>
        <v>0</v>
      </c>
      <c r="C72" s="61">
        <f t="shared" si="28"/>
        <v>0</v>
      </c>
      <c r="D72" s="61">
        <f t="shared" si="28"/>
        <v>0</v>
      </c>
      <c r="E72" s="61">
        <f t="shared" si="28"/>
        <v>0</v>
      </c>
      <c r="F72" s="61">
        <f t="shared" si="28"/>
        <v>0</v>
      </c>
      <c r="G72" s="61">
        <f t="shared" si="28"/>
        <v>0</v>
      </c>
      <c r="H72" s="61">
        <f t="shared" si="28"/>
        <v>0</v>
      </c>
      <c r="I72" s="61">
        <f t="shared" si="28"/>
        <v>0</v>
      </c>
      <c r="J72" s="61">
        <f t="shared" si="28"/>
        <v>0</v>
      </c>
      <c r="K72" s="61">
        <f t="shared" si="28"/>
        <v>0</v>
      </c>
      <c r="L72" s="61">
        <f t="shared" si="28"/>
        <v>0</v>
      </c>
      <c r="M72" s="61">
        <f t="shared" si="28"/>
        <v>0</v>
      </c>
      <c r="N72" s="61">
        <f t="shared" si="28"/>
        <v>0</v>
      </c>
      <c r="O72" s="61">
        <f t="shared" si="28"/>
        <v>0</v>
      </c>
      <c r="P72" s="61">
        <f t="shared" si="28"/>
        <v>0</v>
      </c>
      <c r="Q72" s="61">
        <f t="shared" si="28"/>
        <v>0</v>
      </c>
      <c r="R72" s="61">
        <f t="shared" si="28"/>
        <v>0</v>
      </c>
      <c r="S72" s="61">
        <f t="shared" si="28"/>
        <v>0</v>
      </c>
      <c r="T72" s="61">
        <f t="shared" si="28"/>
        <v>0</v>
      </c>
      <c r="U72" s="61">
        <f t="shared" si="28"/>
        <v>0</v>
      </c>
      <c r="V72" s="61">
        <f t="shared" si="28"/>
        <v>0</v>
      </c>
      <c r="W72" s="61">
        <f t="shared" si="28"/>
        <v>0</v>
      </c>
      <c r="X72" s="61">
        <f t="shared" si="28"/>
        <v>0</v>
      </c>
      <c r="Y72" s="61">
        <f t="shared" si="28"/>
        <v>0</v>
      </c>
      <c r="Z72" s="52"/>
      <c r="AE72" s="86"/>
    </row>
    <row r="73" spans="1:33" s="5" customFormat="1" x14ac:dyDescent="0.25">
      <c r="A73" s="52" t="s">
        <v>179</v>
      </c>
      <c r="B73" s="64">
        <f>ROUND(SUM(B63:B72),0)</f>
        <v>717</v>
      </c>
      <c r="C73" s="64">
        <f t="shared" ref="C73:Y73" si="29">ROUND(SUM(C63:C72),0)</f>
        <v>717</v>
      </c>
      <c r="D73" s="64">
        <f t="shared" si="29"/>
        <v>655</v>
      </c>
      <c r="E73" s="64">
        <f t="shared" si="29"/>
        <v>659</v>
      </c>
      <c r="F73" s="64">
        <f t="shared" si="29"/>
        <v>247</v>
      </c>
      <c r="G73" s="64">
        <f t="shared" si="29"/>
        <v>260</v>
      </c>
      <c r="H73" s="64">
        <f t="shared" si="29"/>
        <v>124</v>
      </c>
      <c r="I73" s="64">
        <f t="shared" si="29"/>
        <v>133</v>
      </c>
      <c r="J73" s="64">
        <f t="shared" si="29"/>
        <v>141</v>
      </c>
      <c r="K73" s="64">
        <f t="shared" si="29"/>
        <v>97</v>
      </c>
      <c r="L73" s="64">
        <f t="shared" si="29"/>
        <v>94</v>
      </c>
      <c r="M73" s="64">
        <f t="shared" si="29"/>
        <v>94</v>
      </c>
      <c r="N73" s="64">
        <f t="shared" si="29"/>
        <v>97</v>
      </c>
      <c r="O73" s="64">
        <f t="shared" si="29"/>
        <v>97</v>
      </c>
      <c r="P73" s="64">
        <f t="shared" si="29"/>
        <v>97</v>
      </c>
      <c r="Q73" s="64">
        <f t="shared" si="29"/>
        <v>97</v>
      </c>
      <c r="R73" s="64">
        <f t="shared" si="29"/>
        <v>94</v>
      </c>
      <c r="S73" s="64">
        <f t="shared" si="29"/>
        <v>94</v>
      </c>
      <c r="T73" s="64">
        <f t="shared" si="29"/>
        <v>84</v>
      </c>
      <c r="U73" s="64">
        <f t="shared" si="29"/>
        <v>140</v>
      </c>
      <c r="V73" s="64">
        <f t="shared" si="29"/>
        <v>569</v>
      </c>
      <c r="W73" s="64">
        <f t="shared" si="29"/>
        <v>694</v>
      </c>
      <c r="X73" s="64">
        <f t="shared" si="29"/>
        <v>717</v>
      </c>
      <c r="Y73" s="64">
        <f t="shared" si="29"/>
        <v>717</v>
      </c>
      <c r="Z73" s="52"/>
      <c r="AA73" s="56">
        <f>ROUND(SUM(B73:Y73),0)</f>
        <v>7435</v>
      </c>
      <c r="AB73" s="52" t="s">
        <v>178</v>
      </c>
      <c r="AE73" s="86"/>
    </row>
    <row r="74" spans="1:33" s="5" customFormat="1" x14ac:dyDescent="0.25">
      <c r="A74" s="52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52"/>
      <c r="AA74" s="55"/>
      <c r="AB74" s="52"/>
      <c r="AE74" s="86"/>
    </row>
    <row r="75" spans="1:33" x14ac:dyDescent="0.25">
      <c r="A75" s="2" t="s">
        <v>209</v>
      </c>
      <c r="AG75" s="5"/>
    </row>
    <row r="76" spans="1:33" x14ac:dyDescent="0.25">
      <c r="A76" s="127" t="str">
        <f>A$15</f>
        <v xml:space="preserve">Vaches </v>
      </c>
      <c r="B76" s="60"/>
      <c r="C76" s="60"/>
      <c r="D76" s="60"/>
      <c r="E76" s="60"/>
      <c r="F76" s="60">
        <v>1</v>
      </c>
      <c r="G76" s="60">
        <v>1</v>
      </c>
      <c r="H76" s="60">
        <v>1</v>
      </c>
      <c r="I76" s="60">
        <v>1</v>
      </c>
      <c r="J76" s="60">
        <v>1</v>
      </c>
      <c r="K76" s="60">
        <v>1</v>
      </c>
      <c r="L76" s="60">
        <v>1</v>
      </c>
      <c r="M76" s="60">
        <v>1</v>
      </c>
      <c r="N76" s="60">
        <v>1</v>
      </c>
      <c r="O76" s="60">
        <v>1</v>
      </c>
      <c r="P76" s="60">
        <v>1</v>
      </c>
      <c r="Q76" s="60">
        <v>1</v>
      </c>
      <c r="R76" s="60">
        <v>1</v>
      </c>
      <c r="S76" s="60">
        <v>1</v>
      </c>
      <c r="T76" s="60">
        <v>1</v>
      </c>
      <c r="U76" s="60">
        <v>1</v>
      </c>
      <c r="V76" s="60"/>
      <c r="W76" s="60"/>
      <c r="X76" s="60"/>
      <c r="Y76" s="60"/>
      <c r="Z76"/>
      <c r="AG76" s="5"/>
    </row>
    <row r="77" spans="1:33" x14ac:dyDescent="0.25">
      <c r="A77" s="128" t="str">
        <f>A$16</f>
        <v>Génisses 24 mois</v>
      </c>
      <c r="B77" s="60"/>
      <c r="C77" s="60"/>
      <c r="D77" s="60"/>
      <c r="E77" s="60"/>
      <c r="F77" s="60">
        <v>1</v>
      </c>
      <c r="G77" s="60">
        <v>1</v>
      </c>
      <c r="H77" s="60">
        <v>1</v>
      </c>
      <c r="I77" s="60">
        <v>1</v>
      </c>
      <c r="J77" s="60">
        <v>1</v>
      </c>
      <c r="K77" s="60">
        <v>1</v>
      </c>
      <c r="L77" s="60">
        <v>1</v>
      </c>
      <c r="M77" s="60">
        <v>1</v>
      </c>
      <c r="N77" s="60">
        <v>1</v>
      </c>
      <c r="O77" s="60">
        <v>1</v>
      </c>
      <c r="P77" s="60">
        <v>1</v>
      </c>
      <c r="Q77" s="60">
        <v>1</v>
      </c>
      <c r="R77" s="60">
        <v>1</v>
      </c>
      <c r="S77" s="60">
        <v>1</v>
      </c>
      <c r="T77" s="60">
        <v>1</v>
      </c>
      <c r="U77" s="60">
        <v>1</v>
      </c>
      <c r="V77" s="60">
        <v>1</v>
      </c>
      <c r="W77" s="60"/>
      <c r="X77" s="60"/>
      <c r="Y77" s="60"/>
      <c r="AG77" s="5"/>
    </row>
    <row r="78" spans="1:33" x14ac:dyDescent="0.25">
      <c r="A78" s="128" t="str">
        <f>A$17</f>
        <v>Génisses jeunes</v>
      </c>
      <c r="B78" s="60"/>
      <c r="C78" s="60"/>
      <c r="D78" s="60"/>
      <c r="E78" s="60"/>
      <c r="F78" s="60"/>
      <c r="G78" s="60"/>
      <c r="H78" s="60"/>
      <c r="I78" s="60"/>
      <c r="J78" s="60"/>
      <c r="K78" s="60">
        <v>1</v>
      </c>
      <c r="L78" s="60">
        <v>1</v>
      </c>
      <c r="M78" s="60">
        <v>1</v>
      </c>
      <c r="N78" s="60">
        <v>1</v>
      </c>
      <c r="O78" s="60">
        <v>1</v>
      </c>
      <c r="P78" s="60">
        <v>1</v>
      </c>
      <c r="Q78" s="60">
        <v>1</v>
      </c>
      <c r="R78" s="60">
        <v>1</v>
      </c>
      <c r="S78" s="60">
        <v>1</v>
      </c>
      <c r="T78" s="60">
        <v>1</v>
      </c>
      <c r="U78" s="60">
        <v>1</v>
      </c>
      <c r="V78" s="60">
        <v>1</v>
      </c>
      <c r="W78" s="60"/>
      <c r="X78" s="60"/>
      <c r="Y78" s="60"/>
      <c r="AG78" s="5"/>
    </row>
    <row r="79" spans="1:33" x14ac:dyDescent="0.25">
      <c r="A79" s="127" t="str">
        <f>A$18</f>
        <v>broutards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AG79" s="5"/>
    </row>
    <row r="80" spans="1:33" x14ac:dyDescent="0.25">
      <c r="A80" s="128" t="str">
        <f>A$19</f>
        <v>génisses &lt; 1 an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AG80" s="5"/>
    </row>
    <row r="81" spans="1:33" x14ac:dyDescent="0.25">
      <c r="A81" s="127" t="str">
        <f>A$20</f>
        <v>lot6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AG81" s="5"/>
    </row>
    <row r="82" spans="1:33" x14ac:dyDescent="0.25">
      <c r="A82" s="128" t="str">
        <f>A$21</f>
        <v>lot7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</row>
    <row r="83" spans="1:33" x14ac:dyDescent="0.25">
      <c r="A83" s="128" t="str">
        <f>A$22</f>
        <v>lot8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</row>
    <row r="84" spans="1:33" x14ac:dyDescent="0.25">
      <c r="A84" s="127" t="str">
        <f>A$23</f>
        <v>lot9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1:33" x14ac:dyDescent="0.25">
      <c r="A85" s="128" t="str">
        <f>A$24</f>
        <v>lot10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1:33" s="5" customFormat="1" x14ac:dyDescent="0.25">
      <c r="A86" s="52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52"/>
      <c r="AA86" s="55"/>
      <c r="AB86" s="52"/>
      <c r="AE86" s="86"/>
      <c r="AG86"/>
    </row>
    <row r="87" spans="1:33" x14ac:dyDescent="0.25">
      <c r="A87" s="2" t="s">
        <v>192</v>
      </c>
    </row>
    <row r="88" spans="1:33" x14ac:dyDescent="0.25">
      <c r="A88" s="127" t="str">
        <f>A$15</f>
        <v xml:space="preserve">Vaches </v>
      </c>
      <c r="B88" s="60">
        <v>5</v>
      </c>
      <c r="C88" s="60">
        <v>5</v>
      </c>
      <c r="D88" s="60">
        <v>5</v>
      </c>
      <c r="E88" s="60">
        <v>5</v>
      </c>
      <c r="F88" s="60">
        <v>2</v>
      </c>
      <c r="G88" s="60">
        <v>2</v>
      </c>
      <c r="H88" s="60">
        <v>1</v>
      </c>
      <c r="I88" s="60">
        <v>1</v>
      </c>
      <c r="J88" s="60">
        <v>1</v>
      </c>
      <c r="K88" s="60">
        <v>1</v>
      </c>
      <c r="L88" s="60">
        <v>1</v>
      </c>
      <c r="M88" s="60">
        <v>1</v>
      </c>
      <c r="N88" s="60">
        <v>1</v>
      </c>
      <c r="O88" s="60">
        <v>1</v>
      </c>
      <c r="P88" s="60">
        <v>1</v>
      </c>
      <c r="Q88" s="60">
        <v>1</v>
      </c>
      <c r="R88" s="60">
        <v>3</v>
      </c>
      <c r="S88" s="60">
        <v>3</v>
      </c>
      <c r="T88" s="60">
        <v>2</v>
      </c>
      <c r="U88" s="60">
        <v>2</v>
      </c>
      <c r="V88" s="60">
        <v>5</v>
      </c>
      <c r="W88" s="60">
        <v>5</v>
      </c>
      <c r="X88" s="60">
        <v>5</v>
      </c>
      <c r="Y88" s="60">
        <v>5</v>
      </c>
    </row>
    <row r="89" spans="1:33" x14ac:dyDescent="0.25">
      <c r="A89" s="128" t="str">
        <f>A$16</f>
        <v>Génisses 24 mois</v>
      </c>
      <c r="B89" s="60">
        <v>4</v>
      </c>
      <c r="C89" s="60">
        <v>4</v>
      </c>
      <c r="D89" s="60">
        <v>4</v>
      </c>
      <c r="E89" s="60">
        <v>4</v>
      </c>
      <c r="F89" s="60">
        <v>5</v>
      </c>
      <c r="G89" s="60">
        <v>5</v>
      </c>
      <c r="H89" s="60">
        <v>5</v>
      </c>
      <c r="I89" s="60">
        <v>5</v>
      </c>
      <c r="J89" s="60">
        <v>5</v>
      </c>
      <c r="K89" s="60">
        <v>5</v>
      </c>
      <c r="L89" s="60">
        <v>5</v>
      </c>
      <c r="M89" s="60">
        <v>5</v>
      </c>
      <c r="N89" s="60">
        <v>5</v>
      </c>
      <c r="O89" s="60">
        <v>5</v>
      </c>
      <c r="P89" s="60">
        <v>5</v>
      </c>
      <c r="Q89" s="60">
        <v>5</v>
      </c>
      <c r="R89" s="60">
        <v>3</v>
      </c>
      <c r="S89" s="60">
        <v>3</v>
      </c>
      <c r="T89" s="60">
        <v>5</v>
      </c>
      <c r="U89" s="60">
        <v>5</v>
      </c>
      <c r="V89" s="60">
        <v>5</v>
      </c>
      <c r="W89" s="60">
        <v>4</v>
      </c>
      <c r="X89" s="60">
        <v>4</v>
      </c>
      <c r="Y89" s="60">
        <v>4</v>
      </c>
    </row>
    <row r="90" spans="1:33" x14ac:dyDescent="0.25">
      <c r="A90" s="128" t="str">
        <f>A$17</f>
        <v>Génisses jeunes</v>
      </c>
      <c r="B90" s="60">
        <v>4</v>
      </c>
      <c r="C90" s="60">
        <v>4</v>
      </c>
      <c r="D90" s="60">
        <v>4</v>
      </c>
      <c r="E90" s="60">
        <v>4</v>
      </c>
      <c r="F90" s="60">
        <v>4</v>
      </c>
      <c r="G90" s="60">
        <v>4</v>
      </c>
      <c r="H90" s="60">
        <v>4</v>
      </c>
      <c r="I90" s="60">
        <v>4</v>
      </c>
      <c r="J90" s="60">
        <v>4</v>
      </c>
      <c r="K90" s="60">
        <v>5</v>
      </c>
      <c r="L90" s="60">
        <v>5</v>
      </c>
      <c r="M90" s="60">
        <v>5</v>
      </c>
      <c r="N90" s="60">
        <v>5</v>
      </c>
      <c r="O90" s="60">
        <v>5</v>
      </c>
      <c r="P90" s="60">
        <v>5</v>
      </c>
      <c r="Q90" s="60">
        <v>5</v>
      </c>
      <c r="R90" s="60">
        <v>5</v>
      </c>
      <c r="S90" s="60">
        <v>5</v>
      </c>
      <c r="T90" s="60">
        <v>5</v>
      </c>
      <c r="U90" s="60">
        <v>5</v>
      </c>
      <c r="V90" s="60">
        <v>5</v>
      </c>
      <c r="W90" s="60">
        <v>4</v>
      </c>
      <c r="X90" s="60">
        <v>4</v>
      </c>
      <c r="Y90" s="60">
        <v>4</v>
      </c>
    </row>
    <row r="91" spans="1:33" x14ac:dyDescent="0.25">
      <c r="A91" s="127" t="str">
        <f>A$18</f>
        <v>broutards</v>
      </c>
      <c r="B91" s="60">
        <v>1</v>
      </c>
      <c r="C91" s="60">
        <v>1</v>
      </c>
      <c r="D91" s="60">
        <v>1</v>
      </c>
      <c r="E91" s="60">
        <v>1</v>
      </c>
      <c r="F91" s="60">
        <v>1</v>
      </c>
      <c r="G91" s="60">
        <v>1</v>
      </c>
      <c r="H91" s="60">
        <v>1</v>
      </c>
      <c r="I91" s="60">
        <v>1</v>
      </c>
      <c r="J91" s="60">
        <v>1</v>
      </c>
      <c r="K91" s="60">
        <v>1</v>
      </c>
      <c r="L91" s="60">
        <v>1</v>
      </c>
      <c r="M91" s="60">
        <v>1</v>
      </c>
      <c r="N91" s="60">
        <v>1</v>
      </c>
      <c r="O91" s="60">
        <v>1</v>
      </c>
      <c r="P91" s="60">
        <v>1</v>
      </c>
      <c r="Q91" s="60">
        <v>1</v>
      </c>
      <c r="R91" s="60">
        <v>1</v>
      </c>
      <c r="S91" s="60">
        <v>1</v>
      </c>
      <c r="T91" s="60">
        <v>1</v>
      </c>
      <c r="U91" s="60">
        <v>1</v>
      </c>
      <c r="V91" s="60">
        <v>1</v>
      </c>
      <c r="W91" s="60">
        <v>1</v>
      </c>
      <c r="X91" s="60">
        <v>1</v>
      </c>
      <c r="Y91" s="60">
        <v>1</v>
      </c>
    </row>
    <row r="92" spans="1:33" x14ac:dyDescent="0.25">
      <c r="A92" s="128" t="str">
        <f>A$19</f>
        <v>génisses &lt; 1 an</v>
      </c>
      <c r="B92" s="60">
        <v>1</v>
      </c>
      <c r="C92" s="60">
        <v>1</v>
      </c>
      <c r="D92" s="60">
        <v>1</v>
      </c>
      <c r="E92" s="60">
        <v>1</v>
      </c>
      <c r="F92" s="60">
        <v>1</v>
      </c>
      <c r="G92" s="60">
        <v>1</v>
      </c>
      <c r="H92" s="60">
        <v>1</v>
      </c>
      <c r="I92" s="60">
        <v>1</v>
      </c>
      <c r="J92" s="60">
        <v>1</v>
      </c>
      <c r="K92" s="60">
        <v>1</v>
      </c>
      <c r="L92" s="60">
        <v>1</v>
      </c>
      <c r="M92" s="60">
        <v>1</v>
      </c>
      <c r="N92" s="60">
        <v>1</v>
      </c>
      <c r="O92" s="60">
        <v>1</v>
      </c>
      <c r="P92" s="60">
        <v>1</v>
      </c>
      <c r="Q92" s="60">
        <v>1</v>
      </c>
      <c r="R92" s="60">
        <v>1</v>
      </c>
      <c r="S92" s="60">
        <v>1</v>
      </c>
      <c r="T92" s="60">
        <v>1</v>
      </c>
      <c r="U92" s="60">
        <v>1</v>
      </c>
      <c r="V92" s="60">
        <v>1</v>
      </c>
      <c r="W92" s="60">
        <v>1</v>
      </c>
      <c r="X92" s="60">
        <v>1</v>
      </c>
      <c r="Y92" s="60">
        <v>1</v>
      </c>
    </row>
    <row r="93" spans="1:33" x14ac:dyDescent="0.25">
      <c r="A93" s="127" t="str">
        <f>A$20</f>
        <v>lot6</v>
      </c>
      <c r="B93" s="60">
        <v>1</v>
      </c>
      <c r="C93" s="60">
        <v>1</v>
      </c>
      <c r="D93" s="60">
        <v>1</v>
      </c>
      <c r="E93" s="60">
        <v>1</v>
      </c>
      <c r="F93" s="60">
        <v>1</v>
      </c>
      <c r="G93" s="60">
        <v>1</v>
      </c>
      <c r="H93" s="60">
        <v>1</v>
      </c>
      <c r="I93" s="60">
        <v>1</v>
      </c>
      <c r="J93" s="60">
        <v>1</v>
      </c>
      <c r="K93" s="60">
        <v>1</v>
      </c>
      <c r="L93" s="60">
        <v>1</v>
      </c>
      <c r="M93" s="60">
        <v>1</v>
      </c>
      <c r="N93" s="60">
        <v>1</v>
      </c>
      <c r="O93" s="60">
        <v>1</v>
      </c>
      <c r="P93" s="60">
        <v>1</v>
      </c>
      <c r="Q93" s="60">
        <v>1</v>
      </c>
      <c r="R93" s="60">
        <v>1</v>
      </c>
      <c r="S93" s="60">
        <v>1</v>
      </c>
      <c r="T93" s="60">
        <v>1</v>
      </c>
      <c r="U93" s="60">
        <v>1</v>
      </c>
      <c r="V93" s="60">
        <v>1</v>
      </c>
      <c r="W93" s="60">
        <v>1</v>
      </c>
      <c r="X93" s="60">
        <v>1</v>
      </c>
      <c r="Y93" s="60">
        <v>1</v>
      </c>
    </row>
    <row r="94" spans="1:33" x14ac:dyDescent="0.25">
      <c r="A94" s="128" t="str">
        <f>A$21</f>
        <v>lot7</v>
      </c>
      <c r="B94" s="60">
        <v>1</v>
      </c>
      <c r="C94" s="60">
        <v>1</v>
      </c>
      <c r="D94" s="60">
        <v>1</v>
      </c>
      <c r="E94" s="60">
        <v>1</v>
      </c>
      <c r="F94" s="60">
        <v>1</v>
      </c>
      <c r="G94" s="60">
        <v>1</v>
      </c>
      <c r="H94" s="60">
        <v>1</v>
      </c>
      <c r="I94" s="60">
        <v>1</v>
      </c>
      <c r="J94" s="60">
        <v>1</v>
      </c>
      <c r="K94" s="60">
        <v>1</v>
      </c>
      <c r="L94" s="60">
        <v>1</v>
      </c>
      <c r="M94" s="60">
        <v>1</v>
      </c>
      <c r="N94" s="60">
        <v>1</v>
      </c>
      <c r="O94" s="60">
        <v>1</v>
      </c>
      <c r="P94" s="60">
        <v>1</v>
      </c>
      <c r="Q94" s="60">
        <v>1</v>
      </c>
      <c r="R94" s="60">
        <v>1</v>
      </c>
      <c r="S94" s="60">
        <v>1</v>
      </c>
      <c r="T94" s="60">
        <v>1</v>
      </c>
      <c r="U94" s="60">
        <v>1</v>
      </c>
      <c r="V94" s="60">
        <v>1</v>
      </c>
      <c r="W94" s="60">
        <v>1</v>
      </c>
      <c r="X94" s="60">
        <v>1</v>
      </c>
      <c r="Y94" s="60">
        <v>1</v>
      </c>
    </row>
    <row r="95" spans="1:33" x14ac:dyDescent="0.25">
      <c r="A95" s="128" t="str">
        <f>A$22</f>
        <v>lot8</v>
      </c>
      <c r="B95" s="60">
        <v>1</v>
      </c>
      <c r="C95" s="60">
        <v>1</v>
      </c>
      <c r="D95" s="60">
        <v>1</v>
      </c>
      <c r="E95" s="60">
        <v>1</v>
      </c>
      <c r="F95" s="60">
        <v>1</v>
      </c>
      <c r="G95" s="60">
        <v>1</v>
      </c>
      <c r="H95" s="60">
        <v>1</v>
      </c>
      <c r="I95" s="60">
        <v>1</v>
      </c>
      <c r="J95" s="60">
        <v>1</v>
      </c>
      <c r="K95" s="60">
        <v>1</v>
      </c>
      <c r="L95" s="60">
        <v>1</v>
      </c>
      <c r="M95" s="60">
        <v>1</v>
      </c>
      <c r="N95" s="60">
        <v>1</v>
      </c>
      <c r="O95" s="60">
        <v>1</v>
      </c>
      <c r="P95" s="60">
        <v>1</v>
      </c>
      <c r="Q95" s="60">
        <v>1</v>
      </c>
      <c r="R95" s="60">
        <v>1</v>
      </c>
      <c r="S95" s="60">
        <v>1</v>
      </c>
      <c r="T95" s="60">
        <v>1</v>
      </c>
      <c r="U95" s="60">
        <v>1</v>
      </c>
      <c r="V95" s="60">
        <v>1</v>
      </c>
      <c r="W95" s="60">
        <v>1</v>
      </c>
      <c r="X95" s="60">
        <v>1</v>
      </c>
      <c r="Y95" s="60">
        <v>1</v>
      </c>
    </row>
    <row r="96" spans="1:33" x14ac:dyDescent="0.25">
      <c r="A96" s="127" t="str">
        <f>A$23</f>
        <v>lot9</v>
      </c>
      <c r="B96" s="60">
        <v>1</v>
      </c>
      <c r="C96" s="60">
        <v>1</v>
      </c>
      <c r="D96" s="60">
        <v>1</v>
      </c>
      <c r="E96" s="60">
        <v>1</v>
      </c>
      <c r="F96" s="60">
        <v>1</v>
      </c>
      <c r="G96" s="60">
        <v>1</v>
      </c>
      <c r="H96" s="60">
        <v>1</v>
      </c>
      <c r="I96" s="60">
        <v>1</v>
      </c>
      <c r="J96" s="60">
        <v>1</v>
      </c>
      <c r="K96" s="60">
        <v>1</v>
      </c>
      <c r="L96" s="60">
        <v>1</v>
      </c>
      <c r="M96" s="60">
        <v>1</v>
      </c>
      <c r="N96" s="60">
        <v>1</v>
      </c>
      <c r="O96" s="60">
        <v>1</v>
      </c>
      <c r="P96" s="60">
        <v>1</v>
      </c>
      <c r="Q96" s="60">
        <v>1</v>
      </c>
      <c r="R96" s="60">
        <v>1</v>
      </c>
      <c r="S96" s="60">
        <v>1</v>
      </c>
      <c r="T96" s="60">
        <v>1</v>
      </c>
      <c r="U96" s="60">
        <v>1</v>
      </c>
      <c r="V96" s="60">
        <v>1</v>
      </c>
      <c r="W96" s="60">
        <v>1</v>
      </c>
      <c r="X96" s="60">
        <v>1</v>
      </c>
      <c r="Y96" s="60">
        <v>1</v>
      </c>
    </row>
    <row r="97" spans="1:33" x14ac:dyDescent="0.25">
      <c r="A97" s="128" t="str">
        <f>A$24</f>
        <v>lot10</v>
      </c>
      <c r="B97" s="60">
        <v>1</v>
      </c>
      <c r="C97" s="60">
        <v>1</v>
      </c>
      <c r="D97" s="60">
        <v>1</v>
      </c>
      <c r="E97" s="60">
        <v>1</v>
      </c>
      <c r="F97" s="60">
        <v>1</v>
      </c>
      <c r="G97" s="60">
        <v>1</v>
      </c>
      <c r="H97" s="60">
        <v>1</v>
      </c>
      <c r="I97" s="60">
        <v>1</v>
      </c>
      <c r="J97" s="60">
        <v>1</v>
      </c>
      <c r="K97" s="60">
        <v>1</v>
      </c>
      <c r="L97" s="60">
        <v>1</v>
      </c>
      <c r="M97" s="60">
        <v>1</v>
      </c>
      <c r="N97" s="60">
        <v>1</v>
      </c>
      <c r="O97" s="60">
        <v>1</v>
      </c>
      <c r="P97" s="60">
        <v>1</v>
      </c>
      <c r="Q97" s="60">
        <v>1</v>
      </c>
      <c r="R97" s="60">
        <v>1</v>
      </c>
      <c r="S97" s="60">
        <v>1</v>
      </c>
      <c r="T97" s="60">
        <v>1</v>
      </c>
      <c r="U97" s="60">
        <v>1</v>
      </c>
      <c r="V97" s="60">
        <v>1</v>
      </c>
      <c r="W97" s="60">
        <v>1</v>
      </c>
      <c r="X97" s="60">
        <v>1</v>
      </c>
      <c r="Y97" s="60">
        <v>1</v>
      </c>
    </row>
    <row r="98" spans="1:33" s="5" customFormat="1" x14ac:dyDescent="0.25">
      <c r="A98" s="23" t="s">
        <v>204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AE98" s="86"/>
      <c r="AG98"/>
    </row>
    <row r="99" spans="1:33" x14ac:dyDescent="0.25">
      <c r="A99" s="127" t="str">
        <f>A$15</f>
        <v xml:space="preserve">Vaches </v>
      </c>
      <c r="B99" s="61">
        <f>VLOOKUP(B88,$AD$6:$AF$10,3)</f>
        <v>13</v>
      </c>
      <c r="C99" s="61">
        <f t="shared" ref="C99:X99" si="30">VLOOKUP(C88,$AD$6:$AF$10,3)</f>
        <v>13</v>
      </c>
      <c r="D99" s="61">
        <f t="shared" si="30"/>
        <v>13</v>
      </c>
      <c r="E99" s="61">
        <f t="shared" si="30"/>
        <v>13</v>
      </c>
      <c r="F99" s="61">
        <f t="shared" si="30"/>
        <v>14</v>
      </c>
      <c r="G99" s="61">
        <f t="shared" si="30"/>
        <v>14</v>
      </c>
      <c r="H99" s="61">
        <f t="shared" si="30"/>
        <v>12.25</v>
      </c>
      <c r="I99" s="61">
        <f t="shared" si="30"/>
        <v>12.25</v>
      </c>
      <c r="J99" s="61">
        <f t="shared" si="30"/>
        <v>12.25</v>
      </c>
      <c r="K99" s="61">
        <f t="shared" si="30"/>
        <v>12.25</v>
      </c>
      <c r="L99" s="61">
        <f t="shared" si="30"/>
        <v>12.25</v>
      </c>
      <c r="M99" s="61">
        <f t="shared" si="30"/>
        <v>12.25</v>
      </c>
      <c r="N99" s="61">
        <f t="shared" si="30"/>
        <v>12.25</v>
      </c>
      <c r="O99" s="61">
        <f t="shared" si="30"/>
        <v>12.25</v>
      </c>
      <c r="P99" s="61">
        <f t="shared" si="30"/>
        <v>12.25</v>
      </c>
      <c r="Q99" s="61">
        <f t="shared" si="30"/>
        <v>12.25</v>
      </c>
      <c r="R99" s="61">
        <f t="shared" si="30"/>
        <v>11</v>
      </c>
      <c r="S99" s="61">
        <f t="shared" si="30"/>
        <v>11</v>
      </c>
      <c r="T99" s="61">
        <f t="shared" si="30"/>
        <v>14</v>
      </c>
      <c r="U99" s="61">
        <f t="shared" si="30"/>
        <v>14</v>
      </c>
      <c r="V99" s="61">
        <f t="shared" si="30"/>
        <v>13</v>
      </c>
      <c r="W99" s="61">
        <f t="shared" si="30"/>
        <v>13</v>
      </c>
      <c r="X99" s="61">
        <f t="shared" si="30"/>
        <v>13</v>
      </c>
      <c r="Y99" s="61">
        <f>VLOOKUP(Y88,$AD$6:$AF$10,3)</f>
        <v>13</v>
      </c>
    </row>
    <row r="100" spans="1:33" x14ac:dyDescent="0.25">
      <c r="A100" s="128" t="str">
        <f>A$16</f>
        <v>Génisses 24 mois</v>
      </c>
      <c r="B100" s="61">
        <f t="shared" ref="B100:Y100" si="31">VLOOKUP(B89,$AD$6:$AF$10,3)</f>
        <v>10</v>
      </c>
      <c r="C100" s="61">
        <f t="shared" si="31"/>
        <v>10</v>
      </c>
      <c r="D100" s="61">
        <f t="shared" si="31"/>
        <v>10</v>
      </c>
      <c r="E100" s="61">
        <f t="shared" si="31"/>
        <v>10</v>
      </c>
      <c r="F100" s="61">
        <f t="shared" si="31"/>
        <v>13</v>
      </c>
      <c r="G100" s="61">
        <f t="shared" si="31"/>
        <v>13</v>
      </c>
      <c r="H100" s="61">
        <f t="shared" si="31"/>
        <v>13</v>
      </c>
      <c r="I100" s="61">
        <f t="shared" si="31"/>
        <v>13</v>
      </c>
      <c r="J100" s="61">
        <f t="shared" si="31"/>
        <v>13</v>
      </c>
      <c r="K100" s="61">
        <f t="shared" si="31"/>
        <v>13</v>
      </c>
      <c r="L100" s="61">
        <f t="shared" si="31"/>
        <v>13</v>
      </c>
      <c r="M100" s="61">
        <f t="shared" si="31"/>
        <v>13</v>
      </c>
      <c r="N100" s="61">
        <f t="shared" si="31"/>
        <v>13</v>
      </c>
      <c r="O100" s="61">
        <f t="shared" si="31"/>
        <v>13</v>
      </c>
      <c r="P100" s="61">
        <f t="shared" si="31"/>
        <v>13</v>
      </c>
      <c r="Q100" s="61">
        <f t="shared" si="31"/>
        <v>13</v>
      </c>
      <c r="R100" s="61">
        <f t="shared" si="31"/>
        <v>11</v>
      </c>
      <c r="S100" s="61">
        <f t="shared" si="31"/>
        <v>11</v>
      </c>
      <c r="T100" s="61">
        <f t="shared" si="31"/>
        <v>13</v>
      </c>
      <c r="U100" s="61">
        <f t="shared" si="31"/>
        <v>13</v>
      </c>
      <c r="V100" s="61">
        <f t="shared" si="31"/>
        <v>13</v>
      </c>
      <c r="W100" s="61">
        <f t="shared" si="31"/>
        <v>10</v>
      </c>
      <c r="X100" s="61">
        <f t="shared" si="31"/>
        <v>10</v>
      </c>
      <c r="Y100" s="61">
        <f t="shared" si="31"/>
        <v>10</v>
      </c>
    </row>
    <row r="101" spans="1:33" x14ac:dyDescent="0.25">
      <c r="A101" s="128" t="str">
        <f>A$17</f>
        <v>Génisses jeunes</v>
      </c>
      <c r="B101" s="61">
        <f t="shared" ref="B101:Y101" si="32">VLOOKUP(B90,$AD$6:$AF$10,3)</f>
        <v>10</v>
      </c>
      <c r="C101" s="61">
        <f t="shared" si="32"/>
        <v>10</v>
      </c>
      <c r="D101" s="61">
        <f t="shared" si="32"/>
        <v>10</v>
      </c>
      <c r="E101" s="61">
        <f t="shared" si="32"/>
        <v>10</v>
      </c>
      <c r="F101" s="61">
        <f t="shared" si="32"/>
        <v>10</v>
      </c>
      <c r="G101" s="61">
        <f t="shared" si="32"/>
        <v>10</v>
      </c>
      <c r="H101" s="61">
        <f t="shared" si="32"/>
        <v>10</v>
      </c>
      <c r="I101" s="61">
        <f t="shared" si="32"/>
        <v>10</v>
      </c>
      <c r="J101" s="61">
        <f t="shared" si="32"/>
        <v>10</v>
      </c>
      <c r="K101" s="61">
        <f t="shared" si="32"/>
        <v>13</v>
      </c>
      <c r="L101" s="61">
        <f t="shared" si="32"/>
        <v>13</v>
      </c>
      <c r="M101" s="61">
        <f t="shared" si="32"/>
        <v>13</v>
      </c>
      <c r="N101" s="61">
        <f t="shared" si="32"/>
        <v>13</v>
      </c>
      <c r="O101" s="61">
        <f t="shared" si="32"/>
        <v>13</v>
      </c>
      <c r="P101" s="61">
        <f t="shared" si="32"/>
        <v>13</v>
      </c>
      <c r="Q101" s="61">
        <f t="shared" si="32"/>
        <v>13</v>
      </c>
      <c r="R101" s="61">
        <f t="shared" si="32"/>
        <v>13</v>
      </c>
      <c r="S101" s="61">
        <f t="shared" si="32"/>
        <v>13</v>
      </c>
      <c r="T101" s="61">
        <f t="shared" si="32"/>
        <v>13</v>
      </c>
      <c r="U101" s="61">
        <f t="shared" si="32"/>
        <v>13</v>
      </c>
      <c r="V101" s="61">
        <f t="shared" si="32"/>
        <v>13</v>
      </c>
      <c r="W101" s="61">
        <f t="shared" si="32"/>
        <v>10</v>
      </c>
      <c r="X101" s="61">
        <f t="shared" si="32"/>
        <v>10</v>
      </c>
      <c r="Y101" s="61">
        <f t="shared" si="32"/>
        <v>10</v>
      </c>
    </row>
    <row r="102" spans="1:33" x14ac:dyDescent="0.25">
      <c r="A102" s="127" t="str">
        <f>A$18</f>
        <v>broutards</v>
      </c>
      <c r="B102" s="61">
        <f t="shared" ref="B102:Y102" si="33">VLOOKUP(B91,$AD$6:$AF$10,3)</f>
        <v>12.25</v>
      </c>
      <c r="C102" s="61">
        <f t="shared" si="33"/>
        <v>12.25</v>
      </c>
      <c r="D102" s="61">
        <f t="shared" si="33"/>
        <v>12.25</v>
      </c>
      <c r="E102" s="61">
        <f t="shared" si="33"/>
        <v>12.25</v>
      </c>
      <c r="F102" s="61">
        <f t="shared" si="33"/>
        <v>12.25</v>
      </c>
      <c r="G102" s="61">
        <f t="shared" si="33"/>
        <v>12.25</v>
      </c>
      <c r="H102" s="61">
        <f t="shared" si="33"/>
        <v>12.25</v>
      </c>
      <c r="I102" s="61">
        <f t="shared" si="33"/>
        <v>12.25</v>
      </c>
      <c r="J102" s="61">
        <f t="shared" si="33"/>
        <v>12.25</v>
      </c>
      <c r="K102" s="61">
        <f t="shared" si="33"/>
        <v>12.25</v>
      </c>
      <c r="L102" s="61">
        <f t="shared" si="33"/>
        <v>12.25</v>
      </c>
      <c r="M102" s="61">
        <f t="shared" si="33"/>
        <v>12.25</v>
      </c>
      <c r="N102" s="61">
        <f t="shared" si="33"/>
        <v>12.25</v>
      </c>
      <c r="O102" s="61">
        <f t="shared" si="33"/>
        <v>12.25</v>
      </c>
      <c r="P102" s="61">
        <f t="shared" si="33"/>
        <v>12.25</v>
      </c>
      <c r="Q102" s="61">
        <f t="shared" si="33"/>
        <v>12.25</v>
      </c>
      <c r="R102" s="61">
        <f t="shared" si="33"/>
        <v>12.25</v>
      </c>
      <c r="S102" s="61">
        <f t="shared" si="33"/>
        <v>12.25</v>
      </c>
      <c r="T102" s="61">
        <f t="shared" si="33"/>
        <v>12.25</v>
      </c>
      <c r="U102" s="61">
        <f t="shared" si="33"/>
        <v>12.25</v>
      </c>
      <c r="V102" s="61">
        <f t="shared" si="33"/>
        <v>12.25</v>
      </c>
      <c r="W102" s="61">
        <f t="shared" si="33"/>
        <v>12.25</v>
      </c>
      <c r="X102" s="61">
        <f t="shared" si="33"/>
        <v>12.25</v>
      </c>
      <c r="Y102" s="61">
        <f t="shared" si="33"/>
        <v>12.25</v>
      </c>
    </row>
    <row r="103" spans="1:33" x14ac:dyDescent="0.25">
      <c r="A103" s="128" t="str">
        <f>A$19</f>
        <v>génisses &lt; 1 an</v>
      </c>
      <c r="B103" s="61">
        <f t="shared" ref="B103:Y103" si="34">VLOOKUP(B92,$AD$6:$AF$10,3)</f>
        <v>12.25</v>
      </c>
      <c r="C103" s="61">
        <f t="shared" si="34"/>
        <v>12.25</v>
      </c>
      <c r="D103" s="61">
        <f t="shared" si="34"/>
        <v>12.25</v>
      </c>
      <c r="E103" s="61">
        <f t="shared" si="34"/>
        <v>12.25</v>
      </c>
      <c r="F103" s="61">
        <f t="shared" si="34"/>
        <v>12.25</v>
      </c>
      <c r="G103" s="61">
        <f t="shared" si="34"/>
        <v>12.25</v>
      </c>
      <c r="H103" s="61">
        <f t="shared" si="34"/>
        <v>12.25</v>
      </c>
      <c r="I103" s="61">
        <f t="shared" si="34"/>
        <v>12.25</v>
      </c>
      <c r="J103" s="61">
        <f t="shared" si="34"/>
        <v>12.25</v>
      </c>
      <c r="K103" s="61">
        <f t="shared" si="34"/>
        <v>12.25</v>
      </c>
      <c r="L103" s="61">
        <f t="shared" si="34"/>
        <v>12.25</v>
      </c>
      <c r="M103" s="61">
        <f t="shared" si="34"/>
        <v>12.25</v>
      </c>
      <c r="N103" s="61">
        <f t="shared" si="34"/>
        <v>12.25</v>
      </c>
      <c r="O103" s="61">
        <f t="shared" si="34"/>
        <v>12.25</v>
      </c>
      <c r="P103" s="61">
        <f t="shared" si="34"/>
        <v>12.25</v>
      </c>
      <c r="Q103" s="61">
        <f t="shared" si="34"/>
        <v>12.25</v>
      </c>
      <c r="R103" s="61">
        <f t="shared" si="34"/>
        <v>12.25</v>
      </c>
      <c r="S103" s="61">
        <f t="shared" si="34"/>
        <v>12.25</v>
      </c>
      <c r="T103" s="61">
        <f t="shared" si="34"/>
        <v>12.25</v>
      </c>
      <c r="U103" s="61">
        <f t="shared" si="34"/>
        <v>12.25</v>
      </c>
      <c r="V103" s="61">
        <f t="shared" si="34"/>
        <v>12.25</v>
      </c>
      <c r="W103" s="61">
        <f t="shared" si="34"/>
        <v>12.25</v>
      </c>
      <c r="X103" s="61">
        <f t="shared" si="34"/>
        <v>12.25</v>
      </c>
      <c r="Y103" s="61">
        <f t="shared" si="34"/>
        <v>12.25</v>
      </c>
    </row>
    <row r="104" spans="1:33" x14ac:dyDescent="0.25">
      <c r="A104" s="127" t="str">
        <f>A$20</f>
        <v>lot6</v>
      </c>
      <c r="B104" s="61">
        <f t="shared" ref="B104:Y104" si="35">VLOOKUP(B93,$AD$6:$AF$10,3)</f>
        <v>12.25</v>
      </c>
      <c r="C104" s="61">
        <f t="shared" si="35"/>
        <v>12.25</v>
      </c>
      <c r="D104" s="61">
        <f t="shared" si="35"/>
        <v>12.25</v>
      </c>
      <c r="E104" s="61">
        <f t="shared" si="35"/>
        <v>12.25</v>
      </c>
      <c r="F104" s="61">
        <f t="shared" si="35"/>
        <v>12.25</v>
      </c>
      <c r="G104" s="61">
        <f t="shared" si="35"/>
        <v>12.25</v>
      </c>
      <c r="H104" s="61">
        <f t="shared" si="35"/>
        <v>12.25</v>
      </c>
      <c r="I104" s="61">
        <f t="shared" si="35"/>
        <v>12.25</v>
      </c>
      <c r="J104" s="61">
        <f t="shared" si="35"/>
        <v>12.25</v>
      </c>
      <c r="K104" s="61">
        <f t="shared" si="35"/>
        <v>12.25</v>
      </c>
      <c r="L104" s="61">
        <f t="shared" si="35"/>
        <v>12.25</v>
      </c>
      <c r="M104" s="61">
        <f t="shared" si="35"/>
        <v>12.25</v>
      </c>
      <c r="N104" s="61">
        <f t="shared" si="35"/>
        <v>12.25</v>
      </c>
      <c r="O104" s="61">
        <f t="shared" si="35"/>
        <v>12.25</v>
      </c>
      <c r="P104" s="61">
        <f t="shared" si="35"/>
        <v>12.25</v>
      </c>
      <c r="Q104" s="61">
        <f t="shared" si="35"/>
        <v>12.25</v>
      </c>
      <c r="R104" s="61">
        <f t="shared" si="35"/>
        <v>12.25</v>
      </c>
      <c r="S104" s="61">
        <f t="shared" si="35"/>
        <v>12.25</v>
      </c>
      <c r="T104" s="61">
        <f t="shared" si="35"/>
        <v>12.25</v>
      </c>
      <c r="U104" s="61">
        <f t="shared" si="35"/>
        <v>12.25</v>
      </c>
      <c r="V104" s="61">
        <f t="shared" si="35"/>
        <v>12.25</v>
      </c>
      <c r="W104" s="61">
        <f t="shared" si="35"/>
        <v>12.25</v>
      </c>
      <c r="X104" s="61">
        <f t="shared" si="35"/>
        <v>12.25</v>
      </c>
      <c r="Y104" s="61">
        <f t="shared" si="35"/>
        <v>12.25</v>
      </c>
    </row>
    <row r="105" spans="1:33" x14ac:dyDescent="0.25">
      <c r="A105" s="128" t="str">
        <f>A$21</f>
        <v>lot7</v>
      </c>
      <c r="B105" s="61">
        <f t="shared" ref="B105:Y105" si="36">VLOOKUP(B94,$AD$6:$AF$10,3)</f>
        <v>12.25</v>
      </c>
      <c r="C105" s="61">
        <f t="shared" si="36"/>
        <v>12.25</v>
      </c>
      <c r="D105" s="61">
        <f t="shared" si="36"/>
        <v>12.25</v>
      </c>
      <c r="E105" s="61">
        <f t="shared" si="36"/>
        <v>12.25</v>
      </c>
      <c r="F105" s="61">
        <f t="shared" si="36"/>
        <v>12.25</v>
      </c>
      <c r="G105" s="61">
        <f t="shared" si="36"/>
        <v>12.25</v>
      </c>
      <c r="H105" s="61">
        <f t="shared" si="36"/>
        <v>12.25</v>
      </c>
      <c r="I105" s="61">
        <f t="shared" si="36"/>
        <v>12.25</v>
      </c>
      <c r="J105" s="61">
        <f t="shared" si="36"/>
        <v>12.25</v>
      </c>
      <c r="K105" s="61">
        <f t="shared" si="36"/>
        <v>12.25</v>
      </c>
      <c r="L105" s="61">
        <f t="shared" si="36"/>
        <v>12.25</v>
      </c>
      <c r="M105" s="61">
        <f t="shared" si="36"/>
        <v>12.25</v>
      </c>
      <c r="N105" s="61">
        <f t="shared" si="36"/>
        <v>12.25</v>
      </c>
      <c r="O105" s="61">
        <f t="shared" si="36"/>
        <v>12.25</v>
      </c>
      <c r="P105" s="61">
        <f t="shared" si="36"/>
        <v>12.25</v>
      </c>
      <c r="Q105" s="61">
        <f t="shared" si="36"/>
        <v>12.25</v>
      </c>
      <c r="R105" s="61">
        <f t="shared" si="36"/>
        <v>12.25</v>
      </c>
      <c r="S105" s="61">
        <f t="shared" si="36"/>
        <v>12.25</v>
      </c>
      <c r="T105" s="61">
        <f t="shared" si="36"/>
        <v>12.25</v>
      </c>
      <c r="U105" s="61">
        <f t="shared" si="36"/>
        <v>12.25</v>
      </c>
      <c r="V105" s="61">
        <f t="shared" si="36"/>
        <v>12.25</v>
      </c>
      <c r="W105" s="61">
        <f t="shared" si="36"/>
        <v>12.25</v>
      </c>
      <c r="X105" s="61">
        <f t="shared" si="36"/>
        <v>12.25</v>
      </c>
      <c r="Y105" s="61">
        <f t="shared" si="36"/>
        <v>12.25</v>
      </c>
    </row>
    <row r="106" spans="1:33" x14ac:dyDescent="0.25">
      <c r="A106" s="128" t="str">
        <f>A$22</f>
        <v>lot8</v>
      </c>
      <c r="B106" s="61">
        <f t="shared" ref="B106:Y106" si="37">VLOOKUP(B95,$AD$6:$AF$10,3)</f>
        <v>12.25</v>
      </c>
      <c r="C106" s="61">
        <f t="shared" si="37"/>
        <v>12.25</v>
      </c>
      <c r="D106" s="61">
        <f t="shared" si="37"/>
        <v>12.25</v>
      </c>
      <c r="E106" s="61">
        <f t="shared" si="37"/>
        <v>12.25</v>
      </c>
      <c r="F106" s="61">
        <f t="shared" si="37"/>
        <v>12.25</v>
      </c>
      <c r="G106" s="61">
        <f t="shared" si="37"/>
        <v>12.25</v>
      </c>
      <c r="H106" s="61">
        <f t="shared" si="37"/>
        <v>12.25</v>
      </c>
      <c r="I106" s="61">
        <f t="shared" si="37"/>
        <v>12.25</v>
      </c>
      <c r="J106" s="61">
        <f t="shared" si="37"/>
        <v>12.25</v>
      </c>
      <c r="K106" s="61">
        <f t="shared" si="37"/>
        <v>12.25</v>
      </c>
      <c r="L106" s="61">
        <f t="shared" si="37"/>
        <v>12.25</v>
      </c>
      <c r="M106" s="61">
        <f t="shared" si="37"/>
        <v>12.25</v>
      </c>
      <c r="N106" s="61">
        <f t="shared" si="37"/>
        <v>12.25</v>
      </c>
      <c r="O106" s="61">
        <f t="shared" si="37"/>
        <v>12.25</v>
      </c>
      <c r="P106" s="61">
        <f t="shared" si="37"/>
        <v>12.25</v>
      </c>
      <c r="Q106" s="61">
        <f t="shared" si="37"/>
        <v>12.25</v>
      </c>
      <c r="R106" s="61">
        <f t="shared" si="37"/>
        <v>12.25</v>
      </c>
      <c r="S106" s="61">
        <f t="shared" si="37"/>
        <v>12.25</v>
      </c>
      <c r="T106" s="61">
        <f t="shared" si="37"/>
        <v>12.25</v>
      </c>
      <c r="U106" s="61">
        <f t="shared" si="37"/>
        <v>12.25</v>
      </c>
      <c r="V106" s="61">
        <f t="shared" si="37"/>
        <v>12.25</v>
      </c>
      <c r="W106" s="61">
        <f t="shared" si="37"/>
        <v>12.25</v>
      </c>
      <c r="X106" s="61">
        <f t="shared" si="37"/>
        <v>12.25</v>
      </c>
      <c r="Y106" s="61">
        <f t="shared" si="37"/>
        <v>12.25</v>
      </c>
    </row>
    <row r="107" spans="1:33" x14ac:dyDescent="0.25">
      <c r="A107" s="127" t="str">
        <f>A$23</f>
        <v>lot9</v>
      </c>
      <c r="B107" s="61">
        <f t="shared" ref="B107:Y107" si="38">VLOOKUP(B96,$AD$6:$AF$10,3)</f>
        <v>12.25</v>
      </c>
      <c r="C107" s="61">
        <f t="shared" si="38"/>
        <v>12.25</v>
      </c>
      <c r="D107" s="61">
        <f t="shared" si="38"/>
        <v>12.25</v>
      </c>
      <c r="E107" s="61">
        <f t="shared" si="38"/>
        <v>12.25</v>
      </c>
      <c r="F107" s="61">
        <f t="shared" si="38"/>
        <v>12.25</v>
      </c>
      <c r="G107" s="61">
        <f t="shared" si="38"/>
        <v>12.25</v>
      </c>
      <c r="H107" s="61">
        <f t="shared" si="38"/>
        <v>12.25</v>
      </c>
      <c r="I107" s="61">
        <f t="shared" si="38"/>
        <v>12.25</v>
      </c>
      <c r="J107" s="61">
        <f t="shared" si="38"/>
        <v>12.25</v>
      </c>
      <c r="K107" s="61">
        <f t="shared" si="38"/>
        <v>12.25</v>
      </c>
      <c r="L107" s="61">
        <f t="shared" si="38"/>
        <v>12.25</v>
      </c>
      <c r="M107" s="61">
        <f t="shared" si="38"/>
        <v>12.25</v>
      </c>
      <c r="N107" s="61">
        <f t="shared" si="38"/>
        <v>12.25</v>
      </c>
      <c r="O107" s="61">
        <f t="shared" si="38"/>
        <v>12.25</v>
      </c>
      <c r="P107" s="61">
        <f t="shared" si="38"/>
        <v>12.25</v>
      </c>
      <c r="Q107" s="61">
        <f t="shared" si="38"/>
        <v>12.25</v>
      </c>
      <c r="R107" s="61">
        <f t="shared" si="38"/>
        <v>12.25</v>
      </c>
      <c r="S107" s="61">
        <f t="shared" si="38"/>
        <v>12.25</v>
      </c>
      <c r="T107" s="61">
        <f t="shared" si="38"/>
        <v>12.25</v>
      </c>
      <c r="U107" s="61">
        <f t="shared" si="38"/>
        <v>12.25</v>
      </c>
      <c r="V107" s="61">
        <f t="shared" si="38"/>
        <v>12.25</v>
      </c>
      <c r="W107" s="61">
        <f t="shared" si="38"/>
        <v>12.25</v>
      </c>
      <c r="X107" s="61">
        <f t="shared" si="38"/>
        <v>12.25</v>
      </c>
      <c r="Y107" s="61">
        <f t="shared" si="38"/>
        <v>12.25</v>
      </c>
    </row>
    <row r="108" spans="1:33" x14ac:dyDescent="0.25">
      <c r="A108" s="128" t="str">
        <f>A$24</f>
        <v>lot10</v>
      </c>
      <c r="B108" s="61">
        <f t="shared" ref="B108:Y108" si="39">VLOOKUP(B97,$AD$6:$AF$10,3)</f>
        <v>12.25</v>
      </c>
      <c r="C108" s="61">
        <f t="shared" si="39"/>
        <v>12.25</v>
      </c>
      <c r="D108" s="61">
        <f t="shared" si="39"/>
        <v>12.25</v>
      </c>
      <c r="E108" s="61">
        <f t="shared" si="39"/>
        <v>12.25</v>
      </c>
      <c r="F108" s="61">
        <f t="shared" si="39"/>
        <v>12.25</v>
      </c>
      <c r="G108" s="61">
        <f t="shared" si="39"/>
        <v>12.25</v>
      </c>
      <c r="H108" s="61">
        <f t="shared" si="39"/>
        <v>12.25</v>
      </c>
      <c r="I108" s="61">
        <f t="shared" si="39"/>
        <v>12.25</v>
      </c>
      <c r="J108" s="61">
        <f t="shared" si="39"/>
        <v>12.25</v>
      </c>
      <c r="K108" s="61">
        <f t="shared" si="39"/>
        <v>12.25</v>
      </c>
      <c r="L108" s="61">
        <f t="shared" si="39"/>
        <v>12.25</v>
      </c>
      <c r="M108" s="61">
        <f t="shared" si="39"/>
        <v>12.25</v>
      </c>
      <c r="N108" s="61">
        <f t="shared" si="39"/>
        <v>12.25</v>
      </c>
      <c r="O108" s="61">
        <f t="shared" si="39"/>
        <v>12.25</v>
      </c>
      <c r="P108" s="61">
        <f t="shared" si="39"/>
        <v>12.25</v>
      </c>
      <c r="Q108" s="61">
        <f t="shared" si="39"/>
        <v>12.25</v>
      </c>
      <c r="R108" s="61">
        <f t="shared" si="39"/>
        <v>12.25</v>
      </c>
      <c r="S108" s="61">
        <f t="shared" si="39"/>
        <v>12.25</v>
      </c>
      <c r="T108" s="61">
        <f t="shared" si="39"/>
        <v>12.25</v>
      </c>
      <c r="U108" s="61">
        <f t="shared" si="39"/>
        <v>12.25</v>
      </c>
      <c r="V108" s="61">
        <f t="shared" si="39"/>
        <v>12.25</v>
      </c>
      <c r="W108" s="61">
        <f t="shared" si="39"/>
        <v>12.25</v>
      </c>
      <c r="X108" s="61">
        <f t="shared" si="39"/>
        <v>12.25</v>
      </c>
      <c r="Y108" s="61">
        <f t="shared" si="39"/>
        <v>12.25</v>
      </c>
    </row>
    <row r="109" spans="1:33" s="5" customFormat="1" x14ac:dyDescent="0.25">
      <c r="A109" s="55" t="s">
        <v>205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AE109" s="86"/>
      <c r="AG109"/>
    </row>
    <row r="110" spans="1:33" x14ac:dyDescent="0.25">
      <c r="A110" s="127" t="str">
        <f>A$15</f>
        <v xml:space="preserve">Vaches </v>
      </c>
      <c r="B110" s="61">
        <f t="shared" ref="B110:Y110" si="40">(B39*B$3*B99)/1000</f>
        <v>5.6178199999999991</v>
      </c>
      <c r="C110" s="61">
        <f t="shared" si="40"/>
        <v>5.6178199999999991</v>
      </c>
      <c r="D110" s="61">
        <f t="shared" si="40"/>
        <v>5.0741599999999991</v>
      </c>
      <c r="E110" s="61">
        <f t="shared" si="40"/>
        <v>5.0741599999999991</v>
      </c>
      <c r="F110" s="61">
        <f t="shared" si="40"/>
        <v>6.0499599999999996</v>
      </c>
      <c r="G110" s="61">
        <f t="shared" si="40"/>
        <v>6.0499599999999996</v>
      </c>
      <c r="H110" s="61">
        <f t="shared" si="40"/>
        <v>5.1229499999999986</v>
      </c>
      <c r="I110" s="61">
        <f t="shared" si="40"/>
        <v>5.1229499999999986</v>
      </c>
      <c r="J110" s="61">
        <f t="shared" si="40"/>
        <v>5.2937149999999988</v>
      </c>
      <c r="K110" s="61">
        <f t="shared" si="40"/>
        <v>5.2937149999999988</v>
      </c>
      <c r="L110" s="61">
        <f t="shared" si="40"/>
        <v>5.1229499999999986</v>
      </c>
      <c r="M110" s="61">
        <f t="shared" si="40"/>
        <v>5.1229499999999986</v>
      </c>
      <c r="N110" s="61">
        <f t="shared" si="40"/>
        <v>5.2937149999999988</v>
      </c>
      <c r="O110" s="61">
        <f t="shared" si="40"/>
        <v>5.2937149999999988</v>
      </c>
      <c r="P110" s="61">
        <f t="shared" si="40"/>
        <v>5.2937149999999988</v>
      </c>
      <c r="Q110" s="61">
        <f t="shared" si="40"/>
        <v>5.0354849999999995</v>
      </c>
      <c r="R110" s="61">
        <f t="shared" si="40"/>
        <v>4.1513999999999998</v>
      </c>
      <c r="S110" s="61">
        <f t="shared" si="40"/>
        <v>3.927</v>
      </c>
      <c r="T110" s="61">
        <f t="shared" si="40"/>
        <v>5.3121599999999995</v>
      </c>
      <c r="U110" s="61">
        <f t="shared" si="40"/>
        <v>5.4597199999999999</v>
      </c>
      <c r="V110" s="61">
        <f t="shared" si="40"/>
        <v>5.0388000000000002</v>
      </c>
      <c r="W110" s="61">
        <f t="shared" si="40"/>
        <v>5.4365999999999994</v>
      </c>
      <c r="X110" s="61">
        <f t="shared" si="40"/>
        <v>5.6178199999999991</v>
      </c>
      <c r="Y110" s="61">
        <f t="shared" si="40"/>
        <v>5.6178199999999991</v>
      </c>
    </row>
    <row r="111" spans="1:33" x14ac:dyDescent="0.25">
      <c r="A111" s="128" t="str">
        <f>A$16</f>
        <v>Génisses 24 mois</v>
      </c>
      <c r="B111" s="61">
        <f t="shared" ref="B111:Y111" si="41">(B40*B$3*B100)/1000</f>
        <v>1.1903999999999999</v>
      </c>
      <c r="C111" s="61">
        <f t="shared" si="41"/>
        <v>1.1903999999999999</v>
      </c>
      <c r="D111" s="61">
        <f t="shared" si="41"/>
        <v>1.0752000000000002</v>
      </c>
      <c r="E111" s="61">
        <f t="shared" si="41"/>
        <v>1.0752000000000002</v>
      </c>
      <c r="F111" s="61">
        <f t="shared" si="41"/>
        <v>1.54752</v>
      </c>
      <c r="G111" s="61">
        <f t="shared" si="41"/>
        <v>1.54752</v>
      </c>
      <c r="H111" s="61">
        <f t="shared" si="41"/>
        <v>1.4975999999999998</v>
      </c>
      <c r="I111" s="61">
        <f t="shared" si="41"/>
        <v>1.4975999999999998</v>
      </c>
      <c r="J111" s="61">
        <f t="shared" si="41"/>
        <v>1.54752</v>
      </c>
      <c r="K111" s="61">
        <f t="shared" si="41"/>
        <v>1.54752</v>
      </c>
      <c r="L111" s="61">
        <f t="shared" si="41"/>
        <v>1.4975999999999998</v>
      </c>
      <c r="M111" s="61">
        <f t="shared" si="41"/>
        <v>1.4975999999999998</v>
      </c>
      <c r="N111" s="61">
        <f t="shared" si="41"/>
        <v>1.54752</v>
      </c>
      <c r="O111" s="61">
        <f t="shared" si="41"/>
        <v>1.54752</v>
      </c>
      <c r="P111" s="61">
        <f t="shared" si="41"/>
        <v>1.54752</v>
      </c>
      <c r="Q111" s="61">
        <f t="shared" si="41"/>
        <v>1.54752</v>
      </c>
      <c r="R111" s="61">
        <f t="shared" si="41"/>
        <v>1.2671999999999999</v>
      </c>
      <c r="S111" s="61">
        <f t="shared" si="41"/>
        <v>1.2671999999999999</v>
      </c>
      <c r="T111" s="61">
        <f t="shared" si="41"/>
        <v>1.54752</v>
      </c>
      <c r="U111" s="61">
        <f t="shared" si="41"/>
        <v>1.54752</v>
      </c>
      <c r="V111" s="61">
        <f t="shared" si="41"/>
        <v>1.4975999999999998</v>
      </c>
      <c r="W111" s="61">
        <f t="shared" si="41"/>
        <v>1.1519999999999999</v>
      </c>
      <c r="X111" s="61">
        <f t="shared" si="41"/>
        <v>1.1903999999999999</v>
      </c>
      <c r="Y111" s="61">
        <f t="shared" si="41"/>
        <v>1.1903999999999999</v>
      </c>
    </row>
    <row r="112" spans="1:33" x14ac:dyDescent="0.25">
      <c r="A112" s="128" t="str">
        <f>A$17</f>
        <v>Génisses jeunes</v>
      </c>
      <c r="B112" s="61">
        <f t="shared" ref="B112:Y112" si="42">(B41*B$3*B101)/1000</f>
        <v>0.89279999999999993</v>
      </c>
      <c r="C112" s="61">
        <f t="shared" si="42"/>
        <v>0.89279999999999993</v>
      </c>
      <c r="D112" s="61">
        <f t="shared" si="42"/>
        <v>0.80640000000000001</v>
      </c>
      <c r="E112" s="61">
        <f t="shared" si="42"/>
        <v>0.80640000000000001</v>
      </c>
      <c r="F112" s="61">
        <f t="shared" si="42"/>
        <v>0.89279999999999993</v>
      </c>
      <c r="G112" s="61">
        <f t="shared" si="42"/>
        <v>0.89279999999999993</v>
      </c>
      <c r="H112" s="61">
        <f t="shared" si="42"/>
        <v>0.86399999999999988</v>
      </c>
      <c r="I112" s="61">
        <f t="shared" si="42"/>
        <v>0.86399999999999988</v>
      </c>
      <c r="J112" s="61">
        <f t="shared" si="42"/>
        <v>0.89279999999999993</v>
      </c>
      <c r="K112" s="61">
        <f t="shared" si="42"/>
        <v>1.1606400000000001</v>
      </c>
      <c r="L112" s="61">
        <f t="shared" si="42"/>
        <v>1.1231999999999998</v>
      </c>
      <c r="M112" s="61">
        <f t="shared" si="42"/>
        <v>1.1231999999999998</v>
      </c>
      <c r="N112" s="61">
        <f t="shared" si="42"/>
        <v>1.1606400000000001</v>
      </c>
      <c r="O112" s="61">
        <f t="shared" si="42"/>
        <v>1.1606400000000001</v>
      </c>
      <c r="P112" s="61">
        <f t="shared" si="42"/>
        <v>1.1606400000000001</v>
      </c>
      <c r="Q112" s="61">
        <f t="shared" si="42"/>
        <v>1.1606400000000001</v>
      </c>
      <c r="R112" s="61">
        <f t="shared" si="42"/>
        <v>1.1231999999999998</v>
      </c>
      <c r="S112" s="61">
        <f t="shared" si="42"/>
        <v>1.1231999999999998</v>
      </c>
      <c r="T112" s="61">
        <f t="shared" si="42"/>
        <v>1.1606400000000001</v>
      </c>
      <c r="U112" s="61">
        <f t="shared" si="42"/>
        <v>1.1606400000000001</v>
      </c>
      <c r="V112" s="61">
        <f t="shared" si="42"/>
        <v>1.1231999999999998</v>
      </c>
      <c r="W112" s="61">
        <f t="shared" si="42"/>
        <v>0.86399999999999988</v>
      </c>
      <c r="X112" s="61">
        <f t="shared" si="42"/>
        <v>0.89279999999999993</v>
      </c>
      <c r="Y112" s="61">
        <f t="shared" si="42"/>
        <v>0.89279999999999993</v>
      </c>
    </row>
    <row r="113" spans="1:53" x14ac:dyDescent="0.25">
      <c r="A113" s="127" t="str">
        <f>A$18</f>
        <v>broutards</v>
      </c>
      <c r="B113" s="61">
        <f t="shared" ref="B113:Y113" si="43">(B42*B$3*B102)/1000</f>
        <v>0.93418499999999993</v>
      </c>
      <c r="C113" s="61">
        <f t="shared" si="43"/>
        <v>0.93418499999999993</v>
      </c>
      <c r="D113" s="61">
        <f t="shared" si="43"/>
        <v>0.84377999999999975</v>
      </c>
      <c r="E113" s="61">
        <f t="shared" si="43"/>
        <v>0.84377999999999975</v>
      </c>
      <c r="F113" s="61">
        <f t="shared" si="43"/>
        <v>0.93418499999999993</v>
      </c>
      <c r="G113" s="61">
        <f t="shared" si="43"/>
        <v>0.93418499999999993</v>
      </c>
      <c r="H113" s="61">
        <f t="shared" si="43"/>
        <v>0</v>
      </c>
      <c r="I113" s="61">
        <f t="shared" si="43"/>
        <v>0</v>
      </c>
      <c r="J113" s="61">
        <f t="shared" si="43"/>
        <v>0</v>
      </c>
      <c r="K113" s="61">
        <f t="shared" si="43"/>
        <v>0</v>
      </c>
      <c r="L113" s="61">
        <f t="shared" si="43"/>
        <v>0</v>
      </c>
      <c r="M113" s="61">
        <f t="shared" si="43"/>
        <v>0</v>
      </c>
      <c r="N113" s="61">
        <f t="shared" si="43"/>
        <v>0</v>
      </c>
      <c r="O113" s="61">
        <f t="shared" si="43"/>
        <v>0</v>
      </c>
      <c r="P113" s="61">
        <f t="shared" si="43"/>
        <v>0</v>
      </c>
      <c r="Q113" s="61">
        <f t="shared" si="43"/>
        <v>0</v>
      </c>
      <c r="R113" s="61">
        <f t="shared" si="43"/>
        <v>0</v>
      </c>
      <c r="S113" s="61">
        <f t="shared" si="43"/>
        <v>0</v>
      </c>
      <c r="T113" s="61">
        <f t="shared" si="43"/>
        <v>0</v>
      </c>
      <c r="U113" s="61">
        <f t="shared" si="43"/>
        <v>0.84304500000000004</v>
      </c>
      <c r="V113" s="61">
        <f t="shared" si="43"/>
        <v>0.83789999999999987</v>
      </c>
      <c r="W113" s="61">
        <f t="shared" si="43"/>
        <v>0.9040499999999998</v>
      </c>
      <c r="X113" s="61">
        <f t="shared" si="43"/>
        <v>0.93418499999999993</v>
      </c>
      <c r="Y113" s="61">
        <f t="shared" si="43"/>
        <v>0.93418499999999993</v>
      </c>
    </row>
    <row r="114" spans="1:53" x14ac:dyDescent="0.25">
      <c r="A114" s="128" t="str">
        <f>A$19</f>
        <v>génisses &lt; 1 an</v>
      </c>
      <c r="B114" s="61">
        <f t="shared" ref="B114:Y114" si="44">(B43*B$3*B103)/1000</f>
        <v>0</v>
      </c>
      <c r="C114" s="61">
        <f t="shared" si="44"/>
        <v>0</v>
      </c>
      <c r="D114" s="61">
        <f t="shared" si="44"/>
        <v>9.6039999999999973E-2</v>
      </c>
      <c r="E114" s="61">
        <f t="shared" si="44"/>
        <v>0.14406000000000002</v>
      </c>
      <c r="F114" s="61">
        <f t="shared" si="44"/>
        <v>0.26582499999999998</v>
      </c>
      <c r="G114" s="61">
        <f t="shared" si="44"/>
        <v>0.42531999999999998</v>
      </c>
      <c r="H114" s="61">
        <f t="shared" si="44"/>
        <v>0.46304999999999996</v>
      </c>
      <c r="I114" s="61">
        <f t="shared" si="44"/>
        <v>0.56594999999999995</v>
      </c>
      <c r="J114" s="61">
        <f t="shared" si="44"/>
        <v>0.63797999999999999</v>
      </c>
      <c r="K114" s="61">
        <f t="shared" si="44"/>
        <v>0.63797999999999999</v>
      </c>
      <c r="L114" s="61">
        <f t="shared" si="44"/>
        <v>0.61739999999999995</v>
      </c>
      <c r="M114" s="61">
        <f t="shared" si="44"/>
        <v>0.61739999999999995</v>
      </c>
      <c r="N114" s="61">
        <f t="shared" si="44"/>
        <v>0.63797999999999999</v>
      </c>
      <c r="O114" s="61">
        <f t="shared" si="44"/>
        <v>0.63797999999999999</v>
      </c>
      <c r="P114" s="61">
        <f t="shared" si="44"/>
        <v>0.63797999999999999</v>
      </c>
      <c r="Q114" s="61">
        <f t="shared" si="44"/>
        <v>0.63797999999999999</v>
      </c>
      <c r="R114" s="61">
        <f t="shared" si="44"/>
        <v>0.61739999999999995</v>
      </c>
      <c r="S114" s="61">
        <f t="shared" si="44"/>
        <v>0.61739999999999995</v>
      </c>
      <c r="T114" s="61">
        <f t="shared" si="44"/>
        <v>0.47848499999999999</v>
      </c>
      <c r="U114" s="61">
        <f t="shared" si="44"/>
        <v>0.31899</v>
      </c>
      <c r="V114" s="61">
        <f t="shared" si="44"/>
        <v>0.15435000000000001</v>
      </c>
      <c r="W114" s="61">
        <f t="shared" si="44"/>
        <v>0</v>
      </c>
      <c r="X114" s="61">
        <f t="shared" si="44"/>
        <v>0</v>
      </c>
      <c r="Y114" s="61">
        <f t="shared" si="44"/>
        <v>0</v>
      </c>
    </row>
    <row r="115" spans="1:53" x14ac:dyDescent="0.25">
      <c r="A115" s="127" t="str">
        <f>A$20</f>
        <v>lot6</v>
      </c>
      <c r="B115" s="61">
        <f t="shared" ref="B115:Y115" si="45">(B44*B$3*B104)/1000</f>
        <v>0</v>
      </c>
      <c r="C115" s="61">
        <f t="shared" si="45"/>
        <v>0</v>
      </c>
      <c r="D115" s="61">
        <f t="shared" si="45"/>
        <v>0</v>
      </c>
      <c r="E115" s="61">
        <f t="shared" si="45"/>
        <v>0</v>
      </c>
      <c r="F115" s="61">
        <f t="shared" si="45"/>
        <v>0</v>
      </c>
      <c r="G115" s="61">
        <f t="shared" si="45"/>
        <v>0</v>
      </c>
      <c r="H115" s="61">
        <f t="shared" si="45"/>
        <v>0</v>
      </c>
      <c r="I115" s="61">
        <f t="shared" si="45"/>
        <v>0</v>
      </c>
      <c r="J115" s="61">
        <f t="shared" si="45"/>
        <v>0</v>
      </c>
      <c r="K115" s="61">
        <f t="shared" si="45"/>
        <v>0</v>
      </c>
      <c r="L115" s="61">
        <f t="shared" si="45"/>
        <v>0</v>
      </c>
      <c r="M115" s="61">
        <f t="shared" si="45"/>
        <v>0</v>
      </c>
      <c r="N115" s="61">
        <f t="shared" si="45"/>
        <v>0</v>
      </c>
      <c r="O115" s="61">
        <f t="shared" si="45"/>
        <v>0</v>
      </c>
      <c r="P115" s="61">
        <f t="shared" si="45"/>
        <v>0</v>
      </c>
      <c r="Q115" s="61">
        <f t="shared" si="45"/>
        <v>0</v>
      </c>
      <c r="R115" s="61">
        <f t="shared" si="45"/>
        <v>0</v>
      </c>
      <c r="S115" s="61">
        <f t="shared" si="45"/>
        <v>0</v>
      </c>
      <c r="T115" s="61">
        <f t="shared" si="45"/>
        <v>0</v>
      </c>
      <c r="U115" s="61">
        <f t="shared" si="45"/>
        <v>0</v>
      </c>
      <c r="V115" s="61">
        <f t="shared" si="45"/>
        <v>0</v>
      </c>
      <c r="W115" s="61">
        <f t="shared" si="45"/>
        <v>0</v>
      </c>
      <c r="X115" s="61">
        <f t="shared" si="45"/>
        <v>0</v>
      </c>
      <c r="Y115" s="61">
        <f t="shared" si="45"/>
        <v>0</v>
      </c>
    </row>
    <row r="116" spans="1:53" x14ac:dyDescent="0.25">
      <c r="A116" s="128" t="str">
        <f>A$21</f>
        <v>lot7</v>
      </c>
      <c r="B116" s="61">
        <f t="shared" ref="B116:Y116" si="46">(B45*B$3*B105)/1000</f>
        <v>0</v>
      </c>
      <c r="C116" s="61">
        <f t="shared" si="46"/>
        <v>0</v>
      </c>
      <c r="D116" s="61">
        <f t="shared" si="46"/>
        <v>0</v>
      </c>
      <c r="E116" s="61">
        <f t="shared" si="46"/>
        <v>0</v>
      </c>
      <c r="F116" s="61">
        <f t="shared" si="46"/>
        <v>0</v>
      </c>
      <c r="G116" s="61">
        <f t="shared" si="46"/>
        <v>0</v>
      </c>
      <c r="H116" s="61">
        <f t="shared" si="46"/>
        <v>0</v>
      </c>
      <c r="I116" s="61">
        <f t="shared" si="46"/>
        <v>0</v>
      </c>
      <c r="J116" s="61">
        <f t="shared" si="46"/>
        <v>0</v>
      </c>
      <c r="K116" s="61">
        <f t="shared" si="46"/>
        <v>0</v>
      </c>
      <c r="L116" s="61">
        <f t="shared" si="46"/>
        <v>0</v>
      </c>
      <c r="M116" s="61">
        <f t="shared" si="46"/>
        <v>0</v>
      </c>
      <c r="N116" s="61">
        <f t="shared" si="46"/>
        <v>0</v>
      </c>
      <c r="O116" s="61">
        <f t="shared" si="46"/>
        <v>0</v>
      </c>
      <c r="P116" s="61">
        <f t="shared" si="46"/>
        <v>0</v>
      </c>
      <c r="Q116" s="61">
        <f t="shared" si="46"/>
        <v>0</v>
      </c>
      <c r="R116" s="61">
        <f t="shared" si="46"/>
        <v>0</v>
      </c>
      <c r="S116" s="61">
        <f t="shared" si="46"/>
        <v>0</v>
      </c>
      <c r="T116" s="61">
        <f t="shared" si="46"/>
        <v>0</v>
      </c>
      <c r="U116" s="61">
        <f t="shared" si="46"/>
        <v>0</v>
      </c>
      <c r="V116" s="61">
        <f t="shared" si="46"/>
        <v>0</v>
      </c>
      <c r="W116" s="61">
        <f t="shared" si="46"/>
        <v>0</v>
      </c>
      <c r="X116" s="61">
        <f t="shared" si="46"/>
        <v>0</v>
      </c>
      <c r="Y116" s="61">
        <f t="shared" si="46"/>
        <v>0</v>
      </c>
    </row>
    <row r="117" spans="1:53" x14ac:dyDescent="0.25">
      <c r="A117" s="128" t="str">
        <f>A$22</f>
        <v>lot8</v>
      </c>
      <c r="B117" s="61">
        <f t="shared" ref="B117:Y117" si="47">(B46*B$3*B106)/1000</f>
        <v>0</v>
      </c>
      <c r="C117" s="61">
        <f t="shared" si="47"/>
        <v>0</v>
      </c>
      <c r="D117" s="61">
        <f t="shared" si="47"/>
        <v>0</v>
      </c>
      <c r="E117" s="61">
        <f t="shared" si="47"/>
        <v>0</v>
      </c>
      <c r="F117" s="61">
        <f t="shared" si="47"/>
        <v>0</v>
      </c>
      <c r="G117" s="61">
        <f t="shared" si="47"/>
        <v>0</v>
      </c>
      <c r="H117" s="61">
        <f t="shared" si="47"/>
        <v>0</v>
      </c>
      <c r="I117" s="61">
        <f t="shared" si="47"/>
        <v>0</v>
      </c>
      <c r="J117" s="61">
        <f t="shared" si="47"/>
        <v>0</v>
      </c>
      <c r="K117" s="61">
        <f t="shared" si="47"/>
        <v>0</v>
      </c>
      <c r="L117" s="61">
        <f t="shared" si="47"/>
        <v>0</v>
      </c>
      <c r="M117" s="61">
        <f t="shared" si="47"/>
        <v>0</v>
      </c>
      <c r="N117" s="61">
        <f t="shared" si="47"/>
        <v>0</v>
      </c>
      <c r="O117" s="61">
        <f t="shared" si="47"/>
        <v>0</v>
      </c>
      <c r="P117" s="61">
        <f t="shared" si="47"/>
        <v>0</v>
      </c>
      <c r="Q117" s="61">
        <f t="shared" si="47"/>
        <v>0</v>
      </c>
      <c r="R117" s="61">
        <f t="shared" si="47"/>
        <v>0</v>
      </c>
      <c r="S117" s="61">
        <f t="shared" si="47"/>
        <v>0</v>
      </c>
      <c r="T117" s="61">
        <f t="shared" si="47"/>
        <v>0</v>
      </c>
      <c r="U117" s="61">
        <f t="shared" si="47"/>
        <v>0</v>
      </c>
      <c r="V117" s="61">
        <f t="shared" si="47"/>
        <v>0</v>
      </c>
      <c r="W117" s="61">
        <f t="shared" si="47"/>
        <v>0</v>
      </c>
      <c r="X117" s="61">
        <f t="shared" si="47"/>
        <v>0</v>
      </c>
      <c r="Y117" s="61">
        <f t="shared" si="47"/>
        <v>0</v>
      </c>
    </row>
    <row r="118" spans="1:53" x14ac:dyDescent="0.25">
      <c r="A118" s="127" t="str">
        <f>A$23</f>
        <v>lot9</v>
      </c>
      <c r="B118" s="61">
        <f t="shared" ref="B118:Y118" si="48">(B47*B$3*B107)/1000</f>
        <v>0</v>
      </c>
      <c r="C118" s="61">
        <f t="shared" si="48"/>
        <v>0</v>
      </c>
      <c r="D118" s="61">
        <f t="shared" si="48"/>
        <v>0</v>
      </c>
      <c r="E118" s="61">
        <f t="shared" si="48"/>
        <v>0</v>
      </c>
      <c r="F118" s="61">
        <f t="shared" si="48"/>
        <v>0</v>
      </c>
      <c r="G118" s="61">
        <f t="shared" si="48"/>
        <v>0</v>
      </c>
      <c r="H118" s="61">
        <f t="shared" si="48"/>
        <v>0</v>
      </c>
      <c r="I118" s="61">
        <f t="shared" si="48"/>
        <v>0</v>
      </c>
      <c r="J118" s="61">
        <f t="shared" si="48"/>
        <v>0</v>
      </c>
      <c r="K118" s="61">
        <f t="shared" si="48"/>
        <v>0</v>
      </c>
      <c r="L118" s="61">
        <f t="shared" si="48"/>
        <v>0</v>
      </c>
      <c r="M118" s="61">
        <f t="shared" si="48"/>
        <v>0</v>
      </c>
      <c r="N118" s="61">
        <f t="shared" si="48"/>
        <v>0</v>
      </c>
      <c r="O118" s="61">
        <f t="shared" si="48"/>
        <v>0</v>
      </c>
      <c r="P118" s="61">
        <f t="shared" si="48"/>
        <v>0</v>
      </c>
      <c r="Q118" s="61">
        <f t="shared" si="48"/>
        <v>0</v>
      </c>
      <c r="R118" s="61">
        <f t="shared" si="48"/>
        <v>0</v>
      </c>
      <c r="S118" s="61">
        <f t="shared" si="48"/>
        <v>0</v>
      </c>
      <c r="T118" s="61">
        <f t="shared" si="48"/>
        <v>0</v>
      </c>
      <c r="U118" s="61">
        <f t="shared" si="48"/>
        <v>0</v>
      </c>
      <c r="V118" s="61">
        <f t="shared" si="48"/>
        <v>0</v>
      </c>
      <c r="W118" s="61">
        <f t="shared" si="48"/>
        <v>0</v>
      </c>
      <c r="X118" s="61">
        <f t="shared" si="48"/>
        <v>0</v>
      </c>
      <c r="Y118" s="61">
        <f t="shared" si="48"/>
        <v>0</v>
      </c>
    </row>
    <row r="119" spans="1:53" x14ac:dyDescent="0.25">
      <c r="A119" s="128" t="str">
        <f>A$24</f>
        <v>lot10</v>
      </c>
      <c r="B119" s="61">
        <f t="shared" ref="B119:Y119" si="49">(B48*B$3*B108)/1000</f>
        <v>0</v>
      </c>
      <c r="C119" s="61">
        <f t="shared" si="49"/>
        <v>0</v>
      </c>
      <c r="D119" s="61">
        <f t="shared" si="49"/>
        <v>0</v>
      </c>
      <c r="E119" s="61">
        <f t="shared" si="49"/>
        <v>0</v>
      </c>
      <c r="F119" s="61">
        <f t="shared" si="49"/>
        <v>0</v>
      </c>
      <c r="G119" s="61">
        <f t="shared" si="49"/>
        <v>0</v>
      </c>
      <c r="H119" s="61">
        <f t="shared" si="49"/>
        <v>0</v>
      </c>
      <c r="I119" s="61">
        <f t="shared" si="49"/>
        <v>0</v>
      </c>
      <c r="J119" s="61">
        <f t="shared" si="49"/>
        <v>0</v>
      </c>
      <c r="K119" s="61">
        <f t="shared" si="49"/>
        <v>0</v>
      </c>
      <c r="L119" s="61">
        <f t="shared" si="49"/>
        <v>0</v>
      </c>
      <c r="M119" s="61">
        <f t="shared" si="49"/>
        <v>0</v>
      </c>
      <c r="N119" s="61">
        <f t="shared" si="49"/>
        <v>0</v>
      </c>
      <c r="O119" s="61">
        <f t="shared" si="49"/>
        <v>0</v>
      </c>
      <c r="P119" s="61">
        <f t="shared" si="49"/>
        <v>0</v>
      </c>
      <c r="Q119" s="61">
        <f t="shared" si="49"/>
        <v>0</v>
      </c>
      <c r="R119" s="61">
        <f t="shared" si="49"/>
        <v>0</v>
      </c>
      <c r="S119" s="61">
        <f t="shared" si="49"/>
        <v>0</v>
      </c>
      <c r="T119" s="61">
        <f t="shared" si="49"/>
        <v>0</v>
      </c>
      <c r="U119" s="61">
        <f t="shared" si="49"/>
        <v>0</v>
      </c>
      <c r="V119" s="61">
        <f t="shared" si="49"/>
        <v>0</v>
      </c>
      <c r="W119" s="61">
        <f t="shared" si="49"/>
        <v>0</v>
      </c>
      <c r="X119" s="61">
        <f t="shared" si="49"/>
        <v>0</v>
      </c>
      <c r="Y119" s="61">
        <f t="shared" si="49"/>
        <v>0</v>
      </c>
    </row>
    <row r="120" spans="1:53" x14ac:dyDescent="0.25">
      <c r="A120" s="38" t="s">
        <v>203</v>
      </c>
      <c r="B120" s="61">
        <f>ROUNDUP(SUM(B110:B119),1)</f>
        <v>8.6999999999999993</v>
      </c>
      <c r="C120" s="61">
        <f t="shared" ref="C120:Y120" si="50">SUM(C110:C119)</f>
        <v>8.6352049999999991</v>
      </c>
      <c r="D120" s="61">
        <f t="shared" si="50"/>
        <v>7.8955799999999998</v>
      </c>
      <c r="E120" s="61">
        <f t="shared" si="50"/>
        <v>7.9435999999999991</v>
      </c>
      <c r="F120" s="61">
        <f t="shared" si="50"/>
        <v>9.6902899999999974</v>
      </c>
      <c r="G120" s="61">
        <f t="shared" si="50"/>
        <v>9.8497849999999971</v>
      </c>
      <c r="H120" s="61">
        <f t="shared" si="50"/>
        <v>7.9475999999999978</v>
      </c>
      <c r="I120" s="61">
        <f t="shared" si="50"/>
        <v>8.0504999999999978</v>
      </c>
      <c r="J120" s="61">
        <f t="shared" si="50"/>
        <v>8.3720149999999993</v>
      </c>
      <c r="K120" s="61">
        <f t="shared" si="50"/>
        <v>8.6398550000000007</v>
      </c>
      <c r="L120" s="61">
        <f t="shared" si="50"/>
        <v>8.3611499999999985</v>
      </c>
      <c r="M120" s="61">
        <f t="shared" si="50"/>
        <v>8.3611499999999985</v>
      </c>
      <c r="N120" s="61">
        <f t="shared" si="50"/>
        <v>8.6398550000000007</v>
      </c>
      <c r="O120" s="61">
        <f t="shared" si="50"/>
        <v>8.6398550000000007</v>
      </c>
      <c r="P120" s="61">
        <f t="shared" si="50"/>
        <v>8.6398550000000007</v>
      </c>
      <c r="Q120" s="61">
        <f t="shared" si="50"/>
        <v>8.3816249999999997</v>
      </c>
      <c r="R120" s="61">
        <f t="shared" si="50"/>
        <v>7.1591999999999993</v>
      </c>
      <c r="S120" s="61">
        <f t="shared" si="50"/>
        <v>6.9348000000000001</v>
      </c>
      <c r="T120" s="61">
        <f t="shared" si="50"/>
        <v>8.4988049999999991</v>
      </c>
      <c r="U120" s="61">
        <f t="shared" si="50"/>
        <v>9.3299149999999997</v>
      </c>
      <c r="V120" s="61">
        <f t="shared" si="50"/>
        <v>8.6518500000000014</v>
      </c>
      <c r="W120" s="61">
        <f t="shared" si="50"/>
        <v>8.3566499999999984</v>
      </c>
      <c r="X120" s="61">
        <f t="shared" si="50"/>
        <v>8.6352049999999991</v>
      </c>
      <c r="Y120" s="61">
        <f t="shared" si="50"/>
        <v>8.6352049999999991</v>
      </c>
      <c r="AA120" s="57">
        <f>SUM(B120:Y120)</f>
        <v>202.94954999999993</v>
      </c>
      <c r="AB120" t="s">
        <v>38</v>
      </c>
      <c r="AC120" t="s">
        <v>207</v>
      </c>
    </row>
    <row r="122" spans="1:53" x14ac:dyDescent="0.25">
      <c r="A122" s="2" t="s">
        <v>14</v>
      </c>
      <c r="B122" s="15" t="s">
        <v>206</v>
      </c>
      <c r="AD122" t="s">
        <v>463</v>
      </c>
    </row>
    <row r="123" spans="1:53" x14ac:dyDescent="0.25">
      <c r="A123" s="127" t="str">
        <f>A$15</f>
        <v xml:space="preserve">Vaches </v>
      </c>
      <c r="B123" s="60">
        <v>0</v>
      </c>
      <c r="C123" s="60">
        <v>0</v>
      </c>
      <c r="D123" s="60">
        <v>0</v>
      </c>
      <c r="E123" s="60">
        <v>0</v>
      </c>
      <c r="F123" s="60">
        <v>1</v>
      </c>
      <c r="G123" s="60">
        <v>1</v>
      </c>
      <c r="H123" s="60">
        <v>1</v>
      </c>
      <c r="I123" s="60">
        <v>1</v>
      </c>
      <c r="J123" s="60">
        <v>1</v>
      </c>
      <c r="K123" s="60">
        <v>1</v>
      </c>
      <c r="L123" s="60">
        <v>1</v>
      </c>
      <c r="M123" s="60">
        <v>1</v>
      </c>
      <c r="N123" s="60">
        <v>1</v>
      </c>
      <c r="O123" s="60">
        <v>1</v>
      </c>
      <c r="P123" s="60">
        <v>1</v>
      </c>
      <c r="Q123" s="60">
        <v>1</v>
      </c>
      <c r="R123" s="60">
        <v>1</v>
      </c>
      <c r="S123" s="60">
        <v>1</v>
      </c>
      <c r="T123" s="60">
        <v>1</v>
      </c>
      <c r="U123" s="60">
        <v>0</v>
      </c>
      <c r="V123" s="60">
        <v>0</v>
      </c>
      <c r="W123" s="60">
        <v>0</v>
      </c>
      <c r="X123" s="60">
        <v>0</v>
      </c>
      <c r="Y123" s="60">
        <v>0</v>
      </c>
      <c r="AD123">
        <v>0</v>
      </c>
      <c r="AE123" s="17">
        <v>0</v>
      </c>
      <c r="AF123">
        <v>0</v>
      </c>
      <c r="AG123">
        <v>0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0</v>
      </c>
      <c r="AX123">
        <v>0</v>
      </c>
      <c r="AY123">
        <v>0</v>
      </c>
      <c r="AZ123">
        <v>0</v>
      </c>
      <c r="BA123">
        <v>0</v>
      </c>
    </row>
    <row r="124" spans="1:53" x14ac:dyDescent="0.25">
      <c r="A124" s="128" t="str">
        <f>A$16</f>
        <v>Génisses 24 mois</v>
      </c>
      <c r="B124" s="60">
        <v>0</v>
      </c>
      <c r="C124" s="60">
        <v>0</v>
      </c>
      <c r="D124" s="60">
        <v>0</v>
      </c>
      <c r="E124" s="60">
        <v>0</v>
      </c>
      <c r="F124" s="60">
        <v>1</v>
      </c>
      <c r="G124" s="60">
        <v>1</v>
      </c>
      <c r="H124" s="60">
        <v>1</v>
      </c>
      <c r="I124" s="60">
        <v>1</v>
      </c>
      <c r="J124" s="60">
        <v>1</v>
      </c>
      <c r="K124" s="60">
        <v>1</v>
      </c>
      <c r="L124" s="60">
        <v>1</v>
      </c>
      <c r="M124" s="60">
        <v>1</v>
      </c>
      <c r="N124" s="60">
        <v>1</v>
      </c>
      <c r="O124" s="60">
        <v>1</v>
      </c>
      <c r="P124" s="60">
        <v>1</v>
      </c>
      <c r="Q124" s="60">
        <v>1</v>
      </c>
      <c r="R124" s="60">
        <v>1</v>
      </c>
      <c r="S124" s="60">
        <v>1</v>
      </c>
      <c r="T124" s="60">
        <v>1</v>
      </c>
      <c r="U124" s="60">
        <v>1</v>
      </c>
      <c r="V124" s="60">
        <v>1</v>
      </c>
      <c r="W124" s="60">
        <v>0</v>
      </c>
      <c r="X124" s="60">
        <v>0</v>
      </c>
      <c r="Y124" s="60">
        <v>0</v>
      </c>
      <c r="AD124">
        <v>0</v>
      </c>
      <c r="AE124" s="17">
        <v>0</v>
      </c>
      <c r="AF124">
        <v>0</v>
      </c>
      <c r="AG124">
        <v>0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</row>
    <row r="125" spans="1:53" x14ac:dyDescent="0.25">
      <c r="A125" s="128" t="str">
        <f>A$17</f>
        <v>Génisses jeunes</v>
      </c>
      <c r="B125" s="60">
        <v>0</v>
      </c>
      <c r="C125" s="60">
        <v>0</v>
      </c>
      <c r="D125" s="60">
        <v>0</v>
      </c>
      <c r="E125" s="60">
        <v>0</v>
      </c>
      <c r="F125" s="60">
        <v>0</v>
      </c>
      <c r="G125" s="60">
        <v>0</v>
      </c>
      <c r="H125" s="60">
        <v>0</v>
      </c>
      <c r="I125" s="60">
        <v>0</v>
      </c>
      <c r="J125" s="60">
        <v>0</v>
      </c>
      <c r="K125" s="60">
        <v>0.3</v>
      </c>
      <c r="L125" s="60">
        <v>0.3</v>
      </c>
      <c r="M125" s="60">
        <v>0.5</v>
      </c>
      <c r="N125" s="60">
        <v>0.5</v>
      </c>
      <c r="O125" s="60">
        <v>0.5</v>
      </c>
      <c r="P125" s="60">
        <v>0.5</v>
      </c>
      <c r="Q125" s="60">
        <v>0.5</v>
      </c>
      <c r="R125" s="60">
        <v>0.5</v>
      </c>
      <c r="S125" s="60">
        <v>0.2</v>
      </c>
      <c r="T125" s="60">
        <v>0.2</v>
      </c>
      <c r="U125" s="60">
        <v>0.2</v>
      </c>
      <c r="V125" s="60">
        <v>0.2</v>
      </c>
      <c r="W125" s="60">
        <v>0</v>
      </c>
      <c r="X125" s="60">
        <v>0</v>
      </c>
      <c r="Y125" s="60">
        <v>0</v>
      </c>
      <c r="AD125">
        <v>0</v>
      </c>
      <c r="AE125" s="17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0.15</v>
      </c>
      <c r="AN125">
        <v>0.15</v>
      </c>
      <c r="AO125">
        <v>0.8</v>
      </c>
      <c r="AP125">
        <v>0.8</v>
      </c>
      <c r="AQ125">
        <v>0.8</v>
      </c>
      <c r="AR125">
        <v>0.8</v>
      </c>
      <c r="AS125">
        <v>0.8</v>
      </c>
      <c r="AT125">
        <v>0.8</v>
      </c>
      <c r="AU125">
        <v>0.2</v>
      </c>
      <c r="AV125">
        <v>0.2</v>
      </c>
      <c r="AW125">
        <v>0.2</v>
      </c>
      <c r="AX125">
        <v>0.2</v>
      </c>
      <c r="AY125">
        <v>0</v>
      </c>
      <c r="AZ125">
        <v>0</v>
      </c>
      <c r="BA125">
        <v>0</v>
      </c>
    </row>
    <row r="126" spans="1:53" x14ac:dyDescent="0.25">
      <c r="A126" s="127" t="str">
        <f>A$18</f>
        <v>broutards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53" x14ac:dyDescent="0.25">
      <c r="A127" s="128" t="str">
        <f>A$19</f>
        <v>génisses &lt; 1 an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53" x14ac:dyDescent="0.25">
      <c r="A128" s="127" t="str">
        <f>A$20</f>
        <v>lot6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31" x14ac:dyDescent="0.25">
      <c r="A129" s="128" t="str">
        <f>A$21</f>
        <v>lot7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</row>
    <row r="130" spans="1:31" x14ac:dyDescent="0.25">
      <c r="A130" s="128" t="str">
        <f>A$22</f>
        <v>lot8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31" x14ac:dyDescent="0.25">
      <c r="A131" s="127" t="str">
        <f>A$23</f>
        <v>lot9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31" x14ac:dyDescent="0.25">
      <c r="A132" s="128" t="str">
        <f>A$24</f>
        <v>lot10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31" s="5" customFormat="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AE133" s="86"/>
    </row>
    <row r="134" spans="1:31" s="5" customFormat="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AE134" s="86"/>
    </row>
    <row r="135" spans="1:31" x14ac:dyDescent="0.25">
      <c r="A135" s="2" t="s">
        <v>15</v>
      </c>
    </row>
    <row r="136" spans="1:31" x14ac:dyDescent="0.25">
      <c r="A136" s="127" t="str">
        <f>A$15</f>
        <v xml:space="preserve">Vaches </v>
      </c>
      <c r="B136" s="61">
        <f>B110*(1-B123)</f>
        <v>5.6178199999999991</v>
      </c>
      <c r="C136" s="61">
        <f t="shared" ref="C136:Y136" si="51">C110*(1-C123)</f>
        <v>5.6178199999999991</v>
      </c>
      <c r="D136" s="61">
        <f t="shared" si="51"/>
        <v>5.0741599999999991</v>
      </c>
      <c r="E136" s="61">
        <f t="shared" si="51"/>
        <v>5.0741599999999991</v>
      </c>
      <c r="F136" s="61">
        <f t="shared" si="51"/>
        <v>0</v>
      </c>
      <c r="G136" s="61">
        <f t="shared" si="51"/>
        <v>0</v>
      </c>
      <c r="H136" s="61">
        <f t="shared" si="51"/>
        <v>0</v>
      </c>
      <c r="I136" s="61">
        <f t="shared" si="51"/>
        <v>0</v>
      </c>
      <c r="J136" s="61">
        <f t="shared" si="51"/>
        <v>0</v>
      </c>
      <c r="K136" s="61">
        <f t="shared" si="51"/>
        <v>0</v>
      </c>
      <c r="L136" s="61">
        <f t="shared" si="51"/>
        <v>0</v>
      </c>
      <c r="M136" s="61">
        <f t="shared" si="51"/>
        <v>0</v>
      </c>
      <c r="N136" s="61">
        <f t="shared" si="51"/>
        <v>0</v>
      </c>
      <c r="O136" s="61">
        <f t="shared" si="51"/>
        <v>0</v>
      </c>
      <c r="P136" s="61">
        <f t="shared" si="51"/>
        <v>0</v>
      </c>
      <c r="Q136" s="61">
        <f t="shared" si="51"/>
        <v>0</v>
      </c>
      <c r="R136" s="61">
        <f t="shared" si="51"/>
        <v>0</v>
      </c>
      <c r="S136" s="61">
        <f t="shared" si="51"/>
        <v>0</v>
      </c>
      <c r="T136" s="61">
        <f t="shared" si="51"/>
        <v>0</v>
      </c>
      <c r="U136" s="61">
        <f t="shared" si="51"/>
        <v>5.4597199999999999</v>
      </c>
      <c r="V136" s="61">
        <f t="shared" si="51"/>
        <v>5.0388000000000002</v>
      </c>
      <c r="W136" s="61">
        <f t="shared" si="51"/>
        <v>5.4365999999999994</v>
      </c>
      <c r="X136" s="61">
        <f t="shared" si="51"/>
        <v>5.6178199999999991</v>
      </c>
      <c r="Y136" s="61">
        <f t="shared" si="51"/>
        <v>5.6178199999999991</v>
      </c>
      <c r="AA136" s="61">
        <f>SUM(B136:Y136)</f>
        <v>48.554719999999996</v>
      </c>
    </row>
    <row r="137" spans="1:31" x14ac:dyDescent="0.25">
      <c r="A137" s="128" t="str">
        <f>A$16</f>
        <v>Génisses 24 mois</v>
      </c>
      <c r="B137" s="61">
        <f t="shared" ref="B137:Y144" si="52">B111*(1-B124)</f>
        <v>1.1903999999999999</v>
      </c>
      <c r="C137" s="61">
        <f t="shared" si="52"/>
        <v>1.1903999999999999</v>
      </c>
      <c r="D137" s="61">
        <f t="shared" si="52"/>
        <v>1.0752000000000002</v>
      </c>
      <c r="E137" s="61">
        <f t="shared" si="52"/>
        <v>1.0752000000000002</v>
      </c>
      <c r="F137" s="61">
        <f t="shared" si="52"/>
        <v>0</v>
      </c>
      <c r="G137" s="61">
        <f t="shared" si="52"/>
        <v>0</v>
      </c>
      <c r="H137" s="61">
        <f t="shared" si="52"/>
        <v>0</v>
      </c>
      <c r="I137" s="61">
        <f t="shared" si="52"/>
        <v>0</v>
      </c>
      <c r="J137" s="61">
        <f t="shared" si="52"/>
        <v>0</v>
      </c>
      <c r="K137" s="61">
        <f t="shared" si="52"/>
        <v>0</v>
      </c>
      <c r="L137" s="61">
        <f t="shared" si="52"/>
        <v>0</v>
      </c>
      <c r="M137" s="61">
        <f t="shared" si="52"/>
        <v>0</v>
      </c>
      <c r="N137" s="61">
        <f t="shared" si="52"/>
        <v>0</v>
      </c>
      <c r="O137" s="61">
        <f t="shared" si="52"/>
        <v>0</v>
      </c>
      <c r="P137" s="61">
        <f t="shared" si="52"/>
        <v>0</v>
      </c>
      <c r="Q137" s="61">
        <f t="shared" si="52"/>
        <v>0</v>
      </c>
      <c r="R137" s="61">
        <f t="shared" si="52"/>
        <v>0</v>
      </c>
      <c r="S137" s="61">
        <f t="shared" si="52"/>
        <v>0</v>
      </c>
      <c r="T137" s="61">
        <f t="shared" si="52"/>
        <v>0</v>
      </c>
      <c r="U137" s="61">
        <f t="shared" si="52"/>
        <v>0</v>
      </c>
      <c r="V137" s="61">
        <f t="shared" si="52"/>
        <v>0</v>
      </c>
      <c r="W137" s="61">
        <f t="shared" si="52"/>
        <v>1.1519999999999999</v>
      </c>
      <c r="X137" s="61">
        <f t="shared" si="52"/>
        <v>1.1903999999999999</v>
      </c>
      <c r="Y137" s="61">
        <f t="shared" si="52"/>
        <v>1.1903999999999999</v>
      </c>
      <c r="AA137" s="61">
        <f>SUM(B137:Y137)</f>
        <v>8.0640000000000001</v>
      </c>
    </row>
    <row r="138" spans="1:31" x14ac:dyDescent="0.25">
      <c r="A138" s="128" t="str">
        <f>A$17</f>
        <v>Génisses jeunes</v>
      </c>
      <c r="B138" s="61">
        <f t="shared" si="52"/>
        <v>0.89279999999999993</v>
      </c>
      <c r="C138" s="61">
        <f t="shared" si="52"/>
        <v>0.89279999999999993</v>
      </c>
      <c r="D138" s="61">
        <f t="shared" si="52"/>
        <v>0.80640000000000001</v>
      </c>
      <c r="E138" s="61">
        <f t="shared" si="52"/>
        <v>0.80640000000000001</v>
      </c>
      <c r="F138" s="61">
        <f t="shared" si="52"/>
        <v>0.89279999999999993</v>
      </c>
      <c r="G138" s="61">
        <f t="shared" si="52"/>
        <v>0.89279999999999993</v>
      </c>
      <c r="H138" s="61">
        <f t="shared" si="52"/>
        <v>0.86399999999999988</v>
      </c>
      <c r="I138" s="61">
        <f t="shared" si="52"/>
        <v>0.86399999999999988</v>
      </c>
      <c r="J138" s="61">
        <f t="shared" si="52"/>
        <v>0.89279999999999993</v>
      </c>
      <c r="K138" s="61">
        <f t="shared" si="52"/>
        <v>0.81244800000000006</v>
      </c>
      <c r="L138" s="61">
        <f t="shared" si="52"/>
        <v>0.78623999999999983</v>
      </c>
      <c r="M138" s="61">
        <f t="shared" si="52"/>
        <v>0.56159999999999988</v>
      </c>
      <c r="N138" s="61">
        <f t="shared" si="52"/>
        <v>0.58032000000000006</v>
      </c>
      <c r="O138" s="61">
        <f t="shared" si="52"/>
        <v>0.58032000000000006</v>
      </c>
      <c r="P138" s="61">
        <f t="shared" si="52"/>
        <v>0.58032000000000006</v>
      </c>
      <c r="Q138" s="61">
        <f t="shared" si="52"/>
        <v>0.58032000000000006</v>
      </c>
      <c r="R138" s="61">
        <f t="shared" si="52"/>
        <v>0.56159999999999988</v>
      </c>
      <c r="S138" s="61">
        <f t="shared" si="52"/>
        <v>0.8985599999999998</v>
      </c>
      <c r="T138" s="61">
        <f t="shared" si="52"/>
        <v>0.92851200000000012</v>
      </c>
      <c r="U138" s="61">
        <f t="shared" si="52"/>
        <v>0.92851200000000012</v>
      </c>
      <c r="V138" s="61">
        <f t="shared" si="52"/>
        <v>0.8985599999999998</v>
      </c>
      <c r="W138" s="61">
        <f t="shared" si="52"/>
        <v>0.86399999999999988</v>
      </c>
      <c r="X138" s="61">
        <f t="shared" si="52"/>
        <v>0.89279999999999993</v>
      </c>
      <c r="Y138" s="61">
        <f t="shared" si="52"/>
        <v>0.89279999999999993</v>
      </c>
      <c r="AA138" s="61">
        <f t="shared" ref="AA138:AA144" si="53">SUM(B138:Y138)</f>
        <v>19.151712000000003</v>
      </c>
    </row>
    <row r="139" spans="1:31" x14ac:dyDescent="0.25">
      <c r="A139" s="127" t="str">
        <f>A$18</f>
        <v>broutards</v>
      </c>
      <c r="B139" s="61">
        <f t="shared" si="52"/>
        <v>0.93418499999999993</v>
      </c>
      <c r="C139" s="61">
        <f t="shared" si="52"/>
        <v>0.93418499999999993</v>
      </c>
      <c r="D139" s="61">
        <f t="shared" si="52"/>
        <v>0.84377999999999975</v>
      </c>
      <c r="E139" s="61">
        <f t="shared" si="52"/>
        <v>0.84377999999999975</v>
      </c>
      <c r="F139" s="61">
        <f t="shared" si="52"/>
        <v>0.93418499999999993</v>
      </c>
      <c r="G139" s="61">
        <f t="shared" si="52"/>
        <v>0.93418499999999993</v>
      </c>
      <c r="H139" s="61">
        <f t="shared" si="52"/>
        <v>0</v>
      </c>
      <c r="I139" s="61">
        <f t="shared" si="52"/>
        <v>0</v>
      </c>
      <c r="J139" s="61">
        <f t="shared" si="52"/>
        <v>0</v>
      </c>
      <c r="K139" s="61">
        <f t="shared" si="52"/>
        <v>0</v>
      </c>
      <c r="L139" s="61">
        <f t="shared" si="52"/>
        <v>0</v>
      </c>
      <c r="M139" s="61">
        <f t="shared" si="52"/>
        <v>0</v>
      </c>
      <c r="N139" s="61">
        <f t="shared" si="52"/>
        <v>0</v>
      </c>
      <c r="O139" s="61">
        <f t="shared" si="52"/>
        <v>0</v>
      </c>
      <c r="P139" s="61">
        <f t="shared" si="52"/>
        <v>0</v>
      </c>
      <c r="Q139" s="61">
        <f t="shared" si="52"/>
        <v>0</v>
      </c>
      <c r="R139" s="61">
        <f t="shared" si="52"/>
        <v>0</v>
      </c>
      <c r="S139" s="61">
        <f t="shared" si="52"/>
        <v>0</v>
      </c>
      <c r="T139" s="61">
        <f t="shared" si="52"/>
        <v>0</v>
      </c>
      <c r="U139" s="61">
        <f t="shared" si="52"/>
        <v>0.84304500000000004</v>
      </c>
      <c r="V139" s="61">
        <f t="shared" si="52"/>
        <v>0.83789999999999987</v>
      </c>
      <c r="W139" s="61">
        <f t="shared" si="52"/>
        <v>0.9040499999999998</v>
      </c>
      <c r="X139" s="61">
        <f t="shared" si="52"/>
        <v>0.93418499999999993</v>
      </c>
      <c r="Y139" s="61">
        <f t="shared" si="52"/>
        <v>0.93418499999999993</v>
      </c>
      <c r="AA139" s="61">
        <f t="shared" si="53"/>
        <v>9.8776649999999986</v>
      </c>
    </row>
    <row r="140" spans="1:31" x14ac:dyDescent="0.25">
      <c r="A140" s="128" t="str">
        <f>A$19</f>
        <v>génisses &lt; 1 an</v>
      </c>
      <c r="B140" s="61">
        <f t="shared" si="52"/>
        <v>0</v>
      </c>
      <c r="C140" s="61">
        <f t="shared" si="52"/>
        <v>0</v>
      </c>
      <c r="D140" s="61">
        <f t="shared" si="52"/>
        <v>9.6039999999999973E-2</v>
      </c>
      <c r="E140" s="61">
        <f t="shared" si="52"/>
        <v>0.14406000000000002</v>
      </c>
      <c r="F140" s="61">
        <f t="shared" si="52"/>
        <v>0.26582499999999998</v>
      </c>
      <c r="G140" s="61">
        <f t="shared" si="52"/>
        <v>0.42531999999999998</v>
      </c>
      <c r="H140" s="61">
        <f t="shared" si="52"/>
        <v>0.46304999999999996</v>
      </c>
      <c r="I140" s="61">
        <f t="shared" si="52"/>
        <v>0.56594999999999995</v>
      </c>
      <c r="J140" s="61">
        <f t="shared" si="52"/>
        <v>0.63797999999999999</v>
      </c>
      <c r="K140" s="61">
        <f t="shared" si="52"/>
        <v>0.63797999999999999</v>
      </c>
      <c r="L140" s="61">
        <f t="shared" si="52"/>
        <v>0.61739999999999995</v>
      </c>
      <c r="M140" s="61">
        <f t="shared" si="52"/>
        <v>0.61739999999999995</v>
      </c>
      <c r="N140" s="61">
        <f t="shared" si="52"/>
        <v>0.63797999999999999</v>
      </c>
      <c r="O140" s="61">
        <f t="shared" si="52"/>
        <v>0.63797999999999999</v>
      </c>
      <c r="P140" s="61">
        <f t="shared" si="52"/>
        <v>0.63797999999999999</v>
      </c>
      <c r="Q140" s="61">
        <f t="shared" si="52"/>
        <v>0.63797999999999999</v>
      </c>
      <c r="R140" s="61">
        <f t="shared" si="52"/>
        <v>0.61739999999999995</v>
      </c>
      <c r="S140" s="61">
        <f t="shared" si="52"/>
        <v>0.61739999999999995</v>
      </c>
      <c r="T140" s="61">
        <f t="shared" si="52"/>
        <v>0.47848499999999999</v>
      </c>
      <c r="U140" s="61">
        <f t="shared" si="52"/>
        <v>0.31899</v>
      </c>
      <c r="V140" s="61">
        <f t="shared" si="52"/>
        <v>0.15435000000000001</v>
      </c>
      <c r="W140" s="61">
        <f t="shared" si="52"/>
        <v>0</v>
      </c>
      <c r="X140" s="61">
        <f t="shared" si="52"/>
        <v>0</v>
      </c>
      <c r="Y140" s="61">
        <f t="shared" si="52"/>
        <v>0</v>
      </c>
      <c r="AA140" s="61">
        <f t="shared" si="53"/>
        <v>9.2095499999999983</v>
      </c>
    </row>
    <row r="141" spans="1:31" x14ac:dyDescent="0.25">
      <c r="A141" s="127" t="str">
        <f>A$20</f>
        <v>lot6</v>
      </c>
      <c r="B141" s="61">
        <f t="shared" si="52"/>
        <v>0</v>
      </c>
      <c r="C141" s="61">
        <f t="shared" si="52"/>
        <v>0</v>
      </c>
      <c r="D141" s="61">
        <f t="shared" si="52"/>
        <v>0</v>
      </c>
      <c r="E141" s="61">
        <f t="shared" si="52"/>
        <v>0</v>
      </c>
      <c r="F141" s="61">
        <f t="shared" si="52"/>
        <v>0</v>
      </c>
      <c r="G141" s="61">
        <f t="shared" si="52"/>
        <v>0</v>
      </c>
      <c r="H141" s="61">
        <f t="shared" si="52"/>
        <v>0</v>
      </c>
      <c r="I141" s="61">
        <f t="shared" si="52"/>
        <v>0</v>
      </c>
      <c r="J141" s="61">
        <f t="shared" si="52"/>
        <v>0</v>
      </c>
      <c r="K141" s="61">
        <f t="shared" si="52"/>
        <v>0</v>
      </c>
      <c r="L141" s="61">
        <f t="shared" si="52"/>
        <v>0</v>
      </c>
      <c r="M141" s="61">
        <f t="shared" si="52"/>
        <v>0</v>
      </c>
      <c r="N141" s="61">
        <f t="shared" si="52"/>
        <v>0</v>
      </c>
      <c r="O141" s="61">
        <f t="shared" si="52"/>
        <v>0</v>
      </c>
      <c r="P141" s="61">
        <f t="shared" si="52"/>
        <v>0</v>
      </c>
      <c r="Q141" s="61">
        <f t="shared" si="52"/>
        <v>0</v>
      </c>
      <c r="R141" s="61">
        <f t="shared" si="52"/>
        <v>0</v>
      </c>
      <c r="S141" s="61">
        <f t="shared" si="52"/>
        <v>0</v>
      </c>
      <c r="T141" s="61">
        <f t="shared" si="52"/>
        <v>0</v>
      </c>
      <c r="U141" s="61">
        <f t="shared" si="52"/>
        <v>0</v>
      </c>
      <c r="V141" s="61">
        <f t="shared" si="52"/>
        <v>0</v>
      </c>
      <c r="W141" s="61">
        <f t="shared" si="52"/>
        <v>0</v>
      </c>
      <c r="X141" s="61">
        <f t="shared" si="52"/>
        <v>0</v>
      </c>
      <c r="Y141" s="61">
        <f t="shared" si="52"/>
        <v>0</v>
      </c>
      <c r="AA141" s="61">
        <f t="shared" si="53"/>
        <v>0</v>
      </c>
    </row>
    <row r="142" spans="1:31" x14ac:dyDescent="0.25">
      <c r="A142" s="128" t="str">
        <f>A$21</f>
        <v>lot7</v>
      </c>
      <c r="B142" s="61">
        <f t="shared" si="52"/>
        <v>0</v>
      </c>
      <c r="C142" s="61">
        <f t="shared" si="52"/>
        <v>0</v>
      </c>
      <c r="D142" s="61">
        <f t="shared" si="52"/>
        <v>0</v>
      </c>
      <c r="E142" s="61">
        <f t="shared" si="52"/>
        <v>0</v>
      </c>
      <c r="F142" s="61">
        <f t="shared" si="52"/>
        <v>0</v>
      </c>
      <c r="G142" s="61">
        <f t="shared" si="52"/>
        <v>0</v>
      </c>
      <c r="H142" s="61">
        <f t="shared" si="52"/>
        <v>0</v>
      </c>
      <c r="I142" s="61">
        <f t="shared" si="52"/>
        <v>0</v>
      </c>
      <c r="J142" s="61">
        <f t="shared" si="52"/>
        <v>0</v>
      </c>
      <c r="K142" s="61">
        <f t="shared" si="52"/>
        <v>0</v>
      </c>
      <c r="L142" s="61">
        <f t="shared" si="52"/>
        <v>0</v>
      </c>
      <c r="M142" s="61">
        <f t="shared" si="52"/>
        <v>0</v>
      </c>
      <c r="N142" s="61">
        <f t="shared" si="52"/>
        <v>0</v>
      </c>
      <c r="O142" s="61">
        <f t="shared" si="52"/>
        <v>0</v>
      </c>
      <c r="P142" s="61">
        <f t="shared" si="52"/>
        <v>0</v>
      </c>
      <c r="Q142" s="61">
        <f t="shared" si="52"/>
        <v>0</v>
      </c>
      <c r="R142" s="61">
        <f t="shared" si="52"/>
        <v>0</v>
      </c>
      <c r="S142" s="61">
        <f t="shared" si="52"/>
        <v>0</v>
      </c>
      <c r="T142" s="61">
        <f t="shared" si="52"/>
        <v>0</v>
      </c>
      <c r="U142" s="61">
        <f t="shared" si="52"/>
        <v>0</v>
      </c>
      <c r="V142" s="61">
        <f t="shared" si="52"/>
        <v>0</v>
      </c>
      <c r="W142" s="61">
        <f t="shared" si="52"/>
        <v>0</v>
      </c>
      <c r="X142" s="61">
        <f t="shared" si="52"/>
        <v>0</v>
      </c>
      <c r="Y142" s="61">
        <f t="shared" si="52"/>
        <v>0</v>
      </c>
      <c r="AA142" s="61">
        <f t="shared" si="53"/>
        <v>0</v>
      </c>
    </row>
    <row r="143" spans="1:31" x14ac:dyDescent="0.25">
      <c r="A143" s="128" t="str">
        <f>A$22</f>
        <v>lot8</v>
      </c>
      <c r="B143" s="61">
        <f t="shared" si="52"/>
        <v>0</v>
      </c>
      <c r="C143" s="61">
        <f t="shared" si="52"/>
        <v>0</v>
      </c>
      <c r="D143" s="61">
        <f t="shared" si="52"/>
        <v>0</v>
      </c>
      <c r="E143" s="61">
        <f t="shared" si="52"/>
        <v>0</v>
      </c>
      <c r="F143" s="61">
        <f t="shared" si="52"/>
        <v>0</v>
      </c>
      <c r="G143" s="61">
        <f t="shared" si="52"/>
        <v>0</v>
      </c>
      <c r="H143" s="61">
        <f t="shared" si="52"/>
        <v>0</v>
      </c>
      <c r="I143" s="61">
        <f t="shared" si="52"/>
        <v>0</v>
      </c>
      <c r="J143" s="61">
        <f t="shared" si="52"/>
        <v>0</v>
      </c>
      <c r="K143" s="61">
        <f t="shared" si="52"/>
        <v>0</v>
      </c>
      <c r="L143" s="61">
        <f t="shared" si="52"/>
        <v>0</v>
      </c>
      <c r="M143" s="61">
        <f t="shared" si="52"/>
        <v>0</v>
      </c>
      <c r="N143" s="61">
        <f t="shared" si="52"/>
        <v>0</v>
      </c>
      <c r="O143" s="61">
        <f t="shared" si="52"/>
        <v>0</v>
      </c>
      <c r="P143" s="61">
        <f t="shared" si="52"/>
        <v>0</v>
      </c>
      <c r="Q143" s="61">
        <f t="shared" si="52"/>
        <v>0</v>
      </c>
      <c r="R143" s="61">
        <f t="shared" si="52"/>
        <v>0</v>
      </c>
      <c r="S143" s="61">
        <f t="shared" si="52"/>
        <v>0</v>
      </c>
      <c r="T143" s="61">
        <f t="shared" si="52"/>
        <v>0</v>
      </c>
      <c r="U143" s="61">
        <f t="shared" si="52"/>
        <v>0</v>
      </c>
      <c r="V143" s="61">
        <f t="shared" si="52"/>
        <v>0</v>
      </c>
      <c r="W143" s="61">
        <f t="shared" si="52"/>
        <v>0</v>
      </c>
      <c r="X143" s="61">
        <f t="shared" si="52"/>
        <v>0</v>
      </c>
      <c r="Y143" s="61">
        <f t="shared" si="52"/>
        <v>0</v>
      </c>
      <c r="AA143" s="61">
        <f t="shared" si="53"/>
        <v>0</v>
      </c>
    </row>
    <row r="144" spans="1:31" x14ac:dyDescent="0.25">
      <c r="A144" s="127" t="str">
        <f>A$23</f>
        <v>lot9</v>
      </c>
      <c r="B144" s="61">
        <f>B118*(1-B131)</f>
        <v>0</v>
      </c>
      <c r="C144" s="61">
        <f t="shared" si="52"/>
        <v>0</v>
      </c>
      <c r="D144" s="61">
        <f t="shared" si="52"/>
        <v>0</v>
      </c>
      <c r="E144" s="61">
        <f t="shared" si="52"/>
        <v>0</v>
      </c>
      <c r="F144" s="61">
        <f t="shared" si="52"/>
        <v>0</v>
      </c>
      <c r="G144" s="61">
        <f t="shared" si="52"/>
        <v>0</v>
      </c>
      <c r="H144" s="61">
        <f t="shared" si="52"/>
        <v>0</v>
      </c>
      <c r="I144" s="61">
        <f t="shared" si="52"/>
        <v>0</v>
      </c>
      <c r="J144" s="61">
        <f t="shared" si="52"/>
        <v>0</v>
      </c>
      <c r="K144" s="61">
        <f t="shared" si="52"/>
        <v>0</v>
      </c>
      <c r="L144" s="61">
        <f t="shared" si="52"/>
        <v>0</v>
      </c>
      <c r="M144" s="61">
        <f t="shared" si="52"/>
        <v>0</v>
      </c>
      <c r="N144" s="61">
        <f t="shared" si="52"/>
        <v>0</v>
      </c>
      <c r="O144" s="61">
        <f t="shared" si="52"/>
        <v>0</v>
      </c>
      <c r="P144" s="61">
        <f t="shared" si="52"/>
        <v>0</v>
      </c>
      <c r="Q144" s="61">
        <f t="shared" si="52"/>
        <v>0</v>
      </c>
      <c r="R144" s="61">
        <f t="shared" si="52"/>
        <v>0</v>
      </c>
      <c r="S144" s="61">
        <f t="shared" si="52"/>
        <v>0</v>
      </c>
      <c r="T144" s="61">
        <f t="shared" si="52"/>
        <v>0</v>
      </c>
      <c r="U144" s="61">
        <f t="shared" si="52"/>
        <v>0</v>
      </c>
      <c r="V144" s="61">
        <f t="shared" si="52"/>
        <v>0</v>
      </c>
      <c r="W144" s="61">
        <f t="shared" si="52"/>
        <v>0</v>
      </c>
      <c r="X144" s="61">
        <f t="shared" si="52"/>
        <v>0</v>
      </c>
      <c r="Y144" s="61">
        <f>Y118*(1-Y131)</f>
        <v>0</v>
      </c>
      <c r="AA144" s="61">
        <f t="shared" si="53"/>
        <v>0</v>
      </c>
    </row>
    <row r="145" spans="1:28" x14ac:dyDescent="0.25">
      <c r="A145" s="128" t="str">
        <f>A$24</f>
        <v>lot10</v>
      </c>
      <c r="B145" s="61">
        <f t="shared" ref="B145:Y145" si="54">B119*(1-B132)</f>
        <v>0</v>
      </c>
      <c r="C145" s="61">
        <f t="shared" si="54"/>
        <v>0</v>
      </c>
      <c r="D145" s="61">
        <f t="shared" si="54"/>
        <v>0</v>
      </c>
      <c r="E145" s="61">
        <f t="shared" si="54"/>
        <v>0</v>
      </c>
      <c r="F145" s="61">
        <f t="shared" si="54"/>
        <v>0</v>
      </c>
      <c r="G145" s="61">
        <f t="shared" si="54"/>
        <v>0</v>
      </c>
      <c r="H145" s="61">
        <f t="shared" si="54"/>
        <v>0</v>
      </c>
      <c r="I145" s="61">
        <f t="shared" si="54"/>
        <v>0</v>
      </c>
      <c r="J145" s="61">
        <f t="shared" si="54"/>
        <v>0</v>
      </c>
      <c r="K145" s="61">
        <f t="shared" si="54"/>
        <v>0</v>
      </c>
      <c r="L145" s="61">
        <f t="shared" si="54"/>
        <v>0</v>
      </c>
      <c r="M145" s="61">
        <f t="shared" si="54"/>
        <v>0</v>
      </c>
      <c r="N145" s="61">
        <f t="shared" si="54"/>
        <v>0</v>
      </c>
      <c r="O145" s="61">
        <f t="shared" si="54"/>
        <v>0</v>
      </c>
      <c r="P145" s="61">
        <f t="shared" si="54"/>
        <v>0</v>
      </c>
      <c r="Q145" s="61">
        <f t="shared" si="54"/>
        <v>0</v>
      </c>
      <c r="R145" s="61">
        <f t="shared" si="54"/>
        <v>0</v>
      </c>
      <c r="S145" s="61">
        <f t="shared" si="54"/>
        <v>0</v>
      </c>
      <c r="T145" s="61">
        <f t="shared" si="54"/>
        <v>0</v>
      </c>
      <c r="U145" s="61">
        <f t="shared" si="54"/>
        <v>0</v>
      </c>
      <c r="V145" s="61">
        <f t="shared" si="54"/>
        <v>0</v>
      </c>
      <c r="W145" s="61">
        <f t="shared" si="54"/>
        <v>0</v>
      </c>
      <c r="X145" s="61">
        <f t="shared" si="54"/>
        <v>0</v>
      </c>
      <c r="Y145" s="61">
        <f t="shared" si="54"/>
        <v>0</v>
      </c>
      <c r="AA145" s="61">
        <f>SUM(B145:Y145)</f>
        <v>0</v>
      </c>
    </row>
    <row r="146" spans="1:28" x14ac:dyDescent="0.25">
      <c r="A146" s="81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AA146" s="90">
        <f>SUM(AA136:AA145)</f>
        <v>94.857646999999986</v>
      </c>
      <c r="AB146" t="s">
        <v>283</v>
      </c>
    </row>
    <row r="147" spans="1:28" x14ac:dyDescent="0.25">
      <c r="A147" s="81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AA147" s="90">
        <f>AA146*(1+AF11/100)</f>
        <v>104.34341169999999</v>
      </c>
      <c r="AB147" t="s">
        <v>298</v>
      </c>
    </row>
    <row r="148" spans="1:28" x14ac:dyDescent="0.25">
      <c r="A148" s="2" t="s">
        <v>208</v>
      </c>
    </row>
    <row r="149" spans="1:28" x14ac:dyDescent="0.25">
      <c r="A149" s="127" t="str">
        <f>A$15</f>
        <v xml:space="preserve">Vaches </v>
      </c>
      <c r="B149" s="61">
        <f t="shared" ref="B149:Y149" si="55">B110-B136</f>
        <v>0</v>
      </c>
      <c r="C149" s="61">
        <f t="shared" si="55"/>
        <v>0</v>
      </c>
      <c r="D149" s="61">
        <f t="shared" si="55"/>
        <v>0</v>
      </c>
      <c r="E149" s="61">
        <f t="shared" si="55"/>
        <v>0</v>
      </c>
      <c r="F149" s="61">
        <f t="shared" si="55"/>
        <v>6.0499599999999996</v>
      </c>
      <c r="G149" s="61">
        <f t="shared" si="55"/>
        <v>6.0499599999999996</v>
      </c>
      <c r="H149" s="61">
        <f t="shared" si="55"/>
        <v>5.1229499999999986</v>
      </c>
      <c r="I149" s="61">
        <f t="shared" si="55"/>
        <v>5.1229499999999986</v>
      </c>
      <c r="J149" s="61">
        <f t="shared" si="55"/>
        <v>5.2937149999999988</v>
      </c>
      <c r="K149" s="61">
        <f t="shared" si="55"/>
        <v>5.2937149999999988</v>
      </c>
      <c r="L149" s="61">
        <f t="shared" si="55"/>
        <v>5.1229499999999986</v>
      </c>
      <c r="M149" s="61">
        <f t="shared" si="55"/>
        <v>5.1229499999999986</v>
      </c>
      <c r="N149" s="61">
        <f t="shared" si="55"/>
        <v>5.2937149999999988</v>
      </c>
      <c r="O149" s="61">
        <f t="shared" si="55"/>
        <v>5.2937149999999988</v>
      </c>
      <c r="P149" s="61">
        <f t="shared" si="55"/>
        <v>5.2937149999999988</v>
      </c>
      <c r="Q149" s="61">
        <f t="shared" si="55"/>
        <v>5.0354849999999995</v>
      </c>
      <c r="R149" s="61">
        <f t="shared" si="55"/>
        <v>4.1513999999999998</v>
      </c>
      <c r="S149" s="61">
        <f t="shared" si="55"/>
        <v>3.927</v>
      </c>
      <c r="T149" s="61">
        <f t="shared" si="55"/>
        <v>5.3121599999999995</v>
      </c>
      <c r="U149" s="61">
        <f t="shared" si="55"/>
        <v>0</v>
      </c>
      <c r="V149" s="61">
        <f t="shared" si="55"/>
        <v>0</v>
      </c>
      <c r="W149" s="61">
        <f t="shared" si="55"/>
        <v>0</v>
      </c>
      <c r="X149" s="61">
        <f t="shared" si="55"/>
        <v>0</v>
      </c>
      <c r="Y149" s="61">
        <f t="shared" si="55"/>
        <v>0</v>
      </c>
    </row>
    <row r="150" spans="1:28" x14ac:dyDescent="0.25">
      <c r="A150" s="128" t="str">
        <f>A$16</f>
        <v>Génisses 24 mois</v>
      </c>
      <c r="B150" s="61">
        <f t="shared" ref="B150:Y150" si="56">B111-B137</f>
        <v>0</v>
      </c>
      <c r="C150" s="61">
        <f t="shared" si="56"/>
        <v>0</v>
      </c>
      <c r="D150" s="61">
        <f t="shared" si="56"/>
        <v>0</v>
      </c>
      <c r="E150" s="61">
        <f t="shared" si="56"/>
        <v>0</v>
      </c>
      <c r="F150" s="61">
        <f t="shared" si="56"/>
        <v>1.54752</v>
      </c>
      <c r="G150" s="61">
        <f t="shared" si="56"/>
        <v>1.54752</v>
      </c>
      <c r="H150" s="61">
        <f t="shared" si="56"/>
        <v>1.4975999999999998</v>
      </c>
      <c r="I150" s="61">
        <f t="shared" si="56"/>
        <v>1.4975999999999998</v>
      </c>
      <c r="J150" s="61">
        <f t="shared" si="56"/>
        <v>1.54752</v>
      </c>
      <c r="K150" s="61">
        <f t="shared" si="56"/>
        <v>1.54752</v>
      </c>
      <c r="L150" s="61">
        <f t="shared" si="56"/>
        <v>1.4975999999999998</v>
      </c>
      <c r="M150" s="61">
        <f t="shared" si="56"/>
        <v>1.4975999999999998</v>
      </c>
      <c r="N150" s="61">
        <f t="shared" si="56"/>
        <v>1.54752</v>
      </c>
      <c r="O150" s="61">
        <f t="shared" si="56"/>
        <v>1.54752</v>
      </c>
      <c r="P150" s="61">
        <f t="shared" si="56"/>
        <v>1.54752</v>
      </c>
      <c r="Q150" s="61">
        <f t="shared" si="56"/>
        <v>1.54752</v>
      </c>
      <c r="R150" s="61">
        <f t="shared" si="56"/>
        <v>1.2671999999999999</v>
      </c>
      <c r="S150" s="61">
        <f t="shared" si="56"/>
        <v>1.2671999999999999</v>
      </c>
      <c r="T150" s="61">
        <f t="shared" si="56"/>
        <v>1.54752</v>
      </c>
      <c r="U150" s="61">
        <f t="shared" si="56"/>
        <v>1.54752</v>
      </c>
      <c r="V150" s="61">
        <f t="shared" si="56"/>
        <v>1.4975999999999998</v>
      </c>
      <c r="W150" s="61">
        <f t="shared" si="56"/>
        <v>0</v>
      </c>
      <c r="X150" s="61">
        <f t="shared" si="56"/>
        <v>0</v>
      </c>
      <c r="Y150" s="61">
        <f t="shared" si="56"/>
        <v>0</v>
      </c>
    </row>
    <row r="151" spans="1:28" x14ac:dyDescent="0.25">
      <c r="A151" s="128" t="str">
        <f>A$17</f>
        <v>Génisses jeunes</v>
      </c>
      <c r="B151" s="61">
        <f t="shared" ref="B151:Y151" si="57">B112-B138</f>
        <v>0</v>
      </c>
      <c r="C151" s="61">
        <f t="shared" si="57"/>
        <v>0</v>
      </c>
      <c r="D151" s="61">
        <f t="shared" si="57"/>
        <v>0</v>
      </c>
      <c r="E151" s="61">
        <f t="shared" si="57"/>
        <v>0</v>
      </c>
      <c r="F151" s="61">
        <f t="shared" si="57"/>
        <v>0</v>
      </c>
      <c r="G151" s="61">
        <f t="shared" si="57"/>
        <v>0</v>
      </c>
      <c r="H151" s="61">
        <f t="shared" si="57"/>
        <v>0</v>
      </c>
      <c r="I151" s="61">
        <f t="shared" si="57"/>
        <v>0</v>
      </c>
      <c r="J151" s="61">
        <f t="shared" si="57"/>
        <v>0</v>
      </c>
      <c r="K151" s="61">
        <f t="shared" si="57"/>
        <v>0.34819200000000006</v>
      </c>
      <c r="L151" s="61">
        <f t="shared" si="57"/>
        <v>0.33695999999999993</v>
      </c>
      <c r="M151" s="61">
        <f t="shared" si="57"/>
        <v>0.56159999999999988</v>
      </c>
      <c r="N151" s="61">
        <f t="shared" si="57"/>
        <v>0.58032000000000006</v>
      </c>
      <c r="O151" s="61">
        <f t="shared" si="57"/>
        <v>0.58032000000000006</v>
      </c>
      <c r="P151" s="61">
        <f t="shared" si="57"/>
        <v>0.58032000000000006</v>
      </c>
      <c r="Q151" s="61">
        <f t="shared" si="57"/>
        <v>0.58032000000000006</v>
      </c>
      <c r="R151" s="61">
        <f t="shared" si="57"/>
        <v>0.56159999999999988</v>
      </c>
      <c r="S151" s="61">
        <f t="shared" si="57"/>
        <v>0.22463999999999995</v>
      </c>
      <c r="T151" s="61">
        <f t="shared" si="57"/>
        <v>0.232128</v>
      </c>
      <c r="U151" s="61">
        <f t="shared" si="57"/>
        <v>0.232128</v>
      </c>
      <c r="V151" s="61">
        <f t="shared" si="57"/>
        <v>0.22463999999999995</v>
      </c>
      <c r="W151" s="61">
        <f t="shared" si="57"/>
        <v>0</v>
      </c>
      <c r="X151" s="61">
        <f t="shared" si="57"/>
        <v>0</v>
      </c>
      <c r="Y151" s="61">
        <f t="shared" si="57"/>
        <v>0</v>
      </c>
    </row>
    <row r="152" spans="1:28" x14ac:dyDescent="0.25">
      <c r="A152" s="127" t="str">
        <f>A$18</f>
        <v>broutards</v>
      </c>
      <c r="B152" s="61">
        <f t="shared" ref="B152:Y152" si="58">B113-B139</f>
        <v>0</v>
      </c>
      <c r="C152" s="61">
        <f t="shared" si="58"/>
        <v>0</v>
      </c>
      <c r="D152" s="61">
        <f t="shared" si="58"/>
        <v>0</v>
      </c>
      <c r="E152" s="61">
        <f t="shared" si="58"/>
        <v>0</v>
      </c>
      <c r="F152" s="61">
        <f t="shared" si="58"/>
        <v>0</v>
      </c>
      <c r="G152" s="61">
        <f t="shared" si="58"/>
        <v>0</v>
      </c>
      <c r="H152" s="61">
        <f t="shared" si="58"/>
        <v>0</v>
      </c>
      <c r="I152" s="61">
        <f t="shared" si="58"/>
        <v>0</v>
      </c>
      <c r="J152" s="61">
        <f t="shared" si="58"/>
        <v>0</v>
      </c>
      <c r="K152" s="61">
        <f t="shared" si="58"/>
        <v>0</v>
      </c>
      <c r="L152" s="61">
        <f t="shared" si="58"/>
        <v>0</v>
      </c>
      <c r="M152" s="61">
        <f t="shared" si="58"/>
        <v>0</v>
      </c>
      <c r="N152" s="61">
        <f t="shared" si="58"/>
        <v>0</v>
      </c>
      <c r="O152" s="61">
        <f t="shared" si="58"/>
        <v>0</v>
      </c>
      <c r="P152" s="61">
        <f t="shared" si="58"/>
        <v>0</v>
      </c>
      <c r="Q152" s="61">
        <f t="shared" si="58"/>
        <v>0</v>
      </c>
      <c r="R152" s="61">
        <f t="shared" si="58"/>
        <v>0</v>
      </c>
      <c r="S152" s="61">
        <f t="shared" si="58"/>
        <v>0</v>
      </c>
      <c r="T152" s="61">
        <f t="shared" si="58"/>
        <v>0</v>
      </c>
      <c r="U152" s="61">
        <f t="shared" si="58"/>
        <v>0</v>
      </c>
      <c r="V152" s="61">
        <f t="shared" si="58"/>
        <v>0</v>
      </c>
      <c r="W152" s="61">
        <f t="shared" si="58"/>
        <v>0</v>
      </c>
      <c r="X152" s="61">
        <f t="shared" si="58"/>
        <v>0</v>
      </c>
      <c r="Y152" s="61">
        <f t="shared" si="58"/>
        <v>0</v>
      </c>
    </row>
    <row r="153" spans="1:28" x14ac:dyDescent="0.25">
      <c r="A153" s="128" t="str">
        <f>A$19</f>
        <v>génisses &lt; 1 an</v>
      </c>
      <c r="B153" s="61">
        <f t="shared" ref="B153:Y153" si="59">B114-B140</f>
        <v>0</v>
      </c>
      <c r="C153" s="61">
        <f t="shared" si="59"/>
        <v>0</v>
      </c>
      <c r="D153" s="61">
        <f t="shared" si="59"/>
        <v>0</v>
      </c>
      <c r="E153" s="61">
        <f t="shared" si="59"/>
        <v>0</v>
      </c>
      <c r="F153" s="61">
        <f t="shared" si="59"/>
        <v>0</v>
      </c>
      <c r="G153" s="61">
        <f t="shared" si="59"/>
        <v>0</v>
      </c>
      <c r="H153" s="61">
        <f t="shared" si="59"/>
        <v>0</v>
      </c>
      <c r="I153" s="61">
        <f t="shared" si="59"/>
        <v>0</v>
      </c>
      <c r="J153" s="61">
        <f t="shared" si="59"/>
        <v>0</v>
      </c>
      <c r="K153" s="61">
        <f t="shared" si="59"/>
        <v>0</v>
      </c>
      <c r="L153" s="61">
        <f t="shared" si="59"/>
        <v>0</v>
      </c>
      <c r="M153" s="61">
        <f t="shared" si="59"/>
        <v>0</v>
      </c>
      <c r="N153" s="61">
        <f t="shared" si="59"/>
        <v>0</v>
      </c>
      <c r="O153" s="61">
        <f t="shared" si="59"/>
        <v>0</v>
      </c>
      <c r="P153" s="61">
        <f t="shared" si="59"/>
        <v>0</v>
      </c>
      <c r="Q153" s="61">
        <f t="shared" si="59"/>
        <v>0</v>
      </c>
      <c r="R153" s="61">
        <f t="shared" si="59"/>
        <v>0</v>
      </c>
      <c r="S153" s="61">
        <f t="shared" si="59"/>
        <v>0</v>
      </c>
      <c r="T153" s="61">
        <f t="shared" si="59"/>
        <v>0</v>
      </c>
      <c r="U153" s="61">
        <f t="shared" si="59"/>
        <v>0</v>
      </c>
      <c r="V153" s="61">
        <f t="shared" si="59"/>
        <v>0</v>
      </c>
      <c r="W153" s="61">
        <f t="shared" si="59"/>
        <v>0</v>
      </c>
      <c r="X153" s="61">
        <f t="shared" si="59"/>
        <v>0</v>
      </c>
      <c r="Y153" s="61">
        <f t="shared" si="59"/>
        <v>0</v>
      </c>
    </row>
    <row r="154" spans="1:28" x14ac:dyDescent="0.25">
      <c r="A154" s="127" t="str">
        <f>A$20</f>
        <v>lot6</v>
      </c>
      <c r="B154" s="61">
        <f t="shared" ref="B154:Y154" si="60">B115-B141</f>
        <v>0</v>
      </c>
      <c r="C154" s="61">
        <f t="shared" si="60"/>
        <v>0</v>
      </c>
      <c r="D154" s="61">
        <f t="shared" si="60"/>
        <v>0</v>
      </c>
      <c r="E154" s="61">
        <f t="shared" si="60"/>
        <v>0</v>
      </c>
      <c r="F154" s="61">
        <f t="shared" si="60"/>
        <v>0</v>
      </c>
      <c r="G154" s="61">
        <f t="shared" si="60"/>
        <v>0</v>
      </c>
      <c r="H154" s="61">
        <f t="shared" si="60"/>
        <v>0</v>
      </c>
      <c r="I154" s="61">
        <f t="shared" si="60"/>
        <v>0</v>
      </c>
      <c r="J154" s="61">
        <f t="shared" si="60"/>
        <v>0</v>
      </c>
      <c r="K154" s="61">
        <f t="shared" si="60"/>
        <v>0</v>
      </c>
      <c r="L154" s="61">
        <f t="shared" si="60"/>
        <v>0</v>
      </c>
      <c r="M154" s="61">
        <f t="shared" si="60"/>
        <v>0</v>
      </c>
      <c r="N154" s="61">
        <f t="shared" si="60"/>
        <v>0</v>
      </c>
      <c r="O154" s="61">
        <f t="shared" si="60"/>
        <v>0</v>
      </c>
      <c r="P154" s="61">
        <f t="shared" si="60"/>
        <v>0</v>
      </c>
      <c r="Q154" s="61">
        <f t="shared" si="60"/>
        <v>0</v>
      </c>
      <c r="R154" s="61">
        <f t="shared" si="60"/>
        <v>0</v>
      </c>
      <c r="S154" s="61">
        <f t="shared" si="60"/>
        <v>0</v>
      </c>
      <c r="T154" s="61">
        <f t="shared" si="60"/>
        <v>0</v>
      </c>
      <c r="U154" s="61">
        <f t="shared" si="60"/>
        <v>0</v>
      </c>
      <c r="V154" s="61">
        <f t="shared" si="60"/>
        <v>0</v>
      </c>
      <c r="W154" s="61">
        <f t="shared" si="60"/>
        <v>0</v>
      </c>
      <c r="X154" s="61">
        <f t="shared" si="60"/>
        <v>0</v>
      </c>
      <c r="Y154" s="61">
        <f t="shared" si="60"/>
        <v>0</v>
      </c>
    </row>
    <row r="155" spans="1:28" x14ac:dyDescent="0.25">
      <c r="A155" s="128" t="str">
        <f>A$21</f>
        <v>lot7</v>
      </c>
      <c r="B155" s="61">
        <f t="shared" ref="B155:Y155" si="61">B116-B142</f>
        <v>0</v>
      </c>
      <c r="C155" s="61">
        <f t="shared" si="61"/>
        <v>0</v>
      </c>
      <c r="D155" s="61">
        <f t="shared" si="61"/>
        <v>0</v>
      </c>
      <c r="E155" s="61">
        <f t="shared" si="61"/>
        <v>0</v>
      </c>
      <c r="F155" s="61">
        <f t="shared" si="61"/>
        <v>0</v>
      </c>
      <c r="G155" s="61">
        <f t="shared" si="61"/>
        <v>0</v>
      </c>
      <c r="H155" s="61">
        <f t="shared" si="61"/>
        <v>0</v>
      </c>
      <c r="I155" s="61">
        <f t="shared" si="61"/>
        <v>0</v>
      </c>
      <c r="J155" s="61">
        <f t="shared" si="61"/>
        <v>0</v>
      </c>
      <c r="K155" s="61">
        <f t="shared" si="61"/>
        <v>0</v>
      </c>
      <c r="L155" s="61">
        <f t="shared" si="61"/>
        <v>0</v>
      </c>
      <c r="M155" s="61">
        <f t="shared" si="61"/>
        <v>0</v>
      </c>
      <c r="N155" s="61">
        <f t="shared" si="61"/>
        <v>0</v>
      </c>
      <c r="O155" s="61">
        <f t="shared" si="61"/>
        <v>0</v>
      </c>
      <c r="P155" s="61">
        <f t="shared" si="61"/>
        <v>0</v>
      </c>
      <c r="Q155" s="61">
        <f t="shared" si="61"/>
        <v>0</v>
      </c>
      <c r="R155" s="61">
        <f t="shared" si="61"/>
        <v>0</v>
      </c>
      <c r="S155" s="61">
        <f t="shared" si="61"/>
        <v>0</v>
      </c>
      <c r="T155" s="61">
        <f t="shared" si="61"/>
        <v>0</v>
      </c>
      <c r="U155" s="61">
        <f t="shared" si="61"/>
        <v>0</v>
      </c>
      <c r="V155" s="61">
        <f t="shared" si="61"/>
        <v>0</v>
      </c>
      <c r="W155" s="61">
        <f t="shared" si="61"/>
        <v>0</v>
      </c>
      <c r="X155" s="61">
        <f t="shared" si="61"/>
        <v>0</v>
      </c>
      <c r="Y155" s="61">
        <f t="shared" si="61"/>
        <v>0</v>
      </c>
    </row>
    <row r="156" spans="1:28" x14ac:dyDescent="0.25">
      <c r="A156" s="128" t="str">
        <f>A$22</f>
        <v>lot8</v>
      </c>
      <c r="B156" s="61">
        <f t="shared" ref="B156:Y156" si="62">B117-B143</f>
        <v>0</v>
      </c>
      <c r="C156" s="61">
        <f t="shared" si="62"/>
        <v>0</v>
      </c>
      <c r="D156" s="61">
        <f t="shared" si="62"/>
        <v>0</v>
      </c>
      <c r="E156" s="61">
        <f t="shared" si="62"/>
        <v>0</v>
      </c>
      <c r="F156" s="61">
        <f t="shared" si="62"/>
        <v>0</v>
      </c>
      <c r="G156" s="61">
        <f t="shared" si="62"/>
        <v>0</v>
      </c>
      <c r="H156" s="61">
        <f t="shared" si="62"/>
        <v>0</v>
      </c>
      <c r="I156" s="61">
        <f t="shared" si="62"/>
        <v>0</v>
      </c>
      <c r="J156" s="61">
        <f t="shared" si="62"/>
        <v>0</v>
      </c>
      <c r="K156" s="61">
        <f t="shared" si="62"/>
        <v>0</v>
      </c>
      <c r="L156" s="61">
        <f t="shared" si="62"/>
        <v>0</v>
      </c>
      <c r="M156" s="61">
        <f t="shared" si="62"/>
        <v>0</v>
      </c>
      <c r="N156" s="61">
        <f t="shared" si="62"/>
        <v>0</v>
      </c>
      <c r="O156" s="61">
        <f t="shared" si="62"/>
        <v>0</v>
      </c>
      <c r="P156" s="61">
        <f t="shared" si="62"/>
        <v>0</v>
      </c>
      <c r="Q156" s="61">
        <f t="shared" si="62"/>
        <v>0</v>
      </c>
      <c r="R156" s="61">
        <f t="shared" si="62"/>
        <v>0</v>
      </c>
      <c r="S156" s="61">
        <f t="shared" si="62"/>
        <v>0</v>
      </c>
      <c r="T156" s="61">
        <f t="shared" si="62"/>
        <v>0</v>
      </c>
      <c r="U156" s="61">
        <f t="shared" si="62"/>
        <v>0</v>
      </c>
      <c r="V156" s="61">
        <f t="shared" si="62"/>
        <v>0</v>
      </c>
      <c r="W156" s="61">
        <f t="shared" si="62"/>
        <v>0</v>
      </c>
      <c r="X156" s="61">
        <f t="shared" si="62"/>
        <v>0</v>
      </c>
      <c r="Y156" s="61">
        <f t="shared" si="62"/>
        <v>0</v>
      </c>
    </row>
    <row r="157" spans="1:28" x14ac:dyDescent="0.25">
      <c r="A157" s="127" t="str">
        <f>A$23</f>
        <v>lot9</v>
      </c>
      <c r="B157" s="61">
        <f t="shared" ref="B157:Y157" si="63">B118-B144</f>
        <v>0</v>
      </c>
      <c r="C157" s="61">
        <f t="shared" si="63"/>
        <v>0</v>
      </c>
      <c r="D157" s="61">
        <f t="shared" si="63"/>
        <v>0</v>
      </c>
      <c r="E157" s="61">
        <f t="shared" si="63"/>
        <v>0</v>
      </c>
      <c r="F157" s="61">
        <f t="shared" si="63"/>
        <v>0</v>
      </c>
      <c r="G157" s="61">
        <f t="shared" si="63"/>
        <v>0</v>
      </c>
      <c r="H157" s="61">
        <f t="shared" si="63"/>
        <v>0</v>
      </c>
      <c r="I157" s="61">
        <f t="shared" si="63"/>
        <v>0</v>
      </c>
      <c r="J157" s="61">
        <f t="shared" si="63"/>
        <v>0</v>
      </c>
      <c r="K157" s="61">
        <f t="shared" si="63"/>
        <v>0</v>
      </c>
      <c r="L157" s="61">
        <f t="shared" si="63"/>
        <v>0</v>
      </c>
      <c r="M157" s="61">
        <f t="shared" si="63"/>
        <v>0</v>
      </c>
      <c r="N157" s="61">
        <f t="shared" si="63"/>
        <v>0</v>
      </c>
      <c r="O157" s="61">
        <f t="shared" si="63"/>
        <v>0</v>
      </c>
      <c r="P157" s="61">
        <f t="shared" si="63"/>
        <v>0</v>
      </c>
      <c r="Q157" s="61">
        <f t="shared" si="63"/>
        <v>0</v>
      </c>
      <c r="R157" s="61">
        <f t="shared" si="63"/>
        <v>0</v>
      </c>
      <c r="S157" s="61">
        <f t="shared" si="63"/>
        <v>0</v>
      </c>
      <c r="T157" s="61">
        <f t="shared" si="63"/>
        <v>0</v>
      </c>
      <c r="U157" s="61">
        <f t="shared" si="63"/>
        <v>0</v>
      </c>
      <c r="V157" s="61">
        <f t="shared" si="63"/>
        <v>0</v>
      </c>
      <c r="W157" s="61">
        <f t="shared" si="63"/>
        <v>0</v>
      </c>
      <c r="X157" s="61">
        <f t="shared" si="63"/>
        <v>0</v>
      </c>
      <c r="Y157" s="61">
        <f t="shared" si="63"/>
        <v>0</v>
      </c>
    </row>
    <row r="158" spans="1:28" x14ac:dyDescent="0.25">
      <c r="A158" s="128" t="str">
        <f>A$24</f>
        <v>lot10</v>
      </c>
      <c r="B158" s="61">
        <f t="shared" ref="B158:Y158" si="64">B119-B145</f>
        <v>0</v>
      </c>
      <c r="C158" s="61">
        <f t="shared" si="64"/>
        <v>0</v>
      </c>
      <c r="D158" s="61">
        <f t="shared" si="64"/>
        <v>0</v>
      </c>
      <c r="E158" s="61">
        <f t="shared" si="64"/>
        <v>0</v>
      </c>
      <c r="F158" s="61">
        <f t="shared" si="64"/>
        <v>0</v>
      </c>
      <c r="G158" s="61">
        <f t="shared" si="64"/>
        <v>0</v>
      </c>
      <c r="H158" s="61">
        <f t="shared" si="64"/>
        <v>0</v>
      </c>
      <c r="I158" s="61">
        <f t="shared" si="64"/>
        <v>0</v>
      </c>
      <c r="J158" s="61">
        <f t="shared" si="64"/>
        <v>0</v>
      </c>
      <c r="K158" s="61">
        <f t="shared" si="64"/>
        <v>0</v>
      </c>
      <c r="L158" s="61">
        <f t="shared" si="64"/>
        <v>0</v>
      </c>
      <c r="M158" s="61">
        <f t="shared" si="64"/>
        <v>0</v>
      </c>
      <c r="N158" s="61">
        <f t="shared" si="64"/>
        <v>0</v>
      </c>
      <c r="O158" s="61">
        <f t="shared" si="64"/>
        <v>0</v>
      </c>
      <c r="P158" s="61">
        <f t="shared" si="64"/>
        <v>0</v>
      </c>
      <c r="Q158" s="61">
        <f t="shared" si="64"/>
        <v>0</v>
      </c>
      <c r="R158" s="61">
        <f t="shared" si="64"/>
        <v>0</v>
      </c>
      <c r="S158" s="61">
        <f t="shared" si="64"/>
        <v>0</v>
      </c>
      <c r="T158" s="61">
        <f t="shared" si="64"/>
        <v>0</v>
      </c>
      <c r="U158" s="61">
        <f t="shared" si="64"/>
        <v>0</v>
      </c>
      <c r="V158" s="61">
        <f t="shared" si="64"/>
        <v>0</v>
      </c>
      <c r="W158" s="61">
        <f t="shared" si="64"/>
        <v>0</v>
      </c>
      <c r="X158" s="61">
        <f t="shared" si="64"/>
        <v>0</v>
      </c>
      <c r="Y158" s="61">
        <f t="shared" si="64"/>
        <v>0</v>
      </c>
    </row>
    <row r="159" spans="1:28" x14ac:dyDescent="0.25">
      <c r="AA159" s="30">
        <f>SUM(B149:Y158)</f>
        <v>108.02710800000007</v>
      </c>
      <c r="AB159" t="s">
        <v>222</v>
      </c>
    </row>
    <row r="161" spans="1:28" x14ac:dyDescent="0.25">
      <c r="A161" s="2" t="s">
        <v>210</v>
      </c>
    </row>
    <row r="162" spans="1:28" x14ac:dyDescent="0.25">
      <c r="A162" s="127" t="str">
        <f>A$15</f>
        <v xml:space="preserve">Vaches </v>
      </c>
      <c r="B162" s="61">
        <f t="shared" ref="B162:Y162" si="65">IF(B76=1,B149,0)</f>
        <v>0</v>
      </c>
      <c r="C162" s="61">
        <f t="shared" si="65"/>
        <v>0</v>
      </c>
      <c r="D162" s="61">
        <f t="shared" si="65"/>
        <v>0</v>
      </c>
      <c r="E162" s="61">
        <f t="shared" si="65"/>
        <v>0</v>
      </c>
      <c r="F162" s="61">
        <f t="shared" si="65"/>
        <v>6.0499599999999996</v>
      </c>
      <c r="G162" s="61">
        <f t="shared" si="65"/>
        <v>6.0499599999999996</v>
      </c>
      <c r="H162" s="61">
        <f t="shared" si="65"/>
        <v>5.1229499999999986</v>
      </c>
      <c r="I162" s="61">
        <f t="shared" si="65"/>
        <v>5.1229499999999986</v>
      </c>
      <c r="J162" s="61">
        <f t="shared" si="65"/>
        <v>5.2937149999999988</v>
      </c>
      <c r="K162" s="61">
        <f t="shared" si="65"/>
        <v>5.2937149999999988</v>
      </c>
      <c r="L162" s="61">
        <f t="shared" si="65"/>
        <v>5.1229499999999986</v>
      </c>
      <c r="M162" s="61">
        <f t="shared" si="65"/>
        <v>5.1229499999999986</v>
      </c>
      <c r="N162" s="61">
        <f t="shared" si="65"/>
        <v>5.2937149999999988</v>
      </c>
      <c r="O162" s="61">
        <f t="shared" si="65"/>
        <v>5.2937149999999988</v>
      </c>
      <c r="P162" s="61">
        <f t="shared" si="65"/>
        <v>5.2937149999999988</v>
      </c>
      <c r="Q162" s="61">
        <f t="shared" si="65"/>
        <v>5.0354849999999995</v>
      </c>
      <c r="R162" s="61">
        <f t="shared" si="65"/>
        <v>4.1513999999999998</v>
      </c>
      <c r="S162" s="61">
        <f t="shared" si="65"/>
        <v>3.927</v>
      </c>
      <c r="T162" s="61">
        <f t="shared" si="65"/>
        <v>5.3121599999999995</v>
      </c>
      <c r="U162" s="61">
        <f t="shared" si="65"/>
        <v>0</v>
      </c>
      <c r="V162" s="61">
        <f t="shared" si="65"/>
        <v>0</v>
      </c>
      <c r="W162" s="61">
        <f t="shared" si="65"/>
        <v>0</v>
      </c>
      <c r="X162" s="61">
        <f t="shared" si="65"/>
        <v>0</v>
      </c>
      <c r="Y162" s="61">
        <f t="shared" si="65"/>
        <v>0</v>
      </c>
    </row>
    <row r="163" spans="1:28" x14ac:dyDescent="0.25">
      <c r="A163" s="128" t="str">
        <f>A$16</f>
        <v>Génisses 24 mois</v>
      </c>
      <c r="B163" s="61">
        <f t="shared" ref="B163:Y163" si="66">IF(B77=1,B150,0)</f>
        <v>0</v>
      </c>
      <c r="C163" s="61">
        <f t="shared" si="66"/>
        <v>0</v>
      </c>
      <c r="D163" s="61">
        <f t="shared" si="66"/>
        <v>0</v>
      </c>
      <c r="E163" s="61">
        <f t="shared" si="66"/>
        <v>0</v>
      </c>
      <c r="F163" s="61">
        <f t="shared" si="66"/>
        <v>1.54752</v>
      </c>
      <c r="G163" s="61">
        <f t="shared" si="66"/>
        <v>1.54752</v>
      </c>
      <c r="H163" s="61">
        <f t="shared" si="66"/>
        <v>1.4975999999999998</v>
      </c>
      <c r="I163" s="61">
        <f t="shared" si="66"/>
        <v>1.4975999999999998</v>
      </c>
      <c r="J163" s="61">
        <f t="shared" si="66"/>
        <v>1.54752</v>
      </c>
      <c r="K163" s="61">
        <f t="shared" si="66"/>
        <v>1.54752</v>
      </c>
      <c r="L163" s="61">
        <f t="shared" si="66"/>
        <v>1.4975999999999998</v>
      </c>
      <c r="M163" s="61">
        <f t="shared" si="66"/>
        <v>1.4975999999999998</v>
      </c>
      <c r="N163" s="61">
        <f t="shared" si="66"/>
        <v>1.54752</v>
      </c>
      <c r="O163" s="61">
        <f t="shared" si="66"/>
        <v>1.54752</v>
      </c>
      <c r="P163" s="61">
        <f t="shared" si="66"/>
        <v>1.54752</v>
      </c>
      <c r="Q163" s="61">
        <f t="shared" si="66"/>
        <v>1.54752</v>
      </c>
      <c r="R163" s="61">
        <f t="shared" si="66"/>
        <v>1.2671999999999999</v>
      </c>
      <c r="S163" s="61">
        <f t="shared" si="66"/>
        <v>1.2671999999999999</v>
      </c>
      <c r="T163" s="61">
        <f t="shared" si="66"/>
        <v>1.54752</v>
      </c>
      <c r="U163" s="61">
        <f t="shared" si="66"/>
        <v>1.54752</v>
      </c>
      <c r="V163" s="61">
        <f t="shared" si="66"/>
        <v>1.4975999999999998</v>
      </c>
      <c r="W163" s="61">
        <f t="shared" si="66"/>
        <v>0</v>
      </c>
      <c r="X163" s="61">
        <f t="shared" si="66"/>
        <v>0</v>
      </c>
      <c r="Y163" s="61">
        <f t="shared" si="66"/>
        <v>0</v>
      </c>
    </row>
    <row r="164" spans="1:28" x14ac:dyDescent="0.25">
      <c r="A164" s="128" t="str">
        <f>A$17</f>
        <v>Génisses jeunes</v>
      </c>
      <c r="B164" s="61">
        <f t="shared" ref="B164:Y164" si="67">IF(B78=1,B151,0)</f>
        <v>0</v>
      </c>
      <c r="C164" s="61">
        <f t="shared" si="67"/>
        <v>0</v>
      </c>
      <c r="D164" s="61">
        <f t="shared" si="67"/>
        <v>0</v>
      </c>
      <c r="E164" s="61">
        <f t="shared" si="67"/>
        <v>0</v>
      </c>
      <c r="F164" s="61">
        <f t="shared" si="67"/>
        <v>0</v>
      </c>
      <c r="G164" s="61">
        <f t="shared" si="67"/>
        <v>0</v>
      </c>
      <c r="H164" s="61">
        <f t="shared" si="67"/>
        <v>0</v>
      </c>
      <c r="I164" s="61">
        <f t="shared" si="67"/>
        <v>0</v>
      </c>
      <c r="J164" s="61">
        <f t="shared" si="67"/>
        <v>0</v>
      </c>
      <c r="K164" s="61">
        <f t="shared" si="67"/>
        <v>0.34819200000000006</v>
      </c>
      <c r="L164" s="61">
        <f t="shared" si="67"/>
        <v>0.33695999999999993</v>
      </c>
      <c r="M164" s="61">
        <f t="shared" si="67"/>
        <v>0.56159999999999988</v>
      </c>
      <c r="N164" s="61">
        <f t="shared" si="67"/>
        <v>0.58032000000000006</v>
      </c>
      <c r="O164" s="61">
        <f t="shared" si="67"/>
        <v>0.58032000000000006</v>
      </c>
      <c r="P164" s="61">
        <f t="shared" si="67"/>
        <v>0.58032000000000006</v>
      </c>
      <c r="Q164" s="61">
        <f t="shared" si="67"/>
        <v>0.58032000000000006</v>
      </c>
      <c r="R164" s="61">
        <f t="shared" si="67"/>
        <v>0.56159999999999988</v>
      </c>
      <c r="S164" s="61">
        <f t="shared" si="67"/>
        <v>0.22463999999999995</v>
      </c>
      <c r="T164" s="61">
        <f t="shared" si="67"/>
        <v>0.232128</v>
      </c>
      <c r="U164" s="61">
        <f t="shared" si="67"/>
        <v>0.232128</v>
      </c>
      <c r="V164" s="61">
        <f t="shared" si="67"/>
        <v>0.22463999999999995</v>
      </c>
      <c r="W164" s="61">
        <f t="shared" si="67"/>
        <v>0</v>
      </c>
      <c r="X164" s="61">
        <f t="shared" si="67"/>
        <v>0</v>
      </c>
      <c r="Y164" s="61">
        <f t="shared" si="67"/>
        <v>0</v>
      </c>
    </row>
    <row r="165" spans="1:28" x14ac:dyDescent="0.25">
      <c r="A165" s="127" t="str">
        <f>A$18</f>
        <v>broutards</v>
      </c>
      <c r="B165" s="61">
        <f t="shared" ref="B165:Y165" si="68">IF(B79=1,B152,0)</f>
        <v>0</v>
      </c>
      <c r="C165" s="61">
        <f t="shared" si="68"/>
        <v>0</v>
      </c>
      <c r="D165" s="61">
        <f t="shared" si="68"/>
        <v>0</v>
      </c>
      <c r="E165" s="61">
        <f t="shared" si="68"/>
        <v>0</v>
      </c>
      <c r="F165" s="61">
        <f t="shared" si="68"/>
        <v>0</v>
      </c>
      <c r="G165" s="61">
        <f t="shared" si="68"/>
        <v>0</v>
      </c>
      <c r="H165" s="61">
        <f t="shared" si="68"/>
        <v>0</v>
      </c>
      <c r="I165" s="61">
        <f t="shared" si="68"/>
        <v>0</v>
      </c>
      <c r="J165" s="61">
        <f t="shared" si="68"/>
        <v>0</v>
      </c>
      <c r="K165" s="61">
        <f t="shared" si="68"/>
        <v>0</v>
      </c>
      <c r="L165" s="61">
        <f t="shared" si="68"/>
        <v>0</v>
      </c>
      <c r="M165" s="61">
        <f t="shared" si="68"/>
        <v>0</v>
      </c>
      <c r="N165" s="61">
        <f t="shared" si="68"/>
        <v>0</v>
      </c>
      <c r="O165" s="61">
        <f t="shared" si="68"/>
        <v>0</v>
      </c>
      <c r="P165" s="61">
        <f t="shared" si="68"/>
        <v>0</v>
      </c>
      <c r="Q165" s="61">
        <f t="shared" si="68"/>
        <v>0</v>
      </c>
      <c r="R165" s="61">
        <f t="shared" si="68"/>
        <v>0</v>
      </c>
      <c r="S165" s="61">
        <f t="shared" si="68"/>
        <v>0</v>
      </c>
      <c r="T165" s="61">
        <f t="shared" si="68"/>
        <v>0</v>
      </c>
      <c r="U165" s="61">
        <f t="shared" si="68"/>
        <v>0</v>
      </c>
      <c r="V165" s="61">
        <f t="shared" si="68"/>
        <v>0</v>
      </c>
      <c r="W165" s="61">
        <f t="shared" si="68"/>
        <v>0</v>
      </c>
      <c r="X165" s="61">
        <f t="shared" si="68"/>
        <v>0</v>
      </c>
      <c r="Y165" s="61">
        <f t="shared" si="68"/>
        <v>0</v>
      </c>
    </row>
    <row r="166" spans="1:28" x14ac:dyDescent="0.25">
      <c r="A166" s="128" t="str">
        <f>A$19</f>
        <v>génisses &lt; 1 an</v>
      </c>
      <c r="B166" s="61">
        <f t="shared" ref="B166:Y166" si="69">IF(B80=1,B153,0)</f>
        <v>0</v>
      </c>
      <c r="C166" s="61">
        <f t="shared" si="69"/>
        <v>0</v>
      </c>
      <c r="D166" s="61">
        <f t="shared" si="69"/>
        <v>0</v>
      </c>
      <c r="E166" s="61">
        <f t="shared" si="69"/>
        <v>0</v>
      </c>
      <c r="F166" s="61">
        <f t="shared" si="69"/>
        <v>0</v>
      </c>
      <c r="G166" s="61">
        <f t="shared" si="69"/>
        <v>0</v>
      </c>
      <c r="H166" s="61">
        <f t="shared" si="69"/>
        <v>0</v>
      </c>
      <c r="I166" s="61">
        <f t="shared" si="69"/>
        <v>0</v>
      </c>
      <c r="J166" s="61">
        <f t="shared" si="69"/>
        <v>0</v>
      </c>
      <c r="K166" s="61">
        <f t="shared" si="69"/>
        <v>0</v>
      </c>
      <c r="L166" s="61">
        <f t="shared" si="69"/>
        <v>0</v>
      </c>
      <c r="M166" s="61">
        <f t="shared" si="69"/>
        <v>0</v>
      </c>
      <c r="N166" s="61">
        <f t="shared" si="69"/>
        <v>0</v>
      </c>
      <c r="O166" s="61">
        <f t="shared" si="69"/>
        <v>0</v>
      </c>
      <c r="P166" s="61">
        <f t="shared" si="69"/>
        <v>0</v>
      </c>
      <c r="Q166" s="61">
        <f t="shared" si="69"/>
        <v>0</v>
      </c>
      <c r="R166" s="61">
        <f t="shared" si="69"/>
        <v>0</v>
      </c>
      <c r="S166" s="61">
        <f t="shared" si="69"/>
        <v>0</v>
      </c>
      <c r="T166" s="61">
        <f t="shared" si="69"/>
        <v>0</v>
      </c>
      <c r="U166" s="61">
        <f t="shared" si="69"/>
        <v>0</v>
      </c>
      <c r="V166" s="61">
        <f t="shared" si="69"/>
        <v>0</v>
      </c>
      <c r="W166" s="61">
        <f t="shared" si="69"/>
        <v>0</v>
      </c>
      <c r="X166" s="61">
        <f t="shared" si="69"/>
        <v>0</v>
      </c>
      <c r="Y166" s="61">
        <f t="shared" si="69"/>
        <v>0</v>
      </c>
    </row>
    <row r="167" spans="1:28" x14ac:dyDescent="0.25">
      <c r="A167" s="127" t="str">
        <f>A$20</f>
        <v>lot6</v>
      </c>
      <c r="B167" s="61">
        <f t="shared" ref="B167:Y167" si="70">IF(B81=1,B154,0)</f>
        <v>0</v>
      </c>
      <c r="C167" s="61">
        <f t="shared" si="70"/>
        <v>0</v>
      </c>
      <c r="D167" s="61">
        <f t="shared" si="70"/>
        <v>0</v>
      </c>
      <c r="E167" s="61">
        <f t="shared" si="70"/>
        <v>0</v>
      </c>
      <c r="F167" s="61">
        <f t="shared" si="70"/>
        <v>0</v>
      </c>
      <c r="G167" s="61">
        <f t="shared" si="70"/>
        <v>0</v>
      </c>
      <c r="H167" s="61">
        <f t="shared" si="70"/>
        <v>0</v>
      </c>
      <c r="I167" s="61">
        <f t="shared" si="70"/>
        <v>0</v>
      </c>
      <c r="J167" s="61">
        <f t="shared" si="70"/>
        <v>0</v>
      </c>
      <c r="K167" s="61">
        <f t="shared" si="70"/>
        <v>0</v>
      </c>
      <c r="L167" s="61">
        <f t="shared" si="70"/>
        <v>0</v>
      </c>
      <c r="M167" s="61">
        <f t="shared" si="70"/>
        <v>0</v>
      </c>
      <c r="N167" s="61">
        <f t="shared" si="70"/>
        <v>0</v>
      </c>
      <c r="O167" s="61">
        <f t="shared" si="70"/>
        <v>0</v>
      </c>
      <c r="P167" s="61">
        <f t="shared" si="70"/>
        <v>0</v>
      </c>
      <c r="Q167" s="61">
        <f t="shared" si="70"/>
        <v>0</v>
      </c>
      <c r="R167" s="61">
        <f t="shared" si="70"/>
        <v>0</v>
      </c>
      <c r="S167" s="61">
        <f t="shared" si="70"/>
        <v>0</v>
      </c>
      <c r="T167" s="61">
        <f t="shared" si="70"/>
        <v>0</v>
      </c>
      <c r="U167" s="61">
        <f t="shared" si="70"/>
        <v>0</v>
      </c>
      <c r="V167" s="61">
        <f t="shared" si="70"/>
        <v>0</v>
      </c>
      <c r="W167" s="61">
        <f t="shared" si="70"/>
        <v>0</v>
      </c>
      <c r="X167" s="61">
        <f t="shared" si="70"/>
        <v>0</v>
      </c>
      <c r="Y167" s="61">
        <f t="shared" si="70"/>
        <v>0</v>
      </c>
    </row>
    <row r="168" spans="1:28" x14ac:dyDescent="0.25">
      <c r="A168" s="128" t="str">
        <f>A$21</f>
        <v>lot7</v>
      </c>
      <c r="B168" s="61">
        <f t="shared" ref="B168:Y168" si="71">IF(B82=1,B155,0)</f>
        <v>0</v>
      </c>
      <c r="C168" s="61">
        <f t="shared" si="71"/>
        <v>0</v>
      </c>
      <c r="D168" s="61">
        <f t="shared" si="71"/>
        <v>0</v>
      </c>
      <c r="E168" s="61">
        <f t="shared" si="71"/>
        <v>0</v>
      </c>
      <c r="F168" s="61">
        <f t="shared" si="71"/>
        <v>0</v>
      </c>
      <c r="G168" s="61">
        <f t="shared" si="71"/>
        <v>0</v>
      </c>
      <c r="H168" s="61">
        <f t="shared" si="71"/>
        <v>0</v>
      </c>
      <c r="I168" s="61">
        <f t="shared" si="71"/>
        <v>0</v>
      </c>
      <c r="J168" s="61">
        <f t="shared" si="71"/>
        <v>0</v>
      </c>
      <c r="K168" s="61">
        <f t="shared" si="71"/>
        <v>0</v>
      </c>
      <c r="L168" s="61">
        <f t="shared" si="71"/>
        <v>0</v>
      </c>
      <c r="M168" s="61">
        <f t="shared" si="71"/>
        <v>0</v>
      </c>
      <c r="N168" s="61">
        <f t="shared" si="71"/>
        <v>0</v>
      </c>
      <c r="O168" s="61">
        <f t="shared" si="71"/>
        <v>0</v>
      </c>
      <c r="P168" s="61">
        <f t="shared" si="71"/>
        <v>0</v>
      </c>
      <c r="Q168" s="61">
        <f t="shared" si="71"/>
        <v>0</v>
      </c>
      <c r="R168" s="61">
        <f t="shared" si="71"/>
        <v>0</v>
      </c>
      <c r="S168" s="61">
        <f t="shared" si="71"/>
        <v>0</v>
      </c>
      <c r="T168" s="61">
        <f t="shared" si="71"/>
        <v>0</v>
      </c>
      <c r="U168" s="61">
        <f t="shared" si="71"/>
        <v>0</v>
      </c>
      <c r="V168" s="61">
        <f t="shared" si="71"/>
        <v>0</v>
      </c>
      <c r="W168" s="61">
        <f t="shared" si="71"/>
        <v>0</v>
      </c>
      <c r="X168" s="61">
        <f t="shared" si="71"/>
        <v>0</v>
      </c>
      <c r="Y168" s="61">
        <f t="shared" si="71"/>
        <v>0</v>
      </c>
    </row>
    <row r="169" spans="1:28" x14ac:dyDescent="0.25">
      <c r="A169" s="128" t="str">
        <f>A$22</f>
        <v>lot8</v>
      </c>
      <c r="B169" s="61">
        <f t="shared" ref="B169:Y169" si="72">IF(B83=1,B156,0)</f>
        <v>0</v>
      </c>
      <c r="C169" s="61">
        <f t="shared" si="72"/>
        <v>0</v>
      </c>
      <c r="D169" s="61">
        <f t="shared" si="72"/>
        <v>0</v>
      </c>
      <c r="E169" s="61">
        <f t="shared" si="72"/>
        <v>0</v>
      </c>
      <c r="F169" s="61">
        <f t="shared" si="72"/>
        <v>0</v>
      </c>
      <c r="G169" s="61">
        <f t="shared" si="72"/>
        <v>0</v>
      </c>
      <c r="H169" s="61">
        <f t="shared" si="72"/>
        <v>0</v>
      </c>
      <c r="I169" s="61">
        <f t="shared" si="72"/>
        <v>0</v>
      </c>
      <c r="J169" s="61">
        <f t="shared" si="72"/>
        <v>0</v>
      </c>
      <c r="K169" s="61">
        <f t="shared" si="72"/>
        <v>0</v>
      </c>
      <c r="L169" s="61">
        <f t="shared" si="72"/>
        <v>0</v>
      </c>
      <c r="M169" s="61">
        <f t="shared" si="72"/>
        <v>0</v>
      </c>
      <c r="N169" s="61">
        <f t="shared" si="72"/>
        <v>0</v>
      </c>
      <c r="O169" s="61">
        <f t="shared" si="72"/>
        <v>0</v>
      </c>
      <c r="P169" s="61">
        <f t="shared" si="72"/>
        <v>0</v>
      </c>
      <c r="Q169" s="61">
        <f t="shared" si="72"/>
        <v>0</v>
      </c>
      <c r="R169" s="61">
        <f t="shared" si="72"/>
        <v>0</v>
      </c>
      <c r="S169" s="61">
        <f t="shared" si="72"/>
        <v>0</v>
      </c>
      <c r="T169" s="61">
        <f t="shared" si="72"/>
        <v>0</v>
      </c>
      <c r="U169" s="61">
        <f t="shared" si="72"/>
        <v>0</v>
      </c>
      <c r="V169" s="61">
        <f t="shared" si="72"/>
        <v>0</v>
      </c>
      <c r="W169" s="61">
        <f t="shared" si="72"/>
        <v>0</v>
      </c>
      <c r="X169" s="61">
        <f t="shared" si="72"/>
        <v>0</v>
      </c>
      <c r="Y169" s="61">
        <f t="shared" si="72"/>
        <v>0</v>
      </c>
    </row>
    <row r="170" spans="1:28" x14ac:dyDescent="0.25">
      <c r="A170" s="127" t="str">
        <f>A$23</f>
        <v>lot9</v>
      </c>
      <c r="B170" s="61">
        <f t="shared" ref="B170:Y170" si="73">IF(B84=1,B157,0)</f>
        <v>0</v>
      </c>
      <c r="C170" s="61">
        <f t="shared" si="73"/>
        <v>0</v>
      </c>
      <c r="D170" s="61">
        <f t="shared" si="73"/>
        <v>0</v>
      </c>
      <c r="E170" s="61">
        <f t="shared" si="73"/>
        <v>0</v>
      </c>
      <c r="F170" s="61">
        <f t="shared" si="73"/>
        <v>0</v>
      </c>
      <c r="G170" s="61">
        <f t="shared" si="73"/>
        <v>0</v>
      </c>
      <c r="H170" s="61">
        <f t="shared" si="73"/>
        <v>0</v>
      </c>
      <c r="I170" s="61">
        <f t="shared" si="73"/>
        <v>0</v>
      </c>
      <c r="J170" s="61">
        <f t="shared" si="73"/>
        <v>0</v>
      </c>
      <c r="K170" s="61">
        <f t="shared" si="73"/>
        <v>0</v>
      </c>
      <c r="L170" s="61">
        <f t="shared" si="73"/>
        <v>0</v>
      </c>
      <c r="M170" s="61">
        <f t="shared" si="73"/>
        <v>0</v>
      </c>
      <c r="N170" s="61">
        <f t="shared" si="73"/>
        <v>0</v>
      </c>
      <c r="O170" s="61">
        <f t="shared" si="73"/>
        <v>0</v>
      </c>
      <c r="P170" s="61">
        <f t="shared" si="73"/>
        <v>0</v>
      </c>
      <c r="Q170" s="61">
        <f t="shared" si="73"/>
        <v>0</v>
      </c>
      <c r="R170" s="61">
        <f t="shared" si="73"/>
        <v>0</v>
      </c>
      <c r="S170" s="61">
        <f t="shared" si="73"/>
        <v>0</v>
      </c>
      <c r="T170" s="61">
        <f t="shared" si="73"/>
        <v>0</v>
      </c>
      <c r="U170" s="61">
        <f t="shared" si="73"/>
        <v>0</v>
      </c>
      <c r="V170" s="61">
        <f t="shared" si="73"/>
        <v>0</v>
      </c>
      <c r="W170" s="61">
        <f t="shared" si="73"/>
        <v>0</v>
      </c>
      <c r="X170" s="61">
        <f t="shared" si="73"/>
        <v>0</v>
      </c>
      <c r="Y170" s="61">
        <f t="shared" si="73"/>
        <v>0</v>
      </c>
    </row>
    <row r="171" spans="1:28" x14ac:dyDescent="0.25">
      <c r="A171" s="128" t="str">
        <f>A$24</f>
        <v>lot10</v>
      </c>
      <c r="B171" s="61">
        <f t="shared" ref="B171:Y171" si="74">IF(B85=1,B158,0)</f>
        <v>0</v>
      </c>
      <c r="C171" s="61">
        <f t="shared" si="74"/>
        <v>0</v>
      </c>
      <c r="D171" s="61">
        <f t="shared" si="74"/>
        <v>0</v>
      </c>
      <c r="E171" s="61">
        <f t="shared" si="74"/>
        <v>0</v>
      </c>
      <c r="F171" s="61">
        <f t="shared" si="74"/>
        <v>0</v>
      </c>
      <c r="G171" s="61">
        <f t="shared" si="74"/>
        <v>0</v>
      </c>
      <c r="H171" s="61">
        <f t="shared" si="74"/>
        <v>0</v>
      </c>
      <c r="I171" s="61">
        <f t="shared" si="74"/>
        <v>0</v>
      </c>
      <c r="J171" s="61">
        <f t="shared" si="74"/>
        <v>0</v>
      </c>
      <c r="K171" s="61">
        <f t="shared" si="74"/>
        <v>0</v>
      </c>
      <c r="L171" s="61">
        <f t="shared" si="74"/>
        <v>0</v>
      </c>
      <c r="M171" s="61">
        <f t="shared" si="74"/>
        <v>0</v>
      </c>
      <c r="N171" s="61">
        <f t="shared" si="74"/>
        <v>0</v>
      </c>
      <c r="O171" s="61">
        <f t="shared" si="74"/>
        <v>0</v>
      </c>
      <c r="P171" s="61">
        <f t="shared" si="74"/>
        <v>0</v>
      </c>
      <c r="Q171" s="61">
        <f t="shared" si="74"/>
        <v>0</v>
      </c>
      <c r="R171" s="61">
        <f t="shared" si="74"/>
        <v>0</v>
      </c>
      <c r="S171" s="61">
        <f t="shared" si="74"/>
        <v>0</v>
      </c>
      <c r="T171" s="61">
        <f t="shared" si="74"/>
        <v>0</v>
      </c>
      <c r="U171" s="61">
        <f t="shared" si="74"/>
        <v>0</v>
      </c>
      <c r="V171" s="61">
        <f t="shared" si="74"/>
        <v>0</v>
      </c>
      <c r="W171" s="61">
        <f t="shared" si="74"/>
        <v>0</v>
      </c>
      <c r="X171" s="61">
        <f t="shared" si="74"/>
        <v>0</v>
      </c>
      <c r="Y171" s="61">
        <f t="shared" si="74"/>
        <v>0</v>
      </c>
    </row>
    <row r="172" spans="1:28" x14ac:dyDescent="0.25">
      <c r="A172" s="38" t="s">
        <v>211</v>
      </c>
      <c r="B172" s="61">
        <f>SUM(B162:B171)</f>
        <v>0</v>
      </c>
      <c r="C172" s="61">
        <f t="shared" ref="C172:Y172" si="75">SUM(C162:C171)</f>
        <v>0</v>
      </c>
      <c r="D172" s="61">
        <f t="shared" si="75"/>
        <v>0</v>
      </c>
      <c r="E172" s="61">
        <f t="shared" si="75"/>
        <v>0</v>
      </c>
      <c r="F172" s="61">
        <f t="shared" si="75"/>
        <v>7.5974799999999991</v>
      </c>
      <c r="G172" s="61">
        <f t="shared" si="75"/>
        <v>7.5974799999999991</v>
      </c>
      <c r="H172" s="61">
        <f t="shared" si="75"/>
        <v>6.6205499999999979</v>
      </c>
      <c r="I172" s="61">
        <f t="shared" si="75"/>
        <v>6.6205499999999979</v>
      </c>
      <c r="J172" s="61">
        <f t="shared" si="75"/>
        <v>6.8412349999999993</v>
      </c>
      <c r="K172" s="61">
        <f t="shared" si="75"/>
        <v>7.1894269999999993</v>
      </c>
      <c r="L172" s="61">
        <f t="shared" si="75"/>
        <v>6.9575099999999974</v>
      </c>
      <c r="M172" s="61">
        <f t="shared" si="75"/>
        <v>7.1821499999999983</v>
      </c>
      <c r="N172" s="61">
        <f t="shared" si="75"/>
        <v>7.4215549999999997</v>
      </c>
      <c r="O172" s="61">
        <f t="shared" si="75"/>
        <v>7.4215549999999997</v>
      </c>
      <c r="P172" s="61">
        <f t="shared" si="75"/>
        <v>7.4215549999999997</v>
      </c>
      <c r="Q172" s="61">
        <f t="shared" si="75"/>
        <v>7.1633250000000004</v>
      </c>
      <c r="R172" s="61">
        <f t="shared" si="75"/>
        <v>5.9802</v>
      </c>
      <c r="S172" s="61">
        <f t="shared" si="75"/>
        <v>5.4188400000000003</v>
      </c>
      <c r="T172" s="61">
        <f t="shared" si="75"/>
        <v>7.0918079999999994</v>
      </c>
      <c r="U172" s="61">
        <f t="shared" si="75"/>
        <v>1.7796479999999999</v>
      </c>
      <c r="V172" s="61">
        <f t="shared" si="75"/>
        <v>1.7222399999999998</v>
      </c>
      <c r="W172" s="61">
        <f t="shared" si="75"/>
        <v>0</v>
      </c>
      <c r="X172" s="61">
        <f t="shared" si="75"/>
        <v>0</v>
      </c>
      <c r="Y172" s="61">
        <f t="shared" si="75"/>
        <v>0</v>
      </c>
      <c r="AA172" s="64">
        <f>SUM(B172:Y172)</f>
        <v>108.02710799999998</v>
      </c>
      <c r="AB172" t="s">
        <v>212</v>
      </c>
    </row>
    <row r="174" spans="1:28" x14ac:dyDescent="0.25">
      <c r="A174" s="2" t="s">
        <v>213</v>
      </c>
      <c r="F174" s="2"/>
    </row>
    <row r="175" spans="1:28" x14ac:dyDescent="0.25">
      <c r="A175" s="128" t="str">
        <f>A$15</f>
        <v xml:space="preserve">Vaches </v>
      </c>
      <c r="B175" s="61">
        <f t="shared" ref="B175:Y175" si="76">IF(B76=2,B149,0)</f>
        <v>0</v>
      </c>
      <c r="C175" s="61">
        <f t="shared" si="76"/>
        <v>0</v>
      </c>
      <c r="D175" s="61">
        <f t="shared" si="76"/>
        <v>0</v>
      </c>
      <c r="E175" s="61">
        <f t="shared" si="76"/>
        <v>0</v>
      </c>
      <c r="F175" s="61">
        <f t="shared" si="76"/>
        <v>0</v>
      </c>
      <c r="G175" s="61">
        <f t="shared" si="76"/>
        <v>0</v>
      </c>
      <c r="H175" s="61">
        <f t="shared" si="76"/>
        <v>0</v>
      </c>
      <c r="I175" s="61">
        <f t="shared" si="76"/>
        <v>0</v>
      </c>
      <c r="J175" s="61">
        <f t="shared" si="76"/>
        <v>0</v>
      </c>
      <c r="K175" s="61">
        <f t="shared" si="76"/>
        <v>0</v>
      </c>
      <c r="L175" s="61">
        <f t="shared" si="76"/>
        <v>0</v>
      </c>
      <c r="M175" s="61">
        <f t="shared" si="76"/>
        <v>0</v>
      </c>
      <c r="N175" s="61">
        <f t="shared" si="76"/>
        <v>0</v>
      </c>
      <c r="O175" s="61">
        <f t="shared" si="76"/>
        <v>0</v>
      </c>
      <c r="P175" s="61">
        <f t="shared" si="76"/>
        <v>0</v>
      </c>
      <c r="Q175" s="61">
        <f t="shared" si="76"/>
        <v>0</v>
      </c>
      <c r="R175" s="61">
        <f t="shared" si="76"/>
        <v>0</v>
      </c>
      <c r="S175" s="61">
        <f t="shared" si="76"/>
        <v>0</v>
      </c>
      <c r="T175" s="61">
        <f t="shared" si="76"/>
        <v>0</v>
      </c>
      <c r="U175" s="61">
        <f t="shared" si="76"/>
        <v>0</v>
      </c>
      <c r="V175" s="61">
        <f t="shared" si="76"/>
        <v>0</v>
      </c>
      <c r="W175" s="61">
        <f t="shared" si="76"/>
        <v>0</v>
      </c>
      <c r="X175" s="61">
        <f t="shared" si="76"/>
        <v>0</v>
      </c>
      <c r="Y175" s="61">
        <f t="shared" si="76"/>
        <v>0</v>
      </c>
    </row>
    <row r="176" spans="1:28" x14ac:dyDescent="0.25">
      <c r="A176" s="128" t="str">
        <f>A$16</f>
        <v>Génisses 24 mois</v>
      </c>
      <c r="B176" s="61">
        <f t="shared" ref="B176:Y176" si="77">IF(B77=2,B150,0)</f>
        <v>0</v>
      </c>
      <c r="C176" s="61">
        <f t="shared" si="77"/>
        <v>0</v>
      </c>
      <c r="D176" s="61">
        <f t="shared" si="77"/>
        <v>0</v>
      </c>
      <c r="E176" s="61">
        <f t="shared" si="77"/>
        <v>0</v>
      </c>
      <c r="F176" s="61">
        <f t="shared" si="77"/>
        <v>0</v>
      </c>
      <c r="G176" s="61">
        <f t="shared" si="77"/>
        <v>0</v>
      </c>
      <c r="H176" s="61">
        <f t="shared" si="77"/>
        <v>0</v>
      </c>
      <c r="I176" s="61">
        <f t="shared" si="77"/>
        <v>0</v>
      </c>
      <c r="J176" s="61">
        <f t="shared" si="77"/>
        <v>0</v>
      </c>
      <c r="K176" s="61">
        <f t="shared" si="77"/>
        <v>0</v>
      </c>
      <c r="L176" s="61">
        <f t="shared" si="77"/>
        <v>0</v>
      </c>
      <c r="M176" s="61">
        <f t="shared" si="77"/>
        <v>0</v>
      </c>
      <c r="N176" s="61">
        <f t="shared" si="77"/>
        <v>0</v>
      </c>
      <c r="O176" s="61">
        <f t="shared" si="77"/>
        <v>0</v>
      </c>
      <c r="P176" s="61">
        <f t="shared" si="77"/>
        <v>0</v>
      </c>
      <c r="Q176" s="61">
        <f t="shared" si="77"/>
        <v>0</v>
      </c>
      <c r="R176" s="61">
        <f t="shared" si="77"/>
        <v>0</v>
      </c>
      <c r="S176" s="61">
        <f t="shared" si="77"/>
        <v>0</v>
      </c>
      <c r="T176" s="61">
        <f t="shared" si="77"/>
        <v>0</v>
      </c>
      <c r="U176" s="61">
        <f t="shared" si="77"/>
        <v>0</v>
      </c>
      <c r="V176" s="61">
        <f t="shared" si="77"/>
        <v>0</v>
      </c>
      <c r="W176" s="61">
        <f t="shared" si="77"/>
        <v>0</v>
      </c>
      <c r="X176" s="61">
        <f t="shared" si="77"/>
        <v>0</v>
      </c>
      <c r="Y176" s="61">
        <f t="shared" si="77"/>
        <v>0</v>
      </c>
    </row>
    <row r="177" spans="1:28" x14ac:dyDescent="0.25">
      <c r="A177" s="127" t="str">
        <f>A$17</f>
        <v>Génisses jeunes</v>
      </c>
      <c r="B177" s="61">
        <f t="shared" ref="B177:Y177" si="78">IF(B78=2,B151,0)</f>
        <v>0</v>
      </c>
      <c r="C177" s="61">
        <f t="shared" si="78"/>
        <v>0</v>
      </c>
      <c r="D177" s="61">
        <f t="shared" si="78"/>
        <v>0</v>
      </c>
      <c r="E177" s="61">
        <f t="shared" si="78"/>
        <v>0</v>
      </c>
      <c r="F177" s="61">
        <f t="shared" si="78"/>
        <v>0</v>
      </c>
      <c r="G177" s="61">
        <f t="shared" si="78"/>
        <v>0</v>
      </c>
      <c r="H177" s="61">
        <f t="shared" si="78"/>
        <v>0</v>
      </c>
      <c r="I177" s="61">
        <f t="shared" si="78"/>
        <v>0</v>
      </c>
      <c r="J177" s="61">
        <f t="shared" si="78"/>
        <v>0</v>
      </c>
      <c r="K177" s="61">
        <f t="shared" si="78"/>
        <v>0</v>
      </c>
      <c r="L177" s="61">
        <f t="shared" si="78"/>
        <v>0</v>
      </c>
      <c r="M177" s="61">
        <f t="shared" si="78"/>
        <v>0</v>
      </c>
      <c r="N177" s="61">
        <f t="shared" si="78"/>
        <v>0</v>
      </c>
      <c r="O177" s="61">
        <f t="shared" si="78"/>
        <v>0</v>
      </c>
      <c r="P177" s="61">
        <f t="shared" si="78"/>
        <v>0</v>
      </c>
      <c r="Q177" s="61">
        <f t="shared" si="78"/>
        <v>0</v>
      </c>
      <c r="R177" s="61">
        <f t="shared" si="78"/>
        <v>0</v>
      </c>
      <c r="S177" s="61">
        <f t="shared" si="78"/>
        <v>0</v>
      </c>
      <c r="T177" s="61">
        <f t="shared" si="78"/>
        <v>0</v>
      </c>
      <c r="U177" s="61">
        <f t="shared" si="78"/>
        <v>0</v>
      </c>
      <c r="V177" s="61">
        <f t="shared" si="78"/>
        <v>0</v>
      </c>
      <c r="W177" s="61">
        <f t="shared" si="78"/>
        <v>0</v>
      </c>
      <c r="X177" s="61">
        <f t="shared" si="78"/>
        <v>0</v>
      </c>
      <c r="Y177" s="61">
        <f t="shared" si="78"/>
        <v>0</v>
      </c>
    </row>
    <row r="178" spans="1:28" x14ac:dyDescent="0.25">
      <c r="A178" s="128" t="str">
        <f>A$18</f>
        <v>broutards</v>
      </c>
      <c r="B178" s="61">
        <f t="shared" ref="B178:Y178" si="79">IF(B79=2,B152,0)</f>
        <v>0</v>
      </c>
      <c r="C178" s="61">
        <f t="shared" si="79"/>
        <v>0</v>
      </c>
      <c r="D178" s="61">
        <f t="shared" si="79"/>
        <v>0</v>
      </c>
      <c r="E178" s="61">
        <f t="shared" si="79"/>
        <v>0</v>
      </c>
      <c r="F178" s="61">
        <f t="shared" si="79"/>
        <v>0</v>
      </c>
      <c r="G178" s="61">
        <f t="shared" si="79"/>
        <v>0</v>
      </c>
      <c r="H178" s="61">
        <f t="shared" si="79"/>
        <v>0</v>
      </c>
      <c r="I178" s="61">
        <f t="shared" si="79"/>
        <v>0</v>
      </c>
      <c r="J178" s="61">
        <f t="shared" si="79"/>
        <v>0</v>
      </c>
      <c r="K178" s="61">
        <f t="shared" si="79"/>
        <v>0</v>
      </c>
      <c r="L178" s="61">
        <f t="shared" si="79"/>
        <v>0</v>
      </c>
      <c r="M178" s="61">
        <f t="shared" si="79"/>
        <v>0</v>
      </c>
      <c r="N178" s="61">
        <f t="shared" si="79"/>
        <v>0</v>
      </c>
      <c r="O178" s="61">
        <f t="shared" si="79"/>
        <v>0</v>
      </c>
      <c r="P178" s="61">
        <f t="shared" si="79"/>
        <v>0</v>
      </c>
      <c r="Q178" s="61">
        <f t="shared" si="79"/>
        <v>0</v>
      </c>
      <c r="R178" s="61">
        <f t="shared" si="79"/>
        <v>0</v>
      </c>
      <c r="S178" s="61">
        <f t="shared" si="79"/>
        <v>0</v>
      </c>
      <c r="T178" s="61">
        <f t="shared" si="79"/>
        <v>0</v>
      </c>
      <c r="U178" s="61">
        <f t="shared" si="79"/>
        <v>0</v>
      </c>
      <c r="V178" s="61">
        <f t="shared" si="79"/>
        <v>0</v>
      </c>
      <c r="W178" s="61">
        <f t="shared" si="79"/>
        <v>0</v>
      </c>
      <c r="X178" s="61">
        <f t="shared" si="79"/>
        <v>0</v>
      </c>
      <c r="Y178" s="61">
        <f t="shared" si="79"/>
        <v>0</v>
      </c>
    </row>
    <row r="179" spans="1:28" x14ac:dyDescent="0.25">
      <c r="A179" s="128" t="str">
        <f>A$19</f>
        <v>génisses &lt; 1 an</v>
      </c>
      <c r="B179" s="61">
        <f t="shared" ref="B179:Y179" si="80">IF(B80=2,B153,0)</f>
        <v>0</v>
      </c>
      <c r="C179" s="61">
        <f t="shared" si="80"/>
        <v>0</v>
      </c>
      <c r="D179" s="61">
        <f t="shared" si="80"/>
        <v>0</v>
      </c>
      <c r="E179" s="61">
        <f t="shared" si="80"/>
        <v>0</v>
      </c>
      <c r="F179" s="61">
        <f t="shared" si="80"/>
        <v>0</v>
      </c>
      <c r="G179" s="61">
        <f t="shared" si="80"/>
        <v>0</v>
      </c>
      <c r="H179" s="61">
        <f t="shared" si="80"/>
        <v>0</v>
      </c>
      <c r="I179" s="61">
        <f t="shared" si="80"/>
        <v>0</v>
      </c>
      <c r="J179" s="61">
        <f t="shared" si="80"/>
        <v>0</v>
      </c>
      <c r="K179" s="61">
        <f t="shared" si="80"/>
        <v>0</v>
      </c>
      <c r="L179" s="61">
        <f t="shared" si="80"/>
        <v>0</v>
      </c>
      <c r="M179" s="61">
        <f t="shared" si="80"/>
        <v>0</v>
      </c>
      <c r="N179" s="61">
        <f t="shared" si="80"/>
        <v>0</v>
      </c>
      <c r="O179" s="61">
        <f t="shared" si="80"/>
        <v>0</v>
      </c>
      <c r="P179" s="61">
        <f t="shared" si="80"/>
        <v>0</v>
      </c>
      <c r="Q179" s="61">
        <f t="shared" si="80"/>
        <v>0</v>
      </c>
      <c r="R179" s="61">
        <f t="shared" si="80"/>
        <v>0</v>
      </c>
      <c r="S179" s="61">
        <f t="shared" si="80"/>
        <v>0</v>
      </c>
      <c r="T179" s="61">
        <f t="shared" si="80"/>
        <v>0</v>
      </c>
      <c r="U179" s="61">
        <f t="shared" si="80"/>
        <v>0</v>
      </c>
      <c r="V179" s="61">
        <f t="shared" si="80"/>
        <v>0</v>
      </c>
      <c r="W179" s="61">
        <f t="shared" si="80"/>
        <v>0</v>
      </c>
      <c r="X179" s="61">
        <f t="shared" si="80"/>
        <v>0</v>
      </c>
      <c r="Y179" s="61">
        <f t="shared" si="80"/>
        <v>0</v>
      </c>
    </row>
    <row r="180" spans="1:28" x14ac:dyDescent="0.25">
      <c r="A180" s="128" t="str">
        <f>A$20</f>
        <v>lot6</v>
      </c>
      <c r="B180" s="61">
        <f t="shared" ref="B180:Y180" si="81">IF(B81=2,B154,0)</f>
        <v>0</v>
      </c>
      <c r="C180" s="61">
        <f t="shared" si="81"/>
        <v>0</v>
      </c>
      <c r="D180" s="61">
        <f t="shared" si="81"/>
        <v>0</v>
      </c>
      <c r="E180" s="61">
        <f t="shared" si="81"/>
        <v>0</v>
      </c>
      <c r="F180" s="61">
        <f t="shared" si="81"/>
        <v>0</v>
      </c>
      <c r="G180" s="61">
        <f t="shared" si="81"/>
        <v>0</v>
      </c>
      <c r="H180" s="61">
        <f t="shared" si="81"/>
        <v>0</v>
      </c>
      <c r="I180" s="61">
        <f t="shared" si="81"/>
        <v>0</v>
      </c>
      <c r="J180" s="61">
        <f t="shared" si="81"/>
        <v>0</v>
      </c>
      <c r="K180" s="61">
        <f t="shared" si="81"/>
        <v>0</v>
      </c>
      <c r="L180" s="61">
        <f t="shared" si="81"/>
        <v>0</v>
      </c>
      <c r="M180" s="61">
        <f t="shared" si="81"/>
        <v>0</v>
      </c>
      <c r="N180" s="61">
        <f t="shared" si="81"/>
        <v>0</v>
      </c>
      <c r="O180" s="61">
        <f t="shared" si="81"/>
        <v>0</v>
      </c>
      <c r="P180" s="61">
        <f t="shared" si="81"/>
        <v>0</v>
      </c>
      <c r="Q180" s="61">
        <f t="shared" si="81"/>
        <v>0</v>
      </c>
      <c r="R180" s="61">
        <f t="shared" si="81"/>
        <v>0</v>
      </c>
      <c r="S180" s="61">
        <f t="shared" si="81"/>
        <v>0</v>
      </c>
      <c r="T180" s="61">
        <f t="shared" si="81"/>
        <v>0</v>
      </c>
      <c r="U180" s="61">
        <f t="shared" si="81"/>
        <v>0</v>
      </c>
      <c r="V180" s="61">
        <f t="shared" si="81"/>
        <v>0</v>
      </c>
      <c r="W180" s="61">
        <f t="shared" si="81"/>
        <v>0</v>
      </c>
      <c r="X180" s="61">
        <f t="shared" si="81"/>
        <v>0</v>
      </c>
      <c r="Y180" s="61">
        <f t="shared" si="81"/>
        <v>0</v>
      </c>
    </row>
    <row r="181" spans="1:28" x14ac:dyDescent="0.25">
      <c r="A181" s="127" t="str">
        <f>A$21</f>
        <v>lot7</v>
      </c>
      <c r="B181" s="61">
        <f t="shared" ref="B181:Y181" si="82">IF(B82=2,B155,0)</f>
        <v>0</v>
      </c>
      <c r="C181" s="61">
        <f t="shared" si="82"/>
        <v>0</v>
      </c>
      <c r="D181" s="61">
        <f t="shared" si="82"/>
        <v>0</v>
      </c>
      <c r="E181" s="61">
        <f t="shared" si="82"/>
        <v>0</v>
      </c>
      <c r="F181" s="61">
        <f t="shared" si="82"/>
        <v>0</v>
      </c>
      <c r="G181" s="61">
        <f t="shared" si="82"/>
        <v>0</v>
      </c>
      <c r="H181" s="61">
        <f t="shared" si="82"/>
        <v>0</v>
      </c>
      <c r="I181" s="61">
        <f t="shared" si="82"/>
        <v>0</v>
      </c>
      <c r="J181" s="61">
        <f t="shared" si="82"/>
        <v>0</v>
      </c>
      <c r="K181" s="61">
        <f t="shared" si="82"/>
        <v>0</v>
      </c>
      <c r="L181" s="61">
        <f t="shared" si="82"/>
        <v>0</v>
      </c>
      <c r="M181" s="61">
        <f t="shared" si="82"/>
        <v>0</v>
      </c>
      <c r="N181" s="61">
        <f t="shared" si="82"/>
        <v>0</v>
      </c>
      <c r="O181" s="61">
        <f t="shared" si="82"/>
        <v>0</v>
      </c>
      <c r="P181" s="61">
        <f t="shared" si="82"/>
        <v>0</v>
      </c>
      <c r="Q181" s="61">
        <f t="shared" si="82"/>
        <v>0</v>
      </c>
      <c r="R181" s="61">
        <f t="shared" si="82"/>
        <v>0</v>
      </c>
      <c r="S181" s="61">
        <f t="shared" si="82"/>
        <v>0</v>
      </c>
      <c r="T181" s="61">
        <f t="shared" si="82"/>
        <v>0</v>
      </c>
      <c r="U181" s="61">
        <f t="shared" si="82"/>
        <v>0</v>
      </c>
      <c r="V181" s="61">
        <f t="shared" si="82"/>
        <v>0</v>
      </c>
      <c r="W181" s="61">
        <f t="shared" si="82"/>
        <v>0</v>
      </c>
      <c r="X181" s="61">
        <f t="shared" si="82"/>
        <v>0</v>
      </c>
      <c r="Y181" s="61">
        <f t="shared" si="82"/>
        <v>0</v>
      </c>
    </row>
    <row r="182" spans="1:28" x14ac:dyDescent="0.25">
      <c r="A182" s="128" t="str">
        <f>A$22</f>
        <v>lot8</v>
      </c>
      <c r="B182" s="61">
        <f t="shared" ref="B182:Y182" si="83">IF(B83=2,B156,0)</f>
        <v>0</v>
      </c>
      <c r="C182" s="61">
        <f t="shared" si="83"/>
        <v>0</v>
      </c>
      <c r="D182" s="61">
        <f t="shared" si="83"/>
        <v>0</v>
      </c>
      <c r="E182" s="61">
        <f t="shared" si="83"/>
        <v>0</v>
      </c>
      <c r="F182" s="61">
        <f t="shared" si="83"/>
        <v>0</v>
      </c>
      <c r="G182" s="61">
        <f t="shared" si="83"/>
        <v>0</v>
      </c>
      <c r="H182" s="61">
        <f t="shared" si="83"/>
        <v>0</v>
      </c>
      <c r="I182" s="61">
        <f t="shared" si="83"/>
        <v>0</v>
      </c>
      <c r="J182" s="61">
        <f t="shared" si="83"/>
        <v>0</v>
      </c>
      <c r="K182" s="61">
        <f t="shared" si="83"/>
        <v>0</v>
      </c>
      <c r="L182" s="61">
        <f t="shared" si="83"/>
        <v>0</v>
      </c>
      <c r="M182" s="61">
        <f t="shared" si="83"/>
        <v>0</v>
      </c>
      <c r="N182" s="61">
        <f t="shared" si="83"/>
        <v>0</v>
      </c>
      <c r="O182" s="61">
        <f t="shared" si="83"/>
        <v>0</v>
      </c>
      <c r="P182" s="61">
        <f t="shared" si="83"/>
        <v>0</v>
      </c>
      <c r="Q182" s="61">
        <f t="shared" si="83"/>
        <v>0</v>
      </c>
      <c r="R182" s="61">
        <f t="shared" si="83"/>
        <v>0</v>
      </c>
      <c r="S182" s="61">
        <f t="shared" si="83"/>
        <v>0</v>
      </c>
      <c r="T182" s="61">
        <f t="shared" si="83"/>
        <v>0</v>
      </c>
      <c r="U182" s="61">
        <f t="shared" si="83"/>
        <v>0</v>
      </c>
      <c r="V182" s="61">
        <f t="shared" si="83"/>
        <v>0</v>
      </c>
      <c r="W182" s="61">
        <f t="shared" si="83"/>
        <v>0</v>
      </c>
      <c r="X182" s="61">
        <f t="shared" si="83"/>
        <v>0</v>
      </c>
      <c r="Y182" s="61">
        <f t="shared" si="83"/>
        <v>0</v>
      </c>
    </row>
    <row r="183" spans="1:28" x14ac:dyDescent="0.25">
      <c r="A183" s="128" t="str">
        <f>A$23</f>
        <v>lot9</v>
      </c>
      <c r="B183" s="61">
        <f t="shared" ref="B183:Y183" si="84">IF(B84=2,B157,0)</f>
        <v>0</v>
      </c>
      <c r="C183" s="61">
        <f t="shared" si="84"/>
        <v>0</v>
      </c>
      <c r="D183" s="61">
        <f t="shared" si="84"/>
        <v>0</v>
      </c>
      <c r="E183" s="61">
        <f t="shared" si="84"/>
        <v>0</v>
      </c>
      <c r="F183" s="61">
        <f t="shared" si="84"/>
        <v>0</v>
      </c>
      <c r="G183" s="61">
        <f t="shared" si="84"/>
        <v>0</v>
      </c>
      <c r="H183" s="61">
        <f t="shared" si="84"/>
        <v>0</v>
      </c>
      <c r="I183" s="61">
        <f t="shared" si="84"/>
        <v>0</v>
      </c>
      <c r="J183" s="61">
        <f t="shared" si="84"/>
        <v>0</v>
      </c>
      <c r="K183" s="61">
        <f t="shared" si="84"/>
        <v>0</v>
      </c>
      <c r="L183" s="61">
        <f t="shared" si="84"/>
        <v>0</v>
      </c>
      <c r="M183" s="61">
        <f t="shared" si="84"/>
        <v>0</v>
      </c>
      <c r="N183" s="61">
        <f t="shared" si="84"/>
        <v>0</v>
      </c>
      <c r="O183" s="61">
        <f t="shared" si="84"/>
        <v>0</v>
      </c>
      <c r="P183" s="61">
        <f t="shared" si="84"/>
        <v>0</v>
      </c>
      <c r="Q183" s="61">
        <f t="shared" si="84"/>
        <v>0</v>
      </c>
      <c r="R183" s="61">
        <f t="shared" si="84"/>
        <v>0</v>
      </c>
      <c r="S183" s="61">
        <f t="shared" si="84"/>
        <v>0</v>
      </c>
      <c r="T183" s="61">
        <f t="shared" si="84"/>
        <v>0</v>
      </c>
      <c r="U183" s="61">
        <f t="shared" si="84"/>
        <v>0</v>
      </c>
      <c r="V183" s="61">
        <f t="shared" si="84"/>
        <v>0</v>
      </c>
      <c r="W183" s="61">
        <f t="shared" si="84"/>
        <v>0</v>
      </c>
      <c r="X183" s="61">
        <f t="shared" si="84"/>
        <v>0</v>
      </c>
      <c r="Y183" s="61">
        <f t="shared" si="84"/>
        <v>0</v>
      </c>
    </row>
    <row r="184" spans="1:28" x14ac:dyDescent="0.25">
      <c r="A184" s="128" t="str">
        <f>A$24</f>
        <v>lot10</v>
      </c>
      <c r="B184" s="61">
        <f t="shared" ref="B184:Y184" si="85">IF(B85=2,B158,0)</f>
        <v>0</v>
      </c>
      <c r="C184" s="61">
        <f t="shared" si="85"/>
        <v>0</v>
      </c>
      <c r="D184" s="61">
        <f t="shared" si="85"/>
        <v>0</v>
      </c>
      <c r="E184" s="61">
        <f t="shared" si="85"/>
        <v>0</v>
      </c>
      <c r="F184" s="61">
        <f t="shared" si="85"/>
        <v>0</v>
      </c>
      <c r="G184" s="61">
        <f t="shared" si="85"/>
        <v>0</v>
      </c>
      <c r="H184" s="61">
        <f t="shared" si="85"/>
        <v>0</v>
      </c>
      <c r="I184" s="61">
        <f t="shared" si="85"/>
        <v>0</v>
      </c>
      <c r="J184" s="61">
        <f t="shared" si="85"/>
        <v>0</v>
      </c>
      <c r="K184" s="61">
        <f t="shared" si="85"/>
        <v>0</v>
      </c>
      <c r="L184" s="61">
        <f t="shared" si="85"/>
        <v>0</v>
      </c>
      <c r="M184" s="61">
        <f t="shared" si="85"/>
        <v>0</v>
      </c>
      <c r="N184" s="61">
        <f t="shared" si="85"/>
        <v>0</v>
      </c>
      <c r="O184" s="61">
        <f t="shared" si="85"/>
        <v>0</v>
      </c>
      <c r="P184" s="61">
        <f t="shared" si="85"/>
        <v>0</v>
      </c>
      <c r="Q184" s="61">
        <f t="shared" si="85"/>
        <v>0</v>
      </c>
      <c r="R184" s="61">
        <f t="shared" si="85"/>
        <v>0</v>
      </c>
      <c r="S184" s="61">
        <f t="shared" si="85"/>
        <v>0</v>
      </c>
      <c r="T184" s="61">
        <f t="shared" si="85"/>
        <v>0</v>
      </c>
      <c r="U184" s="61">
        <f t="shared" si="85"/>
        <v>0</v>
      </c>
      <c r="V184" s="61">
        <f t="shared" si="85"/>
        <v>0</v>
      </c>
      <c r="W184" s="61">
        <f t="shared" si="85"/>
        <v>0</v>
      </c>
      <c r="X184" s="61">
        <f t="shared" si="85"/>
        <v>0</v>
      </c>
      <c r="Y184" s="61">
        <f t="shared" si="85"/>
        <v>0</v>
      </c>
    </row>
    <row r="185" spans="1:28" x14ac:dyDescent="0.25">
      <c r="A185" s="38" t="s">
        <v>317</v>
      </c>
      <c r="B185" s="61">
        <f>SUM(CdTrp1!B175:B184)</f>
        <v>0</v>
      </c>
      <c r="C185" s="61">
        <f>SUM(CdTrp1!C175:C184)</f>
        <v>0</v>
      </c>
      <c r="D185" s="61">
        <f>SUM(CdTrp1!D175:D184)</f>
        <v>0</v>
      </c>
      <c r="E185" s="61">
        <f>SUM(CdTrp1!E175:E184)</f>
        <v>0</v>
      </c>
      <c r="F185" s="61">
        <f>SUM(CdTrp1!F175:F184)</f>
        <v>0</v>
      </c>
      <c r="G185" s="61">
        <f>SUM(CdTrp1!G175:G184)</f>
        <v>0</v>
      </c>
      <c r="H185" s="61">
        <f>SUM(CdTrp1!H175:H184)</f>
        <v>0</v>
      </c>
      <c r="I185" s="61">
        <f>SUM(CdTrp1!I175:I184)</f>
        <v>0</v>
      </c>
      <c r="J185" s="61">
        <f>SUM(CdTrp1!J175:J184)</f>
        <v>0</v>
      </c>
      <c r="K185" s="61">
        <f>SUM(CdTrp1!K175:K184)</f>
        <v>0</v>
      </c>
      <c r="L185" s="61">
        <f>SUM(CdTrp1!L175:L184)</f>
        <v>0</v>
      </c>
      <c r="M185" s="61">
        <f>SUM(CdTrp1!M175:M184)</f>
        <v>0</v>
      </c>
      <c r="N185" s="61">
        <f>SUM(CdTrp1!N175:N184)</f>
        <v>0</v>
      </c>
      <c r="O185" s="61">
        <f>SUM(CdTrp1!O175:O184)</f>
        <v>0</v>
      </c>
      <c r="P185" s="61">
        <f>SUM(CdTrp1!P175:P184)</f>
        <v>0</v>
      </c>
      <c r="Q185" s="61">
        <f>SUM(CdTrp1!Q175:Q184)</f>
        <v>0</v>
      </c>
      <c r="R185" s="61">
        <f>SUM(CdTrp1!R175:R184)</f>
        <v>0</v>
      </c>
      <c r="S185" s="61">
        <f>SUM(CdTrp1!S175:S184)</f>
        <v>0</v>
      </c>
      <c r="T185" s="61">
        <f>SUM(CdTrp1!T175:T184)</f>
        <v>0</v>
      </c>
      <c r="U185" s="61">
        <f>SUM(CdTrp1!U175:U184)</f>
        <v>0</v>
      </c>
      <c r="V185" s="61">
        <f>SUM(CdTrp1!V175:V184)</f>
        <v>0</v>
      </c>
      <c r="W185" s="61">
        <f>SUM(CdTrp1!W175:W184)</f>
        <v>0</v>
      </c>
      <c r="X185" s="61">
        <f>SUM(CdTrp1!X175:X184)</f>
        <v>0</v>
      </c>
      <c r="Y185" s="61">
        <f>SUM(CdTrp1!Y175:Y184)</f>
        <v>0</v>
      </c>
      <c r="AA185" s="64">
        <f>SUM(B185:Y185)</f>
        <v>0</v>
      </c>
      <c r="AB185" t="s">
        <v>214</v>
      </c>
    </row>
    <row r="187" spans="1:28" x14ac:dyDescent="0.25">
      <c r="A187" s="2" t="s">
        <v>215</v>
      </c>
      <c r="F187" s="2"/>
    </row>
    <row r="188" spans="1:28" x14ac:dyDescent="0.25">
      <c r="A188" s="128" t="str">
        <f>A$15</f>
        <v xml:space="preserve">Vaches </v>
      </c>
      <c r="B188" s="61">
        <f t="shared" ref="B188:Y188" si="86">IF(B76=3,B149,0)</f>
        <v>0</v>
      </c>
      <c r="C188" s="61">
        <f t="shared" si="86"/>
        <v>0</v>
      </c>
      <c r="D188" s="61">
        <f t="shared" si="86"/>
        <v>0</v>
      </c>
      <c r="E188" s="61">
        <f t="shared" si="86"/>
        <v>0</v>
      </c>
      <c r="F188" s="61">
        <f t="shared" si="86"/>
        <v>0</v>
      </c>
      <c r="G188" s="61">
        <f t="shared" si="86"/>
        <v>0</v>
      </c>
      <c r="H188" s="61">
        <f t="shared" si="86"/>
        <v>0</v>
      </c>
      <c r="I188" s="61">
        <f t="shared" si="86"/>
        <v>0</v>
      </c>
      <c r="J188" s="61">
        <f t="shared" si="86"/>
        <v>0</v>
      </c>
      <c r="K188" s="61">
        <f t="shared" si="86"/>
        <v>0</v>
      </c>
      <c r="L188" s="61">
        <f t="shared" si="86"/>
        <v>0</v>
      </c>
      <c r="M188" s="61">
        <f t="shared" si="86"/>
        <v>0</v>
      </c>
      <c r="N188" s="61">
        <f t="shared" si="86"/>
        <v>0</v>
      </c>
      <c r="O188" s="61">
        <f t="shared" si="86"/>
        <v>0</v>
      </c>
      <c r="P188" s="61">
        <f t="shared" si="86"/>
        <v>0</v>
      </c>
      <c r="Q188" s="61">
        <f t="shared" si="86"/>
        <v>0</v>
      </c>
      <c r="R188" s="61">
        <f t="shared" si="86"/>
        <v>0</v>
      </c>
      <c r="S188" s="61">
        <f t="shared" si="86"/>
        <v>0</v>
      </c>
      <c r="T188" s="61">
        <f t="shared" si="86"/>
        <v>0</v>
      </c>
      <c r="U188" s="61">
        <f t="shared" si="86"/>
        <v>0</v>
      </c>
      <c r="V188" s="61">
        <f t="shared" si="86"/>
        <v>0</v>
      </c>
      <c r="W188" s="61">
        <f t="shared" si="86"/>
        <v>0</v>
      </c>
      <c r="X188" s="61">
        <f t="shared" si="86"/>
        <v>0</v>
      </c>
      <c r="Y188" s="61">
        <f t="shared" si="86"/>
        <v>0</v>
      </c>
    </row>
    <row r="189" spans="1:28" x14ac:dyDescent="0.25">
      <c r="A189" s="128" t="str">
        <f>A$16</f>
        <v>Génisses 24 mois</v>
      </c>
      <c r="B189" s="61">
        <f t="shared" ref="B189:Y189" si="87">IF(B77=3,B150,0)</f>
        <v>0</v>
      </c>
      <c r="C189" s="61">
        <f t="shared" si="87"/>
        <v>0</v>
      </c>
      <c r="D189" s="61">
        <f t="shared" si="87"/>
        <v>0</v>
      </c>
      <c r="E189" s="61">
        <f t="shared" si="87"/>
        <v>0</v>
      </c>
      <c r="F189" s="61">
        <f t="shared" si="87"/>
        <v>0</v>
      </c>
      <c r="G189" s="61">
        <f t="shared" si="87"/>
        <v>0</v>
      </c>
      <c r="H189" s="61">
        <f t="shared" si="87"/>
        <v>0</v>
      </c>
      <c r="I189" s="61">
        <f t="shared" si="87"/>
        <v>0</v>
      </c>
      <c r="J189" s="61">
        <f t="shared" si="87"/>
        <v>0</v>
      </c>
      <c r="K189" s="61">
        <f t="shared" si="87"/>
        <v>0</v>
      </c>
      <c r="L189" s="61">
        <f t="shared" si="87"/>
        <v>0</v>
      </c>
      <c r="M189" s="61">
        <f t="shared" si="87"/>
        <v>0</v>
      </c>
      <c r="N189" s="61">
        <f t="shared" si="87"/>
        <v>0</v>
      </c>
      <c r="O189" s="61">
        <f t="shared" si="87"/>
        <v>0</v>
      </c>
      <c r="P189" s="61">
        <f t="shared" si="87"/>
        <v>0</v>
      </c>
      <c r="Q189" s="61">
        <f t="shared" si="87"/>
        <v>0</v>
      </c>
      <c r="R189" s="61">
        <f t="shared" si="87"/>
        <v>0</v>
      </c>
      <c r="S189" s="61">
        <f t="shared" si="87"/>
        <v>0</v>
      </c>
      <c r="T189" s="61">
        <f t="shared" si="87"/>
        <v>0</v>
      </c>
      <c r="U189" s="61">
        <f t="shared" si="87"/>
        <v>0</v>
      </c>
      <c r="V189" s="61">
        <f t="shared" si="87"/>
        <v>0</v>
      </c>
      <c r="W189" s="61">
        <f t="shared" si="87"/>
        <v>0</v>
      </c>
      <c r="X189" s="61">
        <f t="shared" si="87"/>
        <v>0</v>
      </c>
      <c r="Y189" s="61">
        <f t="shared" si="87"/>
        <v>0</v>
      </c>
    </row>
    <row r="190" spans="1:28" x14ac:dyDescent="0.25">
      <c r="A190" s="127" t="str">
        <f>A$17</f>
        <v>Génisses jeunes</v>
      </c>
      <c r="B190" s="61">
        <f t="shared" ref="B190:Y190" si="88">IF(B78=3,B151,0)</f>
        <v>0</v>
      </c>
      <c r="C190" s="61">
        <f t="shared" si="88"/>
        <v>0</v>
      </c>
      <c r="D190" s="61">
        <f t="shared" si="88"/>
        <v>0</v>
      </c>
      <c r="E190" s="61">
        <f t="shared" si="88"/>
        <v>0</v>
      </c>
      <c r="F190" s="61">
        <f t="shared" si="88"/>
        <v>0</v>
      </c>
      <c r="G190" s="61">
        <f t="shared" si="88"/>
        <v>0</v>
      </c>
      <c r="H190" s="61">
        <f t="shared" si="88"/>
        <v>0</v>
      </c>
      <c r="I190" s="61">
        <f t="shared" si="88"/>
        <v>0</v>
      </c>
      <c r="J190" s="61">
        <f t="shared" si="88"/>
        <v>0</v>
      </c>
      <c r="K190" s="61">
        <f t="shared" si="88"/>
        <v>0</v>
      </c>
      <c r="L190" s="61">
        <f t="shared" si="88"/>
        <v>0</v>
      </c>
      <c r="M190" s="61">
        <f t="shared" si="88"/>
        <v>0</v>
      </c>
      <c r="N190" s="61">
        <f t="shared" si="88"/>
        <v>0</v>
      </c>
      <c r="O190" s="61">
        <f t="shared" si="88"/>
        <v>0</v>
      </c>
      <c r="P190" s="61">
        <f t="shared" si="88"/>
        <v>0</v>
      </c>
      <c r="Q190" s="61">
        <f t="shared" si="88"/>
        <v>0</v>
      </c>
      <c r="R190" s="61">
        <f t="shared" si="88"/>
        <v>0</v>
      </c>
      <c r="S190" s="61">
        <f t="shared" si="88"/>
        <v>0</v>
      </c>
      <c r="T190" s="61">
        <f t="shared" si="88"/>
        <v>0</v>
      </c>
      <c r="U190" s="61">
        <f t="shared" si="88"/>
        <v>0</v>
      </c>
      <c r="V190" s="61">
        <f t="shared" si="88"/>
        <v>0</v>
      </c>
      <c r="W190" s="61">
        <f t="shared" si="88"/>
        <v>0</v>
      </c>
      <c r="X190" s="61">
        <f t="shared" si="88"/>
        <v>0</v>
      </c>
      <c r="Y190" s="61">
        <f t="shared" si="88"/>
        <v>0</v>
      </c>
    </row>
    <row r="191" spans="1:28" x14ac:dyDescent="0.25">
      <c r="A191" s="128" t="str">
        <f>A$18</f>
        <v>broutards</v>
      </c>
      <c r="B191" s="61">
        <f t="shared" ref="B191:Y191" si="89">IF(B79=3,B152,0)</f>
        <v>0</v>
      </c>
      <c r="C191" s="61">
        <f t="shared" si="89"/>
        <v>0</v>
      </c>
      <c r="D191" s="61">
        <f t="shared" si="89"/>
        <v>0</v>
      </c>
      <c r="E191" s="61">
        <f t="shared" si="89"/>
        <v>0</v>
      </c>
      <c r="F191" s="61">
        <f t="shared" si="89"/>
        <v>0</v>
      </c>
      <c r="G191" s="61">
        <f t="shared" si="89"/>
        <v>0</v>
      </c>
      <c r="H191" s="61">
        <f t="shared" si="89"/>
        <v>0</v>
      </c>
      <c r="I191" s="61">
        <f t="shared" si="89"/>
        <v>0</v>
      </c>
      <c r="J191" s="61">
        <f t="shared" si="89"/>
        <v>0</v>
      </c>
      <c r="K191" s="61">
        <f t="shared" si="89"/>
        <v>0</v>
      </c>
      <c r="L191" s="61">
        <f t="shared" si="89"/>
        <v>0</v>
      </c>
      <c r="M191" s="61">
        <f t="shared" si="89"/>
        <v>0</v>
      </c>
      <c r="N191" s="61">
        <f t="shared" si="89"/>
        <v>0</v>
      </c>
      <c r="O191" s="61">
        <f t="shared" si="89"/>
        <v>0</v>
      </c>
      <c r="P191" s="61">
        <f t="shared" si="89"/>
        <v>0</v>
      </c>
      <c r="Q191" s="61">
        <f t="shared" si="89"/>
        <v>0</v>
      </c>
      <c r="R191" s="61">
        <f t="shared" si="89"/>
        <v>0</v>
      </c>
      <c r="S191" s="61">
        <f t="shared" si="89"/>
        <v>0</v>
      </c>
      <c r="T191" s="61">
        <f t="shared" si="89"/>
        <v>0</v>
      </c>
      <c r="U191" s="61">
        <f t="shared" si="89"/>
        <v>0</v>
      </c>
      <c r="V191" s="61">
        <f t="shared" si="89"/>
        <v>0</v>
      </c>
      <c r="W191" s="61">
        <f t="shared" si="89"/>
        <v>0</v>
      </c>
      <c r="X191" s="61">
        <f t="shared" si="89"/>
        <v>0</v>
      </c>
      <c r="Y191" s="61">
        <f t="shared" si="89"/>
        <v>0</v>
      </c>
    </row>
    <row r="192" spans="1:28" x14ac:dyDescent="0.25">
      <c r="A192" s="128" t="str">
        <f>A$19</f>
        <v>génisses &lt; 1 an</v>
      </c>
      <c r="B192" s="61">
        <f t="shared" ref="B192:Y192" si="90">IF(B80=3,B153,0)</f>
        <v>0</v>
      </c>
      <c r="C192" s="61">
        <f t="shared" si="90"/>
        <v>0</v>
      </c>
      <c r="D192" s="61">
        <f t="shared" si="90"/>
        <v>0</v>
      </c>
      <c r="E192" s="61">
        <f t="shared" si="90"/>
        <v>0</v>
      </c>
      <c r="F192" s="61">
        <f t="shared" si="90"/>
        <v>0</v>
      </c>
      <c r="G192" s="61">
        <f t="shared" si="90"/>
        <v>0</v>
      </c>
      <c r="H192" s="61">
        <f t="shared" si="90"/>
        <v>0</v>
      </c>
      <c r="I192" s="61">
        <f t="shared" si="90"/>
        <v>0</v>
      </c>
      <c r="J192" s="61">
        <f t="shared" si="90"/>
        <v>0</v>
      </c>
      <c r="K192" s="61">
        <f t="shared" si="90"/>
        <v>0</v>
      </c>
      <c r="L192" s="61">
        <f t="shared" si="90"/>
        <v>0</v>
      </c>
      <c r="M192" s="61">
        <f t="shared" si="90"/>
        <v>0</v>
      </c>
      <c r="N192" s="61">
        <f t="shared" si="90"/>
        <v>0</v>
      </c>
      <c r="O192" s="61">
        <f t="shared" si="90"/>
        <v>0</v>
      </c>
      <c r="P192" s="61">
        <f t="shared" si="90"/>
        <v>0</v>
      </c>
      <c r="Q192" s="61">
        <f t="shared" si="90"/>
        <v>0</v>
      </c>
      <c r="R192" s="61">
        <f t="shared" si="90"/>
        <v>0</v>
      </c>
      <c r="S192" s="61">
        <f t="shared" si="90"/>
        <v>0</v>
      </c>
      <c r="T192" s="61">
        <f t="shared" si="90"/>
        <v>0</v>
      </c>
      <c r="U192" s="61">
        <f t="shared" si="90"/>
        <v>0</v>
      </c>
      <c r="V192" s="61">
        <f t="shared" si="90"/>
        <v>0</v>
      </c>
      <c r="W192" s="61">
        <f t="shared" si="90"/>
        <v>0</v>
      </c>
      <c r="X192" s="61">
        <f t="shared" si="90"/>
        <v>0</v>
      </c>
      <c r="Y192" s="61">
        <f t="shared" si="90"/>
        <v>0</v>
      </c>
    </row>
    <row r="193" spans="1:28" x14ac:dyDescent="0.25">
      <c r="A193" s="128" t="str">
        <f>A$20</f>
        <v>lot6</v>
      </c>
      <c r="B193" s="61">
        <f t="shared" ref="B193:Y193" si="91">IF(B81=3,B154,0)</f>
        <v>0</v>
      </c>
      <c r="C193" s="61">
        <f t="shared" si="91"/>
        <v>0</v>
      </c>
      <c r="D193" s="61">
        <f t="shared" si="91"/>
        <v>0</v>
      </c>
      <c r="E193" s="61">
        <f t="shared" si="91"/>
        <v>0</v>
      </c>
      <c r="F193" s="61">
        <f t="shared" si="91"/>
        <v>0</v>
      </c>
      <c r="G193" s="61">
        <f t="shared" si="91"/>
        <v>0</v>
      </c>
      <c r="H193" s="61">
        <f t="shared" si="91"/>
        <v>0</v>
      </c>
      <c r="I193" s="61">
        <f t="shared" si="91"/>
        <v>0</v>
      </c>
      <c r="J193" s="61">
        <f t="shared" si="91"/>
        <v>0</v>
      </c>
      <c r="K193" s="61">
        <f t="shared" si="91"/>
        <v>0</v>
      </c>
      <c r="L193" s="61">
        <f t="shared" si="91"/>
        <v>0</v>
      </c>
      <c r="M193" s="61">
        <f t="shared" si="91"/>
        <v>0</v>
      </c>
      <c r="N193" s="61">
        <f t="shared" si="91"/>
        <v>0</v>
      </c>
      <c r="O193" s="61">
        <f t="shared" si="91"/>
        <v>0</v>
      </c>
      <c r="P193" s="61">
        <f t="shared" si="91"/>
        <v>0</v>
      </c>
      <c r="Q193" s="61">
        <f t="shared" si="91"/>
        <v>0</v>
      </c>
      <c r="R193" s="61">
        <f t="shared" si="91"/>
        <v>0</v>
      </c>
      <c r="S193" s="61">
        <f t="shared" si="91"/>
        <v>0</v>
      </c>
      <c r="T193" s="61">
        <f t="shared" si="91"/>
        <v>0</v>
      </c>
      <c r="U193" s="61">
        <f t="shared" si="91"/>
        <v>0</v>
      </c>
      <c r="V193" s="61">
        <f t="shared" si="91"/>
        <v>0</v>
      </c>
      <c r="W193" s="61">
        <f t="shared" si="91"/>
        <v>0</v>
      </c>
      <c r="X193" s="61">
        <f t="shared" si="91"/>
        <v>0</v>
      </c>
      <c r="Y193" s="61">
        <f t="shared" si="91"/>
        <v>0</v>
      </c>
    </row>
    <row r="194" spans="1:28" x14ac:dyDescent="0.25">
      <c r="A194" s="127" t="str">
        <f>A$21</f>
        <v>lot7</v>
      </c>
      <c r="B194" s="61">
        <f t="shared" ref="B194:Y194" si="92">IF(B82=3,B155,0)</f>
        <v>0</v>
      </c>
      <c r="C194" s="61">
        <f t="shared" si="92"/>
        <v>0</v>
      </c>
      <c r="D194" s="61">
        <f t="shared" si="92"/>
        <v>0</v>
      </c>
      <c r="E194" s="61">
        <f t="shared" si="92"/>
        <v>0</v>
      </c>
      <c r="F194" s="61">
        <f t="shared" si="92"/>
        <v>0</v>
      </c>
      <c r="G194" s="61">
        <f t="shared" si="92"/>
        <v>0</v>
      </c>
      <c r="H194" s="61">
        <f t="shared" si="92"/>
        <v>0</v>
      </c>
      <c r="I194" s="61">
        <f t="shared" si="92"/>
        <v>0</v>
      </c>
      <c r="J194" s="61">
        <f t="shared" si="92"/>
        <v>0</v>
      </c>
      <c r="K194" s="61">
        <f t="shared" si="92"/>
        <v>0</v>
      </c>
      <c r="L194" s="61">
        <f t="shared" si="92"/>
        <v>0</v>
      </c>
      <c r="M194" s="61">
        <f t="shared" si="92"/>
        <v>0</v>
      </c>
      <c r="N194" s="61">
        <f t="shared" si="92"/>
        <v>0</v>
      </c>
      <c r="O194" s="61">
        <f t="shared" si="92"/>
        <v>0</v>
      </c>
      <c r="P194" s="61">
        <f t="shared" si="92"/>
        <v>0</v>
      </c>
      <c r="Q194" s="61">
        <f t="shared" si="92"/>
        <v>0</v>
      </c>
      <c r="R194" s="61">
        <f t="shared" si="92"/>
        <v>0</v>
      </c>
      <c r="S194" s="61">
        <f t="shared" si="92"/>
        <v>0</v>
      </c>
      <c r="T194" s="61">
        <f t="shared" si="92"/>
        <v>0</v>
      </c>
      <c r="U194" s="61">
        <f t="shared" si="92"/>
        <v>0</v>
      </c>
      <c r="V194" s="61">
        <f t="shared" si="92"/>
        <v>0</v>
      </c>
      <c r="W194" s="61">
        <f t="shared" si="92"/>
        <v>0</v>
      </c>
      <c r="X194" s="61">
        <f t="shared" si="92"/>
        <v>0</v>
      </c>
      <c r="Y194" s="61">
        <f t="shared" si="92"/>
        <v>0</v>
      </c>
    </row>
    <row r="195" spans="1:28" x14ac:dyDescent="0.25">
      <c r="A195" s="128" t="str">
        <f>A$22</f>
        <v>lot8</v>
      </c>
      <c r="B195" s="61">
        <f t="shared" ref="B195:Y195" si="93">IF(B83=3,B156,0)</f>
        <v>0</v>
      </c>
      <c r="C195" s="61">
        <f t="shared" si="93"/>
        <v>0</v>
      </c>
      <c r="D195" s="61">
        <f t="shared" si="93"/>
        <v>0</v>
      </c>
      <c r="E195" s="61">
        <f t="shared" si="93"/>
        <v>0</v>
      </c>
      <c r="F195" s="61">
        <f t="shared" si="93"/>
        <v>0</v>
      </c>
      <c r="G195" s="61">
        <f t="shared" si="93"/>
        <v>0</v>
      </c>
      <c r="H195" s="61">
        <f t="shared" si="93"/>
        <v>0</v>
      </c>
      <c r="I195" s="61">
        <f t="shared" si="93"/>
        <v>0</v>
      </c>
      <c r="J195" s="61">
        <f t="shared" si="93"/>
        <v>0</v>
      </c>
      <c r="K195" s="61">
        <f t="shared" si="93"/>
        <v>0</v>
      </c>
      <c r="L195" s="61">
        <f t="shared" si="93"/>
        <v>0</v>
      </c>
      <c r="M195" s="61">
        <f t="shared" si="93"/>
        <v>0</v>
      </c>
      <c r="N195" s="61">
        <f t="shared" si="93"/>
        <v>0</v>
      </c>
      <c r="O195" s="61">
        <f t="shared" si="93"/>
        <v>0</v>
      </c>
      <c r="P195" s="61">
        <f t="shared" si="93"/>
        <v>0</v>
      </c>
      <c r="Q195" s="61">
        <f t="shared" si="93"/>
        <v>0</v>
      </c>
      <c r="R195" s="61">
        <f t="shared" si="93"/>
        <v>0</v>
      </c>
      <c r="S195" s="61">
        <f t="shared" si="93"/>
        <v>0</v>
      </c>
      <c r="T195" s="61">
        <f t="shared" si="93"/>
        <v>0</v>
      </c>
      <c r="U195" s="61">
        <f t="shared" si="93"/>
        <v>0</v>
      </c>
      <c r="V195" s="61">
        <f t="shared" si="93"/>
        <v>0</v>
      </c>
      <c r="W195" s="61">
        <f t="shared" si="93"/>
        <v>0</v>
      </c>
      <c r="X195" s="61">
        <f t="shared" si="93"/>
        <v>0</v>
      </c>
      <c r="Y195" s="61">
        <f t="shared" si="93"/>
        <v>0</v>
      </c>
    </row>
    <row r="196" spans="1:28" x14ac:dyDescent="0.25">
      <c r="A196" s="128" t="str">
        <f>A$23</f>
        <v>lot9</v>
      </c>
      <c r="B196" s="61">
        <f t="shared" ref="B196:Y196" si="94">IF(B84=3,B157,0)</f>
        <v>0</v>
      </c>
      <c r="C196" s="61">
        <f t="shared" si="94"/>
        <v>0</v>
      </c>
      <c r="D196" s="61">
        <f t="shared" si="94"/>
        <v>0</v>
      </c>
      <c r="E196" s="61">
        <f t="shared" si="94"/>
        <v>0</v>
      </c>
      <c r="F196" s="61">
        <f t="shared" si="94"/>
        <v>0</v>
      </c>
      <c r="G196" s="61">
        <f t="shared" si="94"/>
        <v>0</v>
      </c>
      <c r="H196" s="61">
        <f t="shared" si="94"/>
        <v>0</v>
      </c>
      <c r="I196" s="61">
        <f t="shared" si="94"/>
        <v>0</v>
      </c>
      <c r="J196" s="61">
        <f t="shared" si="94"/>
        <v>0</v>
      </c>
      <c r="K196" s="61">
        <f t="shared" si="94"/>
        <v>0</v>
      </c>
      <c r="L196" s="61">
        <f t="shared" si="94"/>
        <v>0</v>
      </c>
      <c r="M196" s="61">
        <f t="shared" si="94"/>
        <v>0</v>
      </c>
      <c r="N196" s="61">
        <f t="shared" si="94"/>
        <v>0</v>
      </c>
      <c r="O196" s="61">
        <f t="shared" si="94"/>
        <v>0</v>
      </c>
      <c r="P196" s="61">
        <f t="shared" si="94"/>
        <v>0</v>
      </c>
      <c r="Q196" s="61">
        <f t="shared" si="94"/>
        <v>0</v>
      </c>
      <c r="R196" s="61">
        <f t="shared" si="94"/>
        <v>0</v>
      </c>
      <c r="S196" s="61">
        <f t="shared" si="94"/>
        <v>0</v>
      </c>
      <c r="T196" s="61">
        <f t="shared" si="94"/>
        <v>0</v>
      </c>
      <c r="U196" s="61">
        <f t="shared" si="94"/>
        <v>0</v>
      </c>
      <c r="V196" s="61">
        <f t="shared" si="94"/>
        <v>0</v>
      </c>
      <c r="W196" s="61">
        <f t="shared" si="94"/>
        <v>0</v>
      </c>
      <c r="X196" s="61">
        <f t="shared" si="94"/>
        <v>0</v>
      </c>
      <c r="Y196" s="61">
        <f t="shared" si="94"/>
        <v>0</v>
      </c>
    </row>
    <row r="197" spans="1:28" x14ac:dyDescent="0.25">
      <c r="A197" s="128" t="str">
        <f>A$24</f>
        <v>lot10</v>
      </c>
      <c r="B197" s="61">
        <f t="shared" ref="B197:Y197" si="95">IF(B85=3,B158,0)</f>
        <v>0</v>
      </c>
      <c r="C197" s="61">
        <f t="shared" si="95"/>
        <v>0</v>
      </c>
      <c r="D197" s="61">
        <f t="shared" si="95"/>
        <v>0</v>
      </c>
      <c r="E197" s="61">
        <f t="shared" si="95"/>
        <v>0</v>
      </c>
      <c r="F197" s="61">
        <f t="shared" si="95"/>
        <v>0</v>
      </c>
      <c r="G197" s="61">
        <f t="shared" si="95"/>
        <v>0</v>
      </c>
      <c r="H197" s="61">
        <f t="shared" si="95"/>
        <v>0</v>
      </c>
      <c r="I197" s="61">
        <f t="shared" si="95"/>
        <v>0</v>
      </c>
      <c r="J197" s="61">
        <f t="shared" si="95"/>
        <v>0</v>
      </c>
      <c r="K197" s="61">
        <f t="shared" si="95"/>
        <v>0</v>
      </c>
      <c r="L197" s="61">
        <f t="shared" si="95"/>
        <v>0</v>
      </c>
      <c r="M197" s="61">
        <f t="shared" si="95"/>
        <v>0</v>
      </c>
      <c r="N197" s="61">
        <f t="shared" si="95"/>
        <v>0</v>
      </c>
      <c r="O197" s="61">
        <f t="shared" si="95"/>
        <v>0</v>
      </c>
      <c r="P197" s="61">
        <f t="shared" si="95"/>
        <v>0</v>
      </c>
      <c r="Q197" s="61">
        <f t="shared" si="95"/>
        <v>0</v>
      </c>
      <c r="R197" s="61">
        <f t="shared" si="95"/>
        <v>0</v>
      </c>
      <c r="S197" s="61">
        <f t="shared" si="95"/>
        <v>0</v>
      </c>
      <c r="T197" s="61">
        <f t="shared" si="95"/>
        <v>0</v>
      </c>
      <c r="U197" s="61">
        <f t="shared" si="95"/>
        <v>0</v>
      </c>
      <c r="V197" s="61">
        <f t="shared" si="95"/>
        <v>0</v>
      </c>
      <c r="W197" s="61">
        <f t="shared" si="95"/>
        <v>0</v>
      </c>
      <c r="X197" s="61">
        <f t="shared" si="95"/>
        <v>0</v>
      </c>
      <c r="Y197" s="61">
        <f t="shared" si="95"/>
        <v>0</v>
      </c>
    </row>
    <row r="198" spans="1:28" x14ac:dyDescent="0.25">
      <c r="A198" s="38" t="s">
        <v>316</v>
      </c>
      <c r="B198" s="61">
        <f>SUM(B188:B197)</f>
        <v>0</v>
      </c>
      <c r="C198" s="61">
        <f t="shared" ref="C198:Y198" si="96">SUM(C188:C197)</f>
        <v>0</v>
      </c>
      <c r="D198" s="61">
        <f t="shared" si="96"/>
        <v>0</v>
      </c>
      <c r="E198" s="61">
        <f t="shared" si="96"/>
        <v>0</v>
      </c>
      <c r="F198" s="61">
        <f t="shared" si="96"/>
        <v>0</v>
      </c>
      <c r="G198" s="61">
        <f t="shared" si="96"/>
        <v>0</v>
      </c>
      <c r="H198" s="61">
        <f t="shared" si="96"/>
        <v>0</v>
      </c>
      <c r="I198" s="61">
        <f t="shared" si="96"/>
        <v>0</v>
      </c>
      <c r="J198" s="61">
        <f t="shared" si="96"/>
        <v>0</v>
      </c>
      <c r="K198" s="61">
        <f t="shared" si="96"/>
        <v>0</v>
      </c>
      <c r="L198" s="61">
        <f t="shared" si="96"/>
        <v>0</v>
      </c>
      <c r="M198" s="61">
        <f t="shared" si="96"/>
        <v>0</v>
      </c>
      <c r="N198" s="61">
        <f t="shared" si="96"/>
        <v>0</v>
      </c>
      <c r="O198" s="61">
        <f t="shared" si="96"/>
        <v>0</v>
      </c>
      <c r="P198" s="61">
        <f t="shared" si="96"/>
        <v>0</v>
      </c>
      <c r="Q198" s="61">
        <f t="shared" si="96"/>
        <v>0</v>
      </c>
      <c r="R198" s="61">
        <f t="shared" si="96"/>
        <v>0</v>
      </c>
      <c r="S198" s="61">
        <f t="shared" si="96"/>
        <v>0</v>
      </c>
      <c r="T198" s="61">
        <f t="shared" si="96"/>
        <v>0</v>
      </c>
      <c r="U198" s="61">
        <f t="shared" si="96"/>
        <v>0</v>
      </c>
      <c r="V198" s="61">
        <f t="shared" si="96"/>
        <v>0</v>
      </c>
      <c r="W198" s="61">
        <f t="shared" si="96"/>
        <v>0</v>
      </c>
      <c r="X198" s="61">
        <f t="shared" si="96"/>
        <v>0</v>
      </c>
      <c r="Y198" s="61">
        <f t="shared" si="96"/>
        <v>0</v>
      </c>
      <c r="AA198" s="64">
        <f>SUM(B198:Y198)</f>
        <v>0</v>
      </c>
      <c r="AB198" t="s">
        <v>214</v>
      </c>
    </row>
    <row r="200" spans="1:28" x14ac:dyDescent="0.25">
      <c r="A200" s="2" t="s">
        <v>216</v>
      </c>
    </row>
    <row r="201" spans="1:28" x14ac:dyDescent="0.25">
      <c r="A201" s="128" t="str">
        <f>A$15</f>
        <v xml:space="preserve">Vaches </v>
      </c>
      <c r="B201" s="61">
        <f t="shared" ref="B201:Y201" si="97">IF(B76=4,B149,0)</f>
        <v>0</v>
      </c>
      <c r="C201" s="61">
        <f t="shared" si="97"/>
        <v>0</v>
      </c>
      <c r="D201" s="61">
        <f t="shared" si="97"/>
        <v>0</v>
      </c>
      <c r="E201" s="61">
        <f t="shared" si="97"/>
        <v>0</v>
      </c>
      <c r="F201" s="61">
        <f t="shared" si="97"/>
        <v>0</v>
      </c>
      <c r="G201" s="61">
        <f t="shared" si="97"/>
        <v>0</v>
      </c>
      <c r="H201" s="61">
        <f t="shared" si="97"/>
        <v>0</v>
      </c>
      <c r="I201" s="61">
        <f t="shared" si="97"/>
        <v>0</v>
      </c>
      <c r="J201" s="61">
        <f t="shared" si="97"/>
        <v>0</v>
      </c>
      <c r="K201" s="61">
        <f t="shared" si="97"/>
        <v>0</v>
      </c>
      <c r="L201" s="61">
        <f t="shared" si="97"/>
        <v>0</v>
      </c>
      <c r="M201" s="61">
        <f t="shared" si="97"/>
        <v>0</v>
      </c>
      <c r="N201" s="61">
        <f t="shared" si="97"/>
        <v>0</v>
      </c>
      <c r="O201" s="61">
        <f t="shared" si="97"/>
        <v>0</v>
      </c>
      <c r="P201" s="61">
        <f t="shared" si="97"/>
        <v>0</v>
      </c>
      <c r="Q201" s="61">
        <f t="shared" si="97"/>
        <v>0</v>
      </c>
      <c r="R201" s="61">
        <f t="shared" si="97"/>
        <v>0</v>
      </c>
      <c r="S201" s="61">
        <f t="shared" si="97"/>
        <v>0</v>
      </c>
      <c r="T201" s="61">
        <f t="shared" si="97"/>
        <v>0</v>
      </c>
      <c r="U201" s="61">
        <f t="shared" si="97"/>
        <v>0</v>
      </c>
      <c r="V201" s="61">
        <f t="shared" si="97"/>
        <v>0</v>
      </c>
      <c r="W201" s="61">
        <f t="shared" si="97"/>
        <v>0</v>
      </c>
      <c r="X201" s="61">
        <f t="shared" si="97"/>
        <v>0</v>
      </c>
      <c r="Y201" s="61">
        <f t="shared" si="97"/>
        <v>0</v>
      </c>
    </row>
    <row r="202" spans="1:28" x14ac:dyDescent="0.25">
      <c r="A202" s="128" t="str">
        <f>A$16</f>
        <v>Génisses 24 mois</v>
      </c>
      <c r="B202" s="61">
        <f t="shared" ref="B202:Y202" si="98">IF(B77=4,B150,0)</f>
        <v>0</v>
      </c>
      <c r="C202" s="61">
        <f t="shared" si="98"/>
        <v>0</v>
      </c>
      <c r="D202" s="61">
        <f t="shared" si="98"/>
        <v>0</v>
      </c>
      <c r="E202" s="61">
        <f t="shared" si="98"/>
        <v>0</v>
      </c>
      <c r="F202" s="61">
        <f t="shared" si="98"/>
        <v>0</v>
      </c>
      <c r="G202" s="61">
        <f t="shared" si="98"/>
        <v>0</v>
      </c>
      <c r="H202" s="61">
        <f t="shared" si="98"/>
        <v>0</v>
      </c>
      <c r="I202" s="61">
        <f t="shared" si="98"/>
        <v>0</v>
      </c>
      <c r="J202" s="61">
        <f t="shared" si="98"/>
        <v>0</v>
      </c>
      <c r="K202" s="61">
        <f t="shared" si="98"/>
        <v>0</v>
      </c>
      <c r="L202" s="61">
        <f t="shared" si="98"/>
        <v>0</v>
      </c>
      <c r="M202" s="61">
        <f t="shared" si="98"/>
        <v>0</v>
      </c>
      <c r="N202" s="61">
        <f t="shared" si="98"/>
        <v>0</v>
      </c>
      <c r="O202" s="61">
        <f t="shared" si="98"/>
        <v>0</v>
      </c>
      <c r="P202" s="61">
        <f t="shared" si="98"/>
        <v>0</v>
      </c>
      <c r="Q202" s="61">
        <f t="shared" si="98"/>
        <v>0</v>
      </c>
      <c r="R202" s="61">
        <f t="shared" si="98"/>
        <v>0</v>
      </c>
      <c r="S202" s="61">
        <f t="shared" si="98"/>
        <v>0</v>
      </c>
      <c r="T202" s="61">
        <f t="shared" si="98"/>
        <v>0</v>
      </c>
      <c r="U202" s="61">
        <f t="shared" si="98"/>
        <v>0</v>
      </c>
      <c r="V202" s="61">
        <f t="shared" si="98"/>
        <v>0</v>
      </c>
      <c r="W202" s="61">
        <f t="shared" si="98"/>
        <v>0</v>
      </c>
      <c r="X202" s="61">
        <f t="shared" si="98"/>
        <v>0</v>
      </c>
      <c r="Y202" s="61">
        <f t="shared" si="98"/>
        <v>0</v>
      </c>
    </row>
    <row r="203" spans="1:28" x14ac:dyDescent="0.25">
      <c r="A203" s="127" t="str">
        <f>A$17</f>
        <v>Génisses jeunes</v>
      </c>
      <c r="B203" s="61">
        <f t="shared" ref="B203:Y203" si="99">IF(B78=4,B151,0)</f>
        <v>0</v>
      </c>
      <c r="C203" s="61">
        <f t="shared" si="99"/>
        <v>0</v>
      </c>
      <c r="D203" s="61">
        <f t="shared" si="99"/>
        <v>0</v>
      </c>
      <c r="E203" s="61">
        <f t="shared" si="99"/>
        <v>0</v>
      </c>
      <c r="F203" s="61">
        <f t="shared" si="99"/>
        <v>0</v>
      </c>
      <c r="G203" s="61">
        <f t="shared" si="99"/>
        <v>0</v>
      </c>
      <c r="H203" s="61">
        <f t="shared" si="99"/>
        <v>0</v>
      </c>
      <c r="I203" s="61">
        <f t="shared" si="99"/>
        <v>0</v>
      </c>
      <c r="J203" s="61">
        <f t="shared" si="99"/>
        <v>0</v>
      </c>
      <c r="K203" s="61">
        <f t="shared" si="99"/>
        <v>0</v>
      </c>
      <c r="L203" s="61">
        <f t="shared" si="99"/>
        <v>0</v>
      </c>
      <c r="M203" s="61">
        <f t="shared" si="99"/>
        <v>0</v>
      </c>
      <c r="N203" s="61">
        <f t="shared" si="99"/>
        <v>0</v>
      </c>
      <c r="O203" s="61">
        <f t="shared" si="99"/>
        <v>0</v>
      </c>
      <c r="P203" s="61">
        <f t="shared" si="99"/>
        <v>0</v>
      </c>
      <c r="Q203" s="61">
        <f t="shared" si="99"/>
        <v>0</v>
      </c>
      <c r="R203" s="61">
        <f t="shared" si="99"/>
        <v>0</v>
      </c>
      <c r="S203" s="61">
        <f t="shared" si="99"/>
        <v>0</v>
      </c>
      <c r="T203" s="61">
        <f t="shared" si="99"/>
        <v>0</v>
      </c>
      <c r="U203" s="61">
        <f t="shared" si="99"/>
        <v>0</v>
      </c>
      <c r="V203" s="61">
        <f t="shared" si="99"/>
        <v>0</v>
      </c>
      <c r="W203" s="61">
        <f t="shared" si="99"/>
        <v>0</v>
      </c>
      <c r="X203" s="61">
        <f t="shared" si="99"/>
        <v>0</v>
      </c>
      <c r="Y203" s="61">
        <f t="shared" si="99"/>
        <v>0</v>
      </c>
    </row>
    <row r="204" spans="1:28" x14ac:dyDescent="0.25">
      <c r="A204" s="128" t="str">
        <f>A$18</f>
        <v>broutards</v>
      </c>
      <c r="B204" s="61">
        <f t="shared" ref="B204:Y204" si="100">IF(B79=4,B152,0)</f>
        <v>0</v>
      </c>
      <c r="C204" s="61">
        <f t="shared" si="100"/>
        <v>0</v>
      </c>
      <c r="D204" s="61">
        <f t="shared" si="100"/>
        <v>0</v>
      </c>
      <c r="E204" s="61">
        <f t="shared" si="100"/>
        <v>0</v>
      </c>
      <c r="F204" s="61">
        <f t="shared" si="100"/>
        <v>0</v>
      </c>
      <c r="G204" s="61">
        <f t="shared" si="100"/>
        <v>0</v>
      </c>
      <c r="H204" s="61">
        <f t="shared" si="100"/>
        <v>0</v>
      </c>
      <c r="I204" s="61">
        <f t="shared" si="100"/>
        <v>0</v>
      </c>
      <c r="J204" s="61">
        <f t="shared" si="100"/>
        <v>0</v>
      </c>
      <c r="K204" s="61">
        <f t="shared" si="100"/>
        <v>0</v>
      </c>
      <c r="L204" s="61">
        <f t="shared" si="100"/>
        <v>0</v>
      </c>
      <c r="M204" s="61">
        <f t="shared" si="100"/>
        <v>0</v>
      </c>
      <c r="N204" s="61">
        <f t="shared" si="100"/>
        <v>0</v>
      </c>
      <c r="O204" s="61">
        <f t="shared" si="100"/>
        <v>0</v>
      </c>
      <c r="P204" s="61">
        <f t="shared" si="100"/>
        <v>0</v>
      </c>
      <c r="Q204" s="61">
        <f t="shared" si="100"/>
        <v>0</v>
      </c>
      <c r="R204" s="61">
        <f t="shared" si="100"/>
        <v>0</v>
      </c>
      <c r="S204" s="61">
        <f t="shared" si="100"/>
        <v>0</v>
      </c>
      <c r="T204" s="61">
        <f t="shared" si="100"/>
        <v>0</v>
      </c>
      <c r="U204" s="61">
        <f t="shared" si="100"/>
        <v>0</v>
      </c>
      <c r="V204" s="61">
        <f t="shared" si="100"/>
        <v>0</v>
      </c>
      <c r="W204" s="61">
        <f t="shared" si="100"/>
        <v>0</v>
      </c>
      <c r="X204" s="61">
        <f t="shared" si="100"/>
        <v>0</v>
      </c>
      <c r="Y204" s="61">
        <f t="shared" si="100"/>
        <v>0</v>
      </c>
    </row>
    <row r="205" spans="1:28" x14ac:dyDescent="0.25">
      <c r="A205" s="128" t="str">
        <f>A$19</f>
        <v>génisses &lt; 1 an</v>
      </c>
      <c r="B205" s="61">
        <f t="shared" ref="B205:Y205" si="101">IF(B80=4,B153,0)</f>
        <v>0</v>
      </c>
      <c r="C205" s="61">
        <f t="shared" si="101"/>
        <v>0</v>
      </c>
      <c r="D205" s="61">
        <f t="shared" si="101"/>
        <v>0</v>
      </c>
      <c r="E205" s="61">
        <f t="shared" si="101"/>
        <v>0</v>
      </c>
      <c r="F205" s="61">
        <f t="shared" si="101"/>
        <v>0</v>
      </c>
      <c r="G205" s="61">
        <f t="shared" si="101"/>
        <v>0</v>
      </c>
      <c r="H205" s="61">
        <f t="shared" si="101"/>
        <v>0</v>
      </c>
      <c r="I205" s="61">
        <f t="shared" si="101"/>
        <v>0</v>
      </c>
      <c r="J205" s="61">
        <f t="shared" si="101"/>
        <v>0</v>
      </c>
      <c r="K205" s="61">
        <f t="shared" si="101"/>
        <v>0</v>
      </c>
      <c r="L205" s="61">
        <f t="shared" si="101"/>
        <v>0</v>
      </c>
      <c r="M205" s="61">
        <f t="shared" si="101"/>
        <v>0</v>
      </c>
      <c r="N205" s="61">
        <f t="shared" si="101"/>
        <v>0</v>
      </c>
      <c r="O205" s="61">
        <f t="shared" si="101"/>
        <v>0</v>
      </c>
      <c r="P205" s="61">
        <f t="shared" si="101"/>
        <v>0</v>
      </c>
      <c r="Q205" s="61">
        <f t="shared" si="101"/>
        <v>0</v>
      </c>
      <c r="R205" s="61">
        <f t="shared" si="101"/>
        <v>0</v>
      </c>
      <c r="S205" s="61">
        <f t="shared" si="101"/>
        <v>0</v>
      </c>
      <c r="T205" s="61">
        <f t="shared" si="101"/>
        <v>0</v>
      </c>
      <c r="U205" s="61">
        <f t="shared" si="101"/>
        <v>0</v>
      </c>
      <c r="V205" s="61">
        <f t="shared" si="101"/>
        <v>0</v>
      </c>
      <c r="W205" s="61">
        <f t="shared" si="101"/>
        <v>0</v>
      </c>
      <c r="X205" s="61">
        <f t="shared" si="101"/>
        <v>0</v>
      </c>
      <c r="Y205" s="61">
        <f t="shared" si="101"/>
        <v>0</v>
      </c>
    </row>
    <row r="206" spans="1:28" x14ac:dyDescent="0.25">
      <c r="A206" s="128" t="str">
        <f>A$20</f>
        <v>lot6</v>
      </c>
      <c r="B206" s="61">
        <f t="shared" ref="B206:Y206" si="102">IF(B81=4,B154,0)</f>
        <v>0</v>
      </c>
      <c r="C206" s="61">
        <f t="shared" si="102"/>
        <v>0</v>
      </c>
      <c r="D206" s="61">
        <f t="shared" si="102"/>
        <v>0</v>
      </c>
      <c r="E206" s="61">
        <f t="shared" si="102"/>
        <v>0</v>
      </c>
      <c r="F206" s="61">
        <f t="shared" si="102"/>
        <v>0</v>
      </c>
      <c r="G206" s="61">
        <f t="shared" si="102"/>
        <v>0</v>
      </c>
      <c r="H206" s="61">
        <f t="shared" si="102"/>
        <v>0</v>
      </c>
      <c r="I206" s="61">
        <f t="shared" si="102"/>
        <v>0</v>
      </c>
      <c r="J206" s="61">
        <f t="shared" si="102"/>
        <v>0</v>
      </c>
      <c r="K206" s="61">
        <f t="shared" si="102"/>
        <v>0</v>
      </c>
      <c r="L206" s="61">
        <f t="shared" si="102"/>
        <v>0</v>
      </c>
      <c r="M206" s="61">
        <f t="shared" si="102"/>
        <v>0</v>
      </c>
      <c r="N206" s="61">
        <f t="shared" si="102"/>
        <v>0</v>
      </c>
      <c r="O206" s="61">
        <f t="shared" si="102"/>
        <v>0</v>
      </c>
      <c r="P206" s="61">
        <f t="shared" si="102"/>
        <v>0</v>
      </c>
      <c r="Q206" s="61">
        <f t="shared" si="102"/>
        <v>0</v>
      </c>
      <c r="R206" s="61">
        <f t="shared" si="102"/>
        <v>0</v>
      </c>
      <c r="S206" s="61">
        <f t="shared" si="102"/>
        <v>0</v>
      </c>
      <c r="T206" s="61">
        <f t="shared" si="102"/>
        <v>0</v>
      </c>
      <c r="U206" s="61">
        <f t="shared" si="102"/>
        <v>0</v>
      </c>
      <c r="V206" s="61">
        <f t="shared" si="102"/>
        <v>0</v>
      </c>
      <c r="W206" s="61">
        <f t="shared" si="102"/>
        <v>0</v>
      </c>
      <c r="X206" s="61">
        <f t="shared" si="102"/>
        <v>0</v>
      </c>
      <c r="Y206" s="61">
        <f t="shared" si="102"/>
        <v>0</v>
      </c>
    </row>
    <row r="207" spans="1:28" x14ac:dyDescent="0.25">
      <c r="A207" s="127" t="str">
        <f>A$21</f>
        <v>lot7</v>
      </c>
      <c r="B207" s="61">
        <f t="shared" ref="B207:Y207" si="103">IF(B82=4,B155,0)</f>
        <v>0</v>
      </c>
      <c r="C207" s="61">
        <f t="shared" si="103"/>
        <v>0</v>
      </c>
      <c r="D207" s="61">
        <f t="shared" si="103"/>
        <v>0</v>
      </c>
      <c r="E207" s="61">
        <f t="shared" si="103"/>
        <v>0</v>
      </c>
      <c r="F207" s="61">
        <f t="shared" si="103"/>
        <v>0</v>
      </c>
      <c r="G207" s="61">
        <f t="shared" si="103"/>
        <v>0</v>
      </c>
      <c r="H207" s="61">
        <f t="shared" si="103"/>
        <v>0</v>
      </c>
      <c r="I207" s="61">
        <f t="shared" si="103"/>
        <v>0</v>
      </c>
      <c r="J207" s="61">
        <f t="shared" si="103"/>
        <v>0</v>
      </c>
      <c r="K207" s="61">
        <f t="shared" si="103"/>
        <v>0</v>
      </c>
      <c r="L207" s="61">
        <f t="shared" si="103"/>
        <v>0</v>
      </c>
      <c r="M207" s="61">
        <f t="shared" si="103"/>
        <v>0</v>
      </c>
      <c r="N207" s="61">
        <f t="shared" si="103"/>
        <v>0</v>
      </c>
      <c r="O207" s="61">
        <f t="shared" si="103"/>
        <v>0</v>
      </c>
      <c r="P207" s="61">
        <f t="shared" si="103"/>
        <v>0</v>
      </c>
      <c r="Q207" s="61">
        <f t="shared" si="103"/>
        <v>0</v>
      </c>
      <c r="R207" s="61">
        <f t="shared" si="103"/>
        <v>0</v>
      </c>
      <c r="S207" s="61">
        <f t="shared" si="103"/>
        <v>0</v>
      </c>
      <c r="T207" s="61">
        <f t="shared" si="103"/>
        <v>0</v>
      </c>
      <c r="U207" s="61">
        <f t="shared" si="103"/>
        <v>0</v>
      </c>
      <c r="V207" s="61">
        <f t="shared" si="103"/>
        <v>0</v>
      </c>
      <c r="W207" s="61">
        <f t="shared" si="103"/>
        <v>0</v>
      </c>
      <c r="X207" s="61">
        <f t="shared" si="103"/>
        <v>0</v>
      </c>
      <c r="Y207" s="61">
        <f t="shared" si="103"/>
        <v>0</v>
      </c>
    </row>
    <row r="208" spans="1:28" x14ac:dyDescent="0.25">
      <c r="A208" s="128" t="str">
        <f>A$22</f>
        <v>lot8</v>
      </c>
      <c r="B208" s="61">
        <f t="shared" ref="B208:Y208" si="104">IF(B83=4,B156,0)</f>
        <v>0</v>
      </c>
      <c r="C208" s="61">
        <f t="shared" si="104"/>
        <v>0</v>
      </c>
      <c r="D208" s="61">
        <f t="shared" si="104"/>
        <v>0</v>
      </c>
      <c r="E208" s="61">
        <f t="shared" si="104"/>
        <v>0</v>
      </c>
      <c r="F208" s="61">
        <f t="shared" si="104"/>
        <v>0</v>
      </c>
      <c r="G208" s="61">
        <f t="shared" si="104"/>
        <v>0</v>
      </c>
      <c r="H208" s="61">
        <f t="shared" si="104"/>
        <v>0</v>
      </c>
      <c r="I208" s="61">
        <f t="shared" si="104"/>
        <v>0</v>
      </c>
      <c r="J208" s="61">
        <f t="shared" si="104"/>
        <v>0</v>
      </c>
      <c r="K208" s="61">
        <f t="shared" si="104"/>
        <v>0</v>
      </c>
      <c r="L208" s="61">
        <f t="shared" si="104"/>
        <v>0</v>
      </c>
      <c r="M208" s="61">
        <f t="shared" si="104"/>
        <v>0</v>
      </c>
      <c r="N208" s="61">
        <f t="shared" si="104"/>
        <v>0</v>
      </c>
      <c r="O208" s="61">
        <f t="shared" si="104"/>
        <v>0</v>
      </c>
      <c r="P208" s="61">
        <f t="shared" si="104"/>
        <v>0</v>
      </c>
      <c r="Q208" s="61">
        <f t="shared" si="104"/>
        <v>0</v>
      </c>
      <c r="R208" s="61">
        <f t="shared" si="104"/>
        <v>0</v>
      </c>
      <c r="S208" s="61">
        <f t="shared" si="104"/>
        <v>0</v>
      </c>
      <c r="T208" s="61">
        <f t="shared" si="104"/>
        <v>0</v>
      </c>
      <c r="U208" s="61">
        <f t="shared" si="104"/>
        <v>0</v>
      </c>
      <c r="V208" s="61">
        <f t="shared" si="104"/>
        <v>0</v>
      </c>
      <c r="W208" s="61">
        <f t="shared" si="104"/>
        <v>0</v>
      </c>
      <c r="X208" s="61">
        <f t="shared" si="104"/>
        <v>0</v>
      </c>
      <c r="Y208" s="61">
        <f t="shared" si="104"/>
        <v>0</v>
      </c>
    </row>
    <row r="209" spans="1:28" x14ac:dyDescent="0.25">
      <c r="A209" s="128" t="str">
        <f>A$23</f>
        <v>lot9</v>
      </c>
      <c r="B209" s="61">
        <f t="shared" ref="B209:Y209" si="105">IF(B84=4,B157,0)</f>
        <v>0</v>
      </c>
      <c r="C209" s="61">
        <f t="shared" si="105"/>
        <v>0</v>
      </c>
      <c r="D209" s="61">
        <f t="shared" si="105"/>
        <v>0</v>
      </c>
      <c r="E209" s="61">
        <f t="shared" si="105"/>
        <v>0</v>
      </c>
      <c r="F209" s="61">
        <f t="shared" si="105"/>
        <v>0</v>
      </c>
      <c r="G209" s="61">
        <f t="shared" si="105"/>
        <v>0</v>
      </c>
      <c r="H209" s="61">
        <f t="shared" si="105"/>
        <v>0</v>
      </c>
      <c r="I209" s="61">
        <f t="shared" si="105"/>
        <v>0</v>
      </c>
      <c r="J209" s="61">
        <f t="shared" si="105"/>
        <v>0</v>
      </c>
      <c r="K209" s="61">
        <f t="shared" si="105"/>
        <v>0</v>
      </c>
      <c r="L209" s="61">
        <f t="shared" si="105"/>
        <v>0</v>
      </c>
      <c r="M209" s="61">
        <f t="shared" si="105"/>
        <v>0</v>
      </c>
      <c r="N209" s="61">
        <f t="shared" si="105"/>
        <v>0</v>
      </c>
      <c r="O209" s="61">
        <f t="shared" si="105"/>
        <v>0</v>
      </c>
      <c r="P209" s="61">
        <f t="shared" si="105"/>
        <v>0</v>
      </c>
      <c r="Q209" s="61">
        <f t="shared" si="105"/>
        <v>0</v>
      </c>
      <c r="R209" s="61">
        <f t="shared" si="105"/>
        <v>0</v>
      </c>
      <c r="S209" s="61">
        <f t="shared" si="105"/>
        <v>0</v>
      </c>
      <c r="T209" s="61">
        <f t="shared" si="105"/>
        <v>0</v>
      </c>
      <c r="U209" s="61">
        <f t="shared" si="105"/>
        <v>0</v>
      </c>
      <c r="V209" s="61">
        <f t="shared" si="105"/>
        <v>0</v>
      </c>
      <c r="W209" s="61">
        <f t="shared" si="105"/>
        <v>0</v>
      </c>
      <c r="X209" s="61">
        <f t="shared" si="105"/>
        <v>0</v>
      </c>
      <c r="Y209" s="61">
        <f t="shared" si="105"/>
        <v>0</v>
      </c>
    </row>
    <row r="210" spans="1:28" x14ac:dyDescent="0.25">
      <c r="A210" s="128" t="str">
        <f>A$24</f>
        <v>lot10</v>
      </c>
      <c r="B210" s="61">
        <f t="shared" ref="B210:Y210" si="106">IF(B85=4,B158,0)</f>
        <v>0</v>
      </c>
      <c r="C210" s="61">
        <f t="shared" si="106"/>
        <v>0</v>
      </c>
      <c r="D210" s="61">
        <f t="shared" si="106"/>
        <v>0</v>
      </c>
      <c r="E210" s="61">
        <f t="shared" si="106"/>
        <v>0</v>
      </c>
      <c r="F210" s="61">
        <f t="shared" si="106"/>
        <v>0</v>
      </c>
      <c r="G210" s="61">
        <f t="shared" si="106"/>
        <v>0</v>
      </c>
      <c r="H210" s="61">
        <f t="shared" si="106"/>
        <v>0</v>
      </c>
      <c r="I210" s="61">
        <f t="shared" si="106"/>
        <v>0</v>
      </c>
      <c r="J210" s="61">
        <f t="shared" si="106"/>
        <v>0</v>
      </c>
      <c r="K210" s="61">
        <f t="shared" si="106"/>
        <v>0</v>
      </c>
      <c r="L210" s="61">
        <f t="shared" si="106"/>
        <v>0</v>
      </c>
      <c r="M210" s="61">
        <f t="shared" si="106"/>
        <v>0</v>
      </c>
      <c r="N210" s="61">
        <f t="shared" si="106"/>
        <v>0</v>
      </c>
      <c r="O210" s="61">
        <f t="shared" si="106"/>
        <v>0</v>
      </c>
      <c r="P210" s="61">
        <f t="shared" si="106"/>
        <v>0</v>
      </c>
      <c r="Q210" s="61">
        <f t="shared" si="106"/>
        <v>0</v>
      </c>
      <c r="R210" s="61">
        <f t="shared" si="106"/>
        <v>0</v>
      </c>
      <c r="S210" s="61">
        <f t="shared" si="106"/>
        <v>0</v>
      </c>
      <c r="T210" s="61">
        <f t="shared" si="106"/>
        <v>0</v>
      </c>
      <c r="U210" s="61">
        <f t="shared" si="106"/>
        <v>0</v>
      </c>
      <c r="V210" s="61">
        <f t="shared" si="106"/>
        <v>0</v>
      </c>
      <c r="W210" s="61">
        <f t="shared" si="106"/>
        <v>0</v>
      </c>
      <c r="X210" s="61">
        <f t="shared" si="106"/>
        <v>0</v>
      </c>
      <c r="Y210" s="61">
        <f t="shared" si="106"/>
        <v>0</v>
      </c>
    </row>
    <row r="211" spans="1:28" x14ac:dyDescent="0.25">
      <c r="A211" s="38" t="s">
        <v>315</v>
      </c>
      <c r="B211" s="61">
        <f>SUM(B201:B210)</f>
        <v>0</v>
      </c>
      <c r="C211" s="61">
        <f t="shared" ref="C211:Y211" si="107">SUM(C201:C210)</f>
        <v>0</v>
      </c>
      <c r="D211" s="61">
        <f t="shared" si="107"/>
        <v>0</v>
      </c>
      <c r="E211" s="61">
        <f t="shared" si="107"/>
        <v>0</v>
      </c>
      <c r="F211" s="61">
        <f t="shared" si="107"/>
        <v>0</v>
      </c>
      <c r="G211" s="61">
        <f t="shared" si="107"/>
        <v>0</v>
      </c>
      <c r="H211" s="61">
        <f t="shared" si="107"/>
        <v>0</v>
      </c>
      <c r="I211" s="61">
        <f t="shared" si="107"/>
        <v>0</v>
      </c>
      <c r="J211" s="61">
        <f t="shared" si="107"/>
        <v>0</v>
      </c>
      <c r="K211" s="61">
        <f t="shared" si="107"/>
        <v>0</v>
      </c>
      <c r="L211" s="61">
        <f t="shared" si="107"/>
        <v>0</v>
      </c>
      <c r="M211" s="61">
        <f t="shared" si="107"/>
        <v>0</v>
      </c>
      <c r="N211" s="61">
        <f t="shared" si="107"/>
        <v>0</v>
      </c>
      <c r="O211" s="61">
        <f t="shared" si="107"/>
        <v>0</v>
      </c>
      <c r="P211" s="61">
        <f t="shared" si="107"/>
        <v>0</v>
      </c>
      <c r="Q211" s="61">
        <f t="shared" si="107"/>
        <v>0</v>
      </c>
      <c r="R211" s="61">
        <f t="shared" si="107"/>
        <v>0</v>
      </c>
      <c r="S211" s="61">
        <f t="shared" si="107"/>
        <v>0</v>
      </c>
      <c r="T211" s="61">
        <f t="shared" si="107"/>
        <v>0</v>
      </c>
      <c r="U211" s="61">
        <f t="shared" si="107"/>
        <v>0</v>
      </c>
      <c r="V211" s="61">
        <f t="shared" si="107"/>
        <v>0</v>
      </c>
      <c r="W211" s="61">
        <f t="shared" si="107"/>
        <v>0</v>
      </c>
      <c r="X211" s="61">
        <f t="shared" si="107"/>
        <v>0</v>
      </c>
      <c r="Y211" s="61">
        <f t="shared" si="107"/>
        <v>0</v>
      </c>
      <c r="AA211" s="64">
        <f>SUM(B211:Y211)</f>
        <v>0</v>
      </c>
      <c r="AB211" t="s">
        <v>214</v>
      </c>
    </row>
    <row r="214" spans="1:28" x14ac:dyDescent="0.25">
      <c r="A214" s="2" t="s">
        <v>217</v>
      </c>
    </row>
    <row r="215" spans="1:28" x14ac:dyDescent="0.25">
      <c r="A215" s="38" t="s">
        <v>218</v>
      </c>
      <c r="B215" s="61">
        <f>B172</f>
        <v>0</v>
      </c>
      <c r="C215" s="61">
        <f t="shared" ref="C215:Y215" si="108">C172</f>
        <v>0</v>
      </c>
      <c r="D215" s="61">
        <f t="shared" si="108"/>
        <v>0</v>
      </c>
      <c r="E215" s="61">
        <f t="shared" si="108"/>
        <v>0</v>
      </c>
      <c r="F215" s="61">
        <f t="shared" si="108"/>
        <v>7.5974799999999991</v>
      </c>
      <c r="G215" s="61">
        <f t="shared" si="108"/>
        <v>7.5974799999999991</v>
      </c>
      <c r="H215" s="61">
        <f t="shared" si="108"/>
        <v>6.6205499999999979</v>
      </c>
      <c r="I215" s="61">
        <f t="shared" si="108"/>
        <v>6.6205499999999979</v>
      </c>
      <c r="J215" s="61">
        <f t="shared" si="108"/>
        <v>6.8412349999999993</v>
      </c>
      <c r="K215" s="61">
        <f t="shared" si="108"/>
        <v>7.1894269999999993</v>
      </c>
      <c r="L215" s="61">
        <f t="shared" si="108"/>
        <v>6.9575099999999974</v>
      </c>
      <c r="M215" s="61">
        <f t="shared" si="108"/>
        <v>7.1821499999999983</v>
      </c>
      <c r="N215" s="61">
        <f t="shared" si="108"/>
        <v>7.4215549999999997</v>
      </c>
      <c r="O215" s="61">
        <f t="shared" si="108"/>
        <v>7.4215549999999997</v>
      </c>
      <c r="P215" s="61">
        <f t="shared" si="108"/>
        <v>7.4215549999999997</v>
      </c>
      <c r="Q215" s="61">
        <f t="shared" si="108"/>
        <v>7.1633250000000004</v>
      </c>
      <c r="R215" s="61">
        <f t="shared" si="108"/>
        <v>5.9802</v>
      </c>
      <c r="S215" s="61">
        <f t="shared" si="108"/>
        <v>5.4188400000000003</v>
      </c>
      <c r="T215" s="61">
        <f t="shared" si="108"/>
        <v>7.0918079999999994</v>
      </c>
      <c r="U215" s="61">
        <f t="shared" si="108"/>
        <v>1.7796479999999999</v>
      </c>
      <c r="V215" s="61">
        <f t="shared" si="108"/>
        <v>1.7222399999999998</v>
      </c>
      <c r="W215" s="61">
        <f t="shared" si="108"/>
        <v>0</v>
      </c>
      <c r="X215" s="61">
        <f t="shared" si="108"/>
        <v>0</v>
      </c>
      <c r="Y215" s="61">
        <f t="shared" si="108"/>
        <v>0</v>
      </c>
    </row>
    <row r="216" spans="1:28" x14ac:dyDescent="0.25">
      <c r="A216" s="38" t="s">
        <v>219</v>
      </c>
      <c r="B216" s="61">
        <f>B185</f>
        <v>0</v>
      </c>
      <c r="C216" s="61">
        <f t="shared" ref="C216:Y216" si="109">C185</f>
        <v>0</v>
      </c>
      <c r="D216" s="61">
        <f t="shared" si="109"/>
        <v>0</v>
      </c>
      <c r="E216" s="61">
        <f t="shared" si="109"/>
        <v>0</v>
      </c>
      <c r="F216" s="61">
        <f t="shared" si="109"/>
        <v>0</v>
      </c>
      <c r="G216" s="61">
        <f t="shared" si="109"/>
        <v>0</v>
      </c>
      <c r="H216" s="61">
        <f t="shared" si="109"/>
        <v>0</v>
      </c>
      <c r="I216" s="61">
        <f t="shared" si="109"/>
        <v>0</v>
      </c>
      <c r="J216" s="61">
        <f t="shared" si="109"/>
        <v>0</v>
      </c>
      <c r="K216" s="61">
        <f t="shared" si="109"/>
        <v>0</v>
      </c>
      <c r="L216" s="61">
        <f t="shared" si="109"/>
        <v>0</v>
      </c>
      <c r="M216" s="61">
        <f t="shared" si="109"/>
        <v>0</v>
      </c>
      <c r="N216" s="61">
        <f t="shared" si="109"/>
        <v>0</v>
      </c>
      <c r="O216" s="61">
        <f t="shared" si="109"/>
        <v>0</v>
      </c>
      <c r="P216" s="61">
        <f t="shared" si="109"/>
        <v>0</v>
      </c>
      <c r="Q216" s="61">
        <f t="shared" si="109"/>
        <v>0</v>
      </c>
      <c r="R216" s="61">
        <f t="shared" si="109"/>
        <v>0</v>
      </c>
      <c r="S216" s="61">
        <f t="shared" si="109"/>
        <v>0</v>
      </c>
      <c r="T216" s="61">
        <f t="shared" si="109"/>
        <v>0</v>
      </c>
      <c r="U216" s="61">
        <f t="shared" si="109"/>
        <v>0</v>
      </c>
      <c r="V216" s="61">
        <f t="shared" si="109"/>
        <v>0</v>
      </c>
      <c r="W216" s="61">
        <f t="shared" si="109"/>
        <v>0</v>
      </c>
      <c r="X216" s="61">
        <f t="shared" si="109"/>
        <v>0</v>
      </c>
      <c r="Y216" s="61">
        <f t="shared" si="109"/>
        <v>0</v>
      </c>
    </row>
    <row r="217" spans="1:28" x14ac:dyDescent="0.25">
      <c r="A217" s="38" t="s">
        <v>220</v>
      </c>
      <c r="B217" s="61">
        <f>B198</f>
        <v>0</v>
      </c>
      <c r="C217" s="61">
        <f t="shared" ref="C217:Y217" si="110">C198</f>
        <v>0</v>
      </c>
      <c r="D217" s="61">
        <f t="shared" si="110"/>
        <v>0</v>
      </c>
      <c r="E217" s="61">
        <f t="shared" si="110"/>
        <v>0</v>
      </c>
      <c r="F217" s="61">
        <f t="shared" si="110"/>
        <v>0</v>
      </c>
      <c r="G217" s="61">
        <f t="shared" si="110"/>
        <v>0</v>
      </c>
      <c r="H217" s="61">
        <f t="shared" si="110"/>
        <v>0</v>
      </c>
      <c r="I217" s="61">
        <f t="shared" si="110"/>
        <v>0</v>
      </c>
      <c r="J217" s="61">
        <f t="shared" si="110"/>
        <v>0</v>
      </c>
      <c r="K217" s="61">
        <f t="shared" si="110"/>
        <v>0</v>
      </c>
      <c r="L217" s="61">
        <f t="shared" si="110"/>
        <v>0</v>
      </c>
      <c r="M217" s="61">
        <f t="shared" si="110"/>
        <v>0</v>
      </c>
      <c r="N217" s="61">
        <f t="shared" si="110"/>
        <v>0</v>
      </c>
      <c r="O217" s="61">
        <f t="shared" si="110"/>
        <v>0</v>
      </c>
      <c r="P217" s="61">
        <f t="shared" si="110"/>
        <v>0</v>
      </c>
      <c r="Q217" s="61">
        <f t="shared" si="110"/>
        <v>0</v>
      </c>
      <c r="R217" s="61">
        <f t="shared" si="110"/>
        <v>0</v>
      </c>
      <c r="S217" s="61">
        <f t="shared" si="110"/>
        <v>0</v>
      </c>
      <c r="T217" s="61">
        <f t="shared" si="110"/>
        <v>0</v>
      </c>
      <c r="U217" s="61">
        <f t="shared" si="110"/>
        <v>0</v>
      </c>
      <c r="V217" s="61">
        <f t="shared" si="110"/>
        <v>0</v>
      </c>
      <c r="W217" s="61">
        <f t="shared" si="110"/>
        <v>0</v>
      </c>
      <c r="X217" s="61">
        <f t="shared" si="110"/>
        <v>0</v>
      </c>
      <c r="Y217" s="61">
        <f t="shared" si="110"/>
        <v>0</v>
      </c>
    </row>
    <row r="218" spans="1:28" x14ac:dyDescent="0.25">
      <c r="A218" s="38" t="s">
        <v>221</v>
      </c>
      <c r="B218" s="61">
        <f>B211</f>
        <v>0</v>
      </c>
      <c r="C218" s="61">
        <f t="shared" ref="C218:Y218" si="111">C211</f>
        <v>0</v>
      </c>
      <c r="D218" s="61">
        <f t="shared" si="111"/>
        <v>0</v>
      </c>
      <c r="E218" s="61">
        <f t="shared" si="111"/>
        <v>0</v>
      </c>
      <c r="F218" s="61">
        <f t="shared" si="111"/>
        <v>0</v>
      </c>
      <c r="G218" s="61">
        <f t="shared" si="111"/>
        <v>0</v>
      </c>
      <c r="H218" s="61">
        <f t="shared" si="111"/>
        <v>0</v>
      </c>
      <c r="I218" s="61">
        <f t="shared" si="111"/>
        <v>0</v>
      </c>
      <c r="J218" s="61">
        <f t="shared" si="111"/>
        <v>0</v>
      </c>
      <c r="K218" s="61">
        <f t="shared" si="111"/>
        <v>0</v>
      </c>
      <c r="L218" s="61">
        <f t="shared" si="111"/>
        <v>0</v>
      </c>
      <c r="M218" s="61">
        <f t="shared" si="111"/>
        <v>0</v>
      </c>
      <c r="N218" s="61">
        <f t="shared" si="111"/>
        <v>0</v>
      </c>
      <c r="O218" s="61">
        <f t="shared" si="111"/>
        <v>0</v>
      </c>
      <c r="P218" s="61">
        <f t="shared" si="111"/>
        <v>0</v>
      </c>
      <c r="Q218" s="61">
        <f t="shared" si="111"/>
        <v>0</v>
      </c>
      <c r="R218" s="61">
        <f t="shared" si="111"/>
        <v>0</v>
      </c>
      <c r="S218" s="61">
        <f t="shared" si="111"/>
        <v>0</v>
      </c>
      <c r="T218" s="61">
        <f t="shared" si="111"/>
        <v>0</v>
      </c>
      <c r="U218" s="61">
        <f t="shared" si="111"/>
        <v>0</v>
      </c>
      <c r="V218" s="61">
        <f t="shared" si="111"/>
        <v>0</v>
      </c>
      <c r="W218" s="61">
        <f t="shared" si="111"/>
        <v>0</v>
      </c>
      <c r="X218" s="61">
        <f t="shared" si="111"/>
        <v>0</v>
      </c>
      <c r="Y218" s="61">
        <f t="shared" si="111"/>
        <v>0</v>
      </c>
    </row>
    <row r="219" spans="1:28" x14ac:dyDescent="0.25">
      <c r="AA219" s="30">
        <f>SUM(B215:Y218)</f>
        <v>108.02710799999998</v>
      </c>
      <c r="AB219" t="s">
        <v>223</v>
      </c>
    </row>
    <row r="220" spans="1:28" x14ac:dyDescent="0.25">
      <c r="AA220" s="30">
        <f>SUM(B215:Y217)</f>
        <v>108.02710799999998</v>
      </c>
      <c r="AB220" t="s">
        <v>224</v>
      </c>
    </row>
    <row r="221" spans="1:28" x14ac:dyDescent="0.25">
      <c r="AA221" s="30">
        <f>SUM(B218:Y218)</f>
        <v>0</v>
      </c>
      <c r="AB221" t="s">
        <v>225</v>
      </c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1"/>
  <sheetViews>
    <sheetView topLeftCell="U1" workbookViewId="0">
      <pane ySplit="1" topLeftCell="A2" activePane="bottomLeft" state="frozen"/>
      <selection pane="bottomLeft" activeCell="AH1" sqref="AH1:BI11"/>
    </sheetView>
  </sheetViews>
  <sheetFormatPr baseColWidth="10" defaultRowHeight="15" x14ac:dyDescent="0.25"/>
  <cols>
    <col min="1" max="1" width="25.7109375" customWidth="1"/>
    <col min="2" max="2" width="5.5703125" style="82" customWidth="1"/>
    <col min="3" max="25" width="4.85546875" style="82" customWidth="1"/>
    <col min="26" max="26" width="2.5703125" style="5" customWidth="1"/>
    <col min="27" max="27" width="9.28515625" customWidth="1"/>
    <col min="28" max="28" width="9" customWidth="1"/>
    <col min="29" max="29" width="35.85546875" bestFit="1" customWidth="1"/>
    <col min="30" max="30" width="4.5703125" customWidth="1"/>
    <col min="31" max="31" width="3" style="17" customWidth="1"/>
    <col min="33" max="33" width="25" customWidth="1"/>
    <col min="34" max="34" width="6.28515625" customWidth="1"/>
    <col min="36" max="36" width="8.42578125" customWidth="1"/>
    <col min="37" max="83" width="4.85546875" customWidth="1"/>
  </cols>
  <sheetData>
    <row r="1" spans="1:61" x14ac:dyDescent="0.25">
      <c r="B1" s="305" t="s">
        <v>2</v>
      </c>
      <c r="C1" s="305"/>
      <c r="D1" s="305" t="s">
        <v>0</v>
      </c>
      <c r="E1" s="305"/>
      <c r="F1" s="305" t="s">
        <v>1</v>
      </c>
      <c r="G1" s="305"/>
      <c r="H1" s="305" t="s">
        <v>3</v>
      </c>
      <c r="I1" s="305"/>
      <c r="J1" s="305" t="s">
        <v>4</v>
      </c>
      <c r="K1" s="305"/>
      <c r="L1" s="305" t="s">
        <v>5</v>
      </c>
      <c r="M1" s="305"/>
      <c r="N1" s="305" t="s">
        <v>6</v>
      </c>
      <c r="O1" s="305"/>
      <c r="P1" s="305" t="s">
        <v>7</v>
      </c>
      <c r="Q1" s="305"/>
      <c r="R1" s="305" t="s">
        <v>8</v>
      </c>
      <c r="S1" s="305"/>
      <c r="T1" s="305" t="s">
        <v>9</v>
      </c>
      <c r="U1" s="305"/>
      <c r="V1" s="305" t="s">
        <v>10</v>
      </c>
      <c r="W1" s="305"/>
      <c r="X1" s="305" t="s">
        <v>11</v>
      </c>
      <c r="Y1" s="305"/>
      <c r="Z1" s="83"/>
      <c r="AA1" t="s">
        <v>177</v>
      </c>
      <c r="AK1" t="s">
        <v>1388</v>
      </c>
    </row>
    <row r="2" spans="1:61" x14ac:dyDescent="0.25">
      <c r="B2" s="82">
        <v>1</v>
      </c>
      <c r="C2" s="82">
        <v>2</v>
      </c>
      <c r="D2" s="82">
        <v>3</v>
      </c>
      <c r="E2" s="82">
        <v>4</v>
      </c>
      <c r="F2" s="82">
        <v>5</v>
      </c>
      <c r="G2" s="82">
        <v>6</v>
      </c>
      <c r="H2" s="82">
        <v>7</v>
      </c>
      <c r="I2" s="82">
        <v>8</v>
      </c>
      <c r="J2" s="82">
        <v>9</v>
      </c>
      <c r="K2" s="82">
        <v>10</v>
      </c>
      <c r="L2" s="82">
        <v>11</v>
      </c>
      <c r="M2" s="82">
        <v>12</v>
      </c>
      <c r="N2" s="82">
        <v>13</v>
      </c>
      <c r="O2" s="82">
        <v>14</v>
      </c>
      <c r="P2" s="82">
        <v>15</v>
      </c>
      <c r="Q2" s="82">
        <v>16</v>
      </c>
      <c r="R2" s="82">
        <v>17</v>
      </c>
      <c r="S2" s="82">
        <v>18</v>
      </c>
      <c r="T2" s="82">
        <v>19</v>
      </c>
      <c r="U2" s="82">
        <v>20</v>
      </c>
      <c r="V2" s="82">
        <v>21</v>
      </c>
      <c r="W2" s="82">
        <v>22</v>
      </c>
      <c r="X2" s="82">
        <v>23</v>
      </c>
      <c r="Y2" s="82">
        <v>24</v>
      </c>
      <c r="AH2" s="14" t="s">
        <v>1390</v>
      </c>
      <c r="AI2" s="1"/>
      <c r="AK2" s="50" t="s">
        <v>227</v>
      </c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</row>
    <row r="3" spans="1:61" x14ac:dyDescent="0.25">
      <c r="A3" t="s">
        <v>176</v>
      </c>
      <c r="B3" s="82">
        <v>15.5</v>
      </c>
      <c r="C3" s="82">
        <v>15.5</v>
      </c>
      <c r="D3" s="82">
        <v>14</v>
      </c>
      <c r="E3" s="82">
        <v>14</v>
      </c>
      <c r="F3" s="82">
        <v>15.5</v>
      </c>
      <c r="G3" s="82">
        <v>15.5</v>
      </c>
      <c r="H3" s="82">
        <v>15</v>
      </c>
      <c r="I3" s="82">
        <v>15</v>
      </c>
      <c r="J3" s="82">
        <v>15.5</v>
      </c>
      <c r="K3" s="82">
        <v>15.5</v>
      </c>
      <c r="L3" s="82">
        <v>15</v>
      </c>
      <c r="M3" s="82">
        <v>15</v>
      </c>
      <c r="N3" s="82">
        <v>15.5</v>
      </c>
      <c r="O3" s="82">
        <v>15.5</v>
      </c>
      <c r="P3" s="82">
        <v>15.5</v>
      </c>
      <c r="Q3" s="82">
        <v>15.5</v>
      </c>
      <c r="R3" s="82">
        <v>15</v>
      </c>
      <c r="S3" s="82">
        <v>15</v>
      </c>
      <c r="T3" s="82">
        <v>15.5</v>
      </c>
      <c r="U3" s="82">
        <v>15.5</v>
      </c>
      <c r="V3" s="82">
        <v>15</v>
      </c>
      <c r="W3" s="82">
        <v>15</v>
      </c>
      <c r="X3" s="82">
        <v>15.5</v>
      </c>
      <c r="Y3" s="82">
        <v>15.5</v>
      </c>
      <c r="AA3">
        <f>SUM(B3:Y3)</f>
        <v>365</v>
      </c>
      <c r="AB3" t="s">
        <v>35</v>
      </c>
      <c r="AC3" s="2" t="s">
        <v>181</v>
      </c>
      <c r="AK3" s="50" t="s">
        <v>156</v>
      </c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</row>
    <row r="4" spans="1:61" x14ac:dyDescent="0.25">
      <c r="A4" s="2" t="s">
        <v>327</v>
      </c>
      <c r="AC4" t="s">
        <v>182</v>
      </c>
      <c r="AF4" s="45"/>
      <c r="AK4" s="50" t="s">
        <v>157</v>
      </c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</row>
    <row r="5" spans="1:61" x14ac:dyDescent="0.25">
      <c r="A5" s="51" t="s">
        <v>328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52"/>
      <c r="AC5" t="s">
        <v>183</v>
      </c>
      <c r="AE5" s="17">
        <v>2</v>
      </c>
      <c r="AF5" s="125">
        <f>HLOOKUP(AF$4,[1]Anx!$C$36:$CO$48,AE5)</f>
        <v>0</v>
      </c>
      <c r="AG5" s="5"/>
      <c r="AK5" s="50" t="s">
        <v>158</v>
      </c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</row>
    <row r="6" spans="1:61" x14ac:dyDescent="0.25">
      <c r="A6" s="51" t="s">
        <v>329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52"/>
      <c r="AC6" t="s">
        <v>198</v>
      </c>
      <c r="AD6">
        <v>1</v>
      </c>
      <c r="AE6" s="17">
        <v>3</v>
      </c>
      <c r="AF6" s="125">
        <f>HLOOKUP(AF$4,[1]Anx!$C$36:$CO$48,AE6)</f>
        <v>0</v>
      </c>
      <c r="AG6" t="s">
        <v>193</v>
      </c>
      <c r="AK6" s="50" t="s">
        <v>159</v>
      </c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</row>
    <row r="7" spans="1:61" x14ac:dyDescent="0.25">
      <c r="A7" s="137" t="s">
        <v>331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52"/>
      <c r="AC7" t="s">
        <v>199</v>
      </c>
      <c r="AD7">
        <v>2</v>
      </c>
      <c r="AE7" s="17">
        <v>4</v>
      </c>
      <c r="AF7" s="125">
        <f>HLOOKUP(AF$4,[1]Anx!$C$36:$CO$48,AE7)</f>
        <v>0</v>
      </c>
      <c r="AG7" t="s">
        <v>194</v>
      </c>
      <c r="AK7" s="50" t="s">
        <v>160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</row>
    <row r="8" spans="1:61" x14ac:dyDescent="0.25">
      <c r="A8" s="51" t="s">
        <v>330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52"/>
      <c r="AC8" t="s">
        <v>200</v>
      </c>
      <c r="AD8">
        <v>3</v>
      </c>
      <c r="AE8" s="17">
        <v>5</v>
      </c>
      <c r="AF8" s="125">
        <f>HLOOKUP(AF$4,[1]Anx!$C$36:$CO$48,AE8)</f>
        <v>0</v>
      </c>
      <c r="AG8" t="s">
        <v>195</v>
      </c>
      <c r="AK8" s="50" t="s">
        <v>161</v>
      </c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</row>
    <row r="9" spans="1:61" x14ac:dyDescent="0.25">
      <c r="A9" s="51" t="s">
        <v>165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52"/>
      <c r="AC9" t="s">
        <v>201</v>
      </c>
      <c r="AD9">
        <v>4</v>
      </c>
      <c r="AE9" s="17">
        <v>6</v>
      </c>
      <c r="AF9" s="125">
        <f>HLOOKUP(AF$4,[1]Anx!$C$36:$CO$48,AE9)</f>
        <v>0</v>
      </c>
      <c r="AG9" t="s">
        <v>196</v>
      </c>
      <c r="AK9" s="50" t="s">
        <v>162</v>
      </c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</row>
    <row r="10" spans="1:61" x14ac:dyDescent="0.25">
      <c r="A10" s="51" t="s">
        <v>166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52"/>
      <c r="AC10" t="s">
        <v>202</v>
      </c>
      <c r="AD10">
        <v>5</v>
      </c>
      <c r="AE10" s="17">
        <v>7</v>
      </c>
      <c r="AF10" s="125">
        <f>HLOOKUP(AF$4,[1]Anx!$C$36:$CO$48,AE10)</f>
        <v>0</v>
      </c>
      <c r="AG10" t="s">
        <v>197</v>
      </c>
      <c r="AK10" s="50" t="s">
        <v>163</v>
      </c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</row>
    <row r="11" spans="1:61" x14ac:dyDescent="0.25">
      <c r="A11" s="51" t="s">
        <v>167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52"/>
      <c r="AC11" t="s">
        <v>289</v>
      </c>
      <c r="AE11" s="17">
        <v>10</v>
      </c>
      <c r="AF11" s="125">
        <f>HLOOKUP(AF$4,[1]Anx!$C$36:$CO$48,AE11)</f>
        <v>0</v>
      </c>
      <c r="AK11" s="50" t="s">
        <v>164</v>
      </c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</row>
    <row r="12" spans="1:61" x14ac:dyDescent="0.25">
      <c r="A12" s="51" t="s">
        <v>168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AC12" t="s">
        <v>290</v>
      </c>
      <c r="AE12" s="17">
        <v>11</v>
      </c>
      <c r="AF12" s="125">
        <f>HLOOKUP(AF$4,[1]Anx!$C$36:$CO$48,AE12)</f>
        <v>0</v>
      </c>
    </row>
    <row r="13" spans="1:61" x14ac:dyDescent="0.25">
      <c r="A13" s="2" t="s">
        <v>12</v>
      </c>
      <c r="B13" s="65" t="s">
        <v>174</v>
      </c>
    </row>
    <row r="14" spans="1:61" x14ac:dyDescent="0.25">
      <c r="A14" s="44" t="s">
        <v>173</v>
      </c>
    </row>
    <row r="15" spans="1:61" x14ac:dyDescent="0.25">
      <c r="A15" s="50" t="s">
        <v>227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52"/>
    </row>
    <row r="16" spans="1:61" x14ac:dyDescent="0.25">
      <c r="A16" s="50" t="s">
        <v>156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52"/>
      <c r="AC16" s="2" t="s">
        <v>421</v>
      </c>
      <c r="AI16" t="s">
        <v>287</v>
      </c>
      <c r="AK16" t="s">
        <v>319</v>
      </c>
    </row>
    <row r="17" spans="1:83" x14ac:dyDescent="0.25">
      <c r="A17" s="50" t="s">
        <v>157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52"/>
      <c r="AG17" t="s">
        <v>285</v>
      </c>
      <c r="AH17" t="s">
        <v>286</v>
      </c>
      <c r="AI17" t="s">
        <v>318</v>
      </c>
      <c r="AK17" s="4">
        <v>1</v>
      </c>
      <c r="AL17" s="4">
        <v>2</v>
      </c>
      <c r="AM17" s="4">
        <v>3</v>
      </c>
      <c r="AN17" s="4">
        <v>4</v>
      </c>
      <c r="AO17" s="4">
        <v>5</v>
      </c>
      <c r="AP17" s="4">
        <v>6</v>
      </c>
      <c r="AQ17" s="4">
        <v>7</v>
      </c>
      <c r="AR17" s="4">
        <v>8</v>
      </c>
      <c r="AS17" s="4">
        <v>9</v>
      </c>
      <c r="AT17" s="4">
        <v>10</v>
      </c>
      <c r="AU17" s="4">
        <v>11</v>
      </c>
      <c r="AV17" s="4">
        <v>12</v>
      </c>
      <c r="AW17" s="4">
        <v>13</v>
      </c>
      <c r="AX17" s="4">
        <v>14</v>
      </c>
      <c r="AY17" s="4">
        <v>15</v>
      </c>
      <c r="AZ17" s="4">
        <v>16</v>
      </c>
      <c r="BA17" s="4">
        <v>17</v>
      </c>
      <c r="BB17" s="4">
        <v>18</v>
      </c>
      <c r="BC17" s="4">
        <v>19</v>
      </c>
      <c r="BD17" s="4">
        <v>20</v>
      </c>
      <c r="BE17" s="4">
        <v>21</v>
      </c>
      <c r="BF17" s="4">
        <v>22</v>
      </c>
      <c r="BG17" s="4">
        <v>23</v>
      </c>
      <c r="BH17" s="4">
        <v>24</v>
      </c>
      <c r="BI17" s="4">
        <v>25</v>
      </c>
      <c r="BJ17" s="4">
        <v>26</v>
      </c>
      <c r="BK17" s="4">
        <v>27</v>
      </c>
      <c r="BL17" s="4">
        <v>28</v>
      </c>
      <c r="BM17" s="4">
        <v>29</v>
      </c>
      <c r="BN17" s="4">
        <v>30</v>
      </c>
      <c r="BO17" s="4">
        <v>31</v>
      </c>
      <c r="BP17" s="4">
        <v>32</v>
      </c>
      <c r="BQ17" s="4">
        <v>33</v>
      </c>
      <c r="BR17" s="4">
        <v>34</v>
      </c>
      <c r="BS17" s="4">
        <v>35</v>
      </c>
      <c r="BT17" s="4">
        <v>36</v>
      </c>
      <c r="BU17" s="4">
        <v>37</v>
      </c>
      <c r="BV17" s="4">
        <v>38</v>
      </c>
      <c r="BW17" s="4">
        <v>39</v>
      </c>
      <c r="BX17" s="4">
        <v>40</v>
      </c>
      <c r="BY17" s="4">
        <v>41</v>
      </c>
      <c r="BZ17" s="4">
        <v>42</v>
      </c>
      <c r="CA17" s="4">
        <v>43</v>
      </c>
      <c r="CB17" s="4">
        <v>44</v>
      </c>
      <c r="CC17" s="4">
        <v>45</v>
      </c>
      <c r="CD17" s="4">
        <v>46</v>
      </c>
      <c r="CE17" s="4">
        <v>47</v>
      </c>
    </row>
    <row r="18" spans="1:83" x14ac:dyDescent="0.25">
      <c r="A18" s="50" t="s">
        <v>158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52"/>
      <c r="AC18" t="s">
        <v>376</v>
      </c>
      <c r="AE18" s="17">
        <v>2</v>
      </c>
      <c r="AG18" s="126">
        <f>HLOOKUP(AF$4,[1]Anx!$C$86:$CO$121,AE18)</f>
        <v>0</v>
      </c>
      <c r="AH18" s="61">
        <f>VALUE(LEFT(AG18,2))</f>
        <v>0</v>
      </c>
      <c r="AI18" s="129">
        <f>Troupeau!C72</f>
        <v>0</v>
      </c>
      <c r="AK18" s="54">
        <f>IF($AH18=AK$17,ROUND($AI18/1000,1),0)</f>
        <v>0</v>
      </c>
      <c r="AL18" s="54">
        <f>IF($AH18=AL$17,ROUND($AI18/1000,1),0)</f>
        <v>0</v>
      </c>
      <c r="AM18" s="54">
        <f>IF($AH18=AM$17,ROUND($AI18/1000,1),0)</f>
        <v>0</v>
      </c>
      <c r="AN18" s="54">
        <f t="shared" ref="AN18:BC33" si="0">IF($AH18=AN$17,ROUND($AI18/1000,1),0)</f>
        <v>0</v>
      </c>
      <c r="AO18" s="54">
        <f t="shared" si="0"/>
        <v>0</v>
      </c>
      <c r="AP18" s="54">
        <f t="shared" si="0"/>
        <v>0</v>
      </c>
      <c r="AQ18" s="54">
        <f t="shared" si="0"/>
        <v>0</v>
      </c>
      <c r="AR18" s="54">
        <f t="shared" si="0"/>
        <v>0</v>
      </c>
      <c r="AS18" s="54">
        <f t="shared" si="0"/>
        <v>0</v>
      </c>
      <c r="AT18" s="54">
        <f t="shared" si="0"/>
        <v>0</v>
      </c>
      <c r="AU18" s="54">
        <f t="shared" si="0"/>
        <v>0</v>
      </c>
      <c r="AV18" s="54">
        <f t="shared" si="0"/>
        <v>0</v>
      </c>
      <c r="AW18" s="54">
        <f t="shared" si="0"/>
        <v>0</v>
      </c>
      <c r="AX18" s="54">
        <f t="shared" si="0"/>
        <v>0</v>
      </c>
      <c r="AY18" s="54">
        <f t="shared" si="0"/>
        <v>0</v>
      </c>
      <c r="AZ18" s="54">
        <f t="shared" si="0"/>
        <v>0</v>
      </c>
      <c r="BA18" s="54">
        <f t="shared" si="0"/>
        <v>0</v>
      </c>
      <c r="BB18" s="54">
        <f t="shared" si="0"/>
        <v>0</v>
      </c>
      <c r="BC18" s="54">
        <f t="shared" si="0"/>
        <v>0</v>
      </c>
      <c r="BD18" s="54">
        <f t="shared" ref="BD18:CE27" si="1">IF($AH18=BD$17,ROUND($AI18/1000,1),0)</f>
        <v>0</v>
      </c>
      <c r="BE18" s="54">
        <f t="shared" si="1"/>
        <v>0</v>
      </c>
      <c r="BF18" s="54">
        <f t="shared" si="1"/>
        <v>0</v>
      </c>
      <c r="BG18" s="54">
        <f t="shared" si="1"/>
        <v>0</v>
      </c>
      <c r="BH18" s="54">
        <f t="shared" si="1"/>
        <v>0</v>
      </c>
      <c r="BI18" s="54">
        <f t="shared" si="1"/>
        <v>0</v>
      </c>
      <c r="BJ18" s="54">
        <f t="shared" si="1"/>
        <v>0</v>
      </c>
      <c r="BK18" s="54">
        <f t="shared" si="1"/>
        <v>0</v>
      </c>
      <c r="BL18" s="54">
        <f t="shared" si="1"/>
        <v>0</v>
      </c>
      <c r="BM18" s="54">
        <f t="shared" si="1"/>
        <v>0</v>
      </c>
      <c r="BN18" s="54">
        <f t="shared" si="1"/>
        <v>0</v>
      </c>
      <c r="BO18" s="54">
        <f t="shared" si="1"/>
        <v>0</v>
      </c>
      <c r="BP18" s="54">
        <f t="shared" si="1"/>
        <v>0</v>
      </c>
      <c r="BQ18" s="54">
        <f t="shared" si="1"/>
        <v>0</v>
      </c>
      <c r="BR18" s="54">
        <f t="shared" si="1"/>
        <v>0</v>
      </c>
      <c r="BS18" s="54">
        <f t="shared" si="1"/>
        <v>0</v>
      </c>
      <c r="BT18" s="54">
        <f t="shared" si="1"/>
        <v>0</v>
      </c>
      <c r="BU18" s="54">
        <f t="shared" si="1"/>
        <v>0</v>
      </c>
      <c r="BV18" s="54">
        <f t="shared" si="1"/>
        <v>0</v>
      </c>
      <c r="BW18" s="54">
        <f t="shared" si="1"/>
        <v>0</v>
      </c>
      <c r="BX18" s="54">
        <f t="shared" si="1"/>
        <v>0</v>
      </c>
      <c r="BY18" s="54">
        <f t="shared" si="1"/>
        <v>0</v>
      </c>
      <c r="BZ18" s="54">
        <f t="shared" si="1"/>
        <v>0</v>
      </c>
      <c r="CA18" s="54">
        <f t="shared" si="1"/>
        <v>0</v>
      </c>
      <c r="CB18" s="54">
        <f t="shared" si="1"/>
        <v>0</v>
      </c>
      <c r="CC18" s="54">
        <f t="shared" si="1"/>
        <v>0</v>
      </c>
      <c r="CD18" s="54">
        <f t="shared" si="1"/>
        <v>0</v>
      </c>
      <c r="CE18" s="54">
        <f t="shared" si="1"/>
        <v>0</v>
      </c>
    </row>
    <row r="19" spans="1:83" x14ac:dyDescent="0.25">
      <c r="A19" s="50" t="s">
        <v>159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52"/>
      <c r="AC19" t="s">
        <v>377</v>
      </c>
      <c r="AE19" s="17">
        <v>3</v>
      </c>
      <c r="AG19" s="126">
        <f>HLOOKUP(AF$4,[1]Anx!$C$86:$CO$121,AE19)</f>
        <v>0</v>
      </c>
      <c r="AH19" s="61">
        <f t="shared" ref="AH19:AH52" si="2">VALUE(LEFT(AG19,2))</f>
        <v>0</v>
      </c>
      <c r="AI19" s="129">
        <f>Troupeau!C73</f>
        <v>0</v>
      </c>
      <c r="AK19" s="54">
        <f t="shared" ref="AK19:AK52" si="3">IF($AH19=AK$17,ROUND($AI19/1000,1),0)</f>
        <v>0</v>
      </c>
      <c r="AL19" s="54">
        <f t="shared" ref="AL19:AM34" si="4">IF($AH19=AL$17,ROUND($AI19/1000,1),0)</f>
        <v>0</v>
      </c>
      <c r="AM19" s="54">
        <f t="shared" si="4"/>
        <v>0</v>
      </c>
      <c r="AN19" s="54">
        <f t="shared" si="0"/>
        <v>0</v>
      </c>
      <c r="AO19" s="54">
        <f t="shared" si="0"/>
        <v>0</v>
      </c>
      <c r="AP19" s="54">
        <f t="shared" si="0"/>
        <v>0</v>
      </c>
      <c r="AQ19" s="54">
        <f t="shared" si="0"/>
        <v>0</v>
      </c>
      <c r="AR19" s="54">
        <f t="shared" si="0"/>
        <v>0</v>
      </c>
      <c r="AS19" s="54">
        <f t="shared" si="0"/>
        <v>0</v>
      </c>
      <c r="AT19" s="54">
        <f t="shared" si="0"/>
        <v>0</v>
      </c>
      <c r="AU19" s="54">
        <f t="shared" si="0"/>
        <v>0</v>
      </c>
      <c r="AV19" s="54">
        <f t="shared" si="0"/>
        <v>0</v>
      </c>
      <c r="AW19" s="54">
        <f t="shared" si="0"/>
        <v>0</v>
      </c>
      <c r="AX19" s="54">
        <f t="shared" si="0"/>
        <v>0</v>
      </c>
      <c r="AY19" s="54">
        <f t="shared" si="0"/>
        <v>0</v>
      </c>
      <c r="AZ19" s="54">
        <f t="shared" si="0"/>
        <v>0</v>
      </c>
      <c r="BA19" s="54">
        <f t="shared" si="0"/>
        <v>0</v>
      </c>
      <c r="BB19" s="54">
        <f t="shared" si="0"/>
        <v>0</v>
      </c>
      <c r="BC19" s="54">
        <f t="shared" si="0"/>
        <v>0</v>
      </c>
      <c r="BD19" s="54">
        <f t="shared" si="1"/>
        <v>0</v>
      </c>
      <c r="BE19" s="54">
        <f t="shared" si="1"/>
        <v>0</v>
      </c>
      <c r="BF19" s="54">
        <f t="shared" si="1"/>
        <v>0</v>
      </c>
      <c r="BG19" s="54">
        <f t="shared" si="1"/>
        <v>0</v>
      </c>
      <c r="BH19" s="54">
        <f t="shared" si="1"/>
        <v>0</v>
      </c>
      <c r="BI19" s="54">
        <f t="shared" si="1"/>
        <v>0</v>
      </c>
      <c r="BJ19" s="54">
        <f t="shared" si="1"/>
        <v>0</v>
      </c>
      <c r="BK19" s="54">
        <f t="shared" si="1"/>
        <v>0</v>
      </c>
      <c r="BL19" s="54">
        <f t="shared" si="1"/>
        <v>0</v>
      </c>
      <c r="BM19" s="54">
        <f t="shared" si="1"/>
        <v>0</v>
      </c>
      <c r="BN19" s="54">
        <f t="shared" si="1"/>
        <v>0</v>
      </c>
      <c r="BO19" s="54">
        <f t="shared" si="1"/>
        <v>0</v>
      </c>
      <c r="BP19" s="54">
        <f t="shared" si="1"/>
        <v>0</v>
      </c>
      <c r="BQ19" s="54">
        <f t="shared" si="1"/>
        <v>0</v>
      </c>
      <c r="BR19" s="54">
        <f t="shared" si="1"/>
        <v>0</v>
      </c>
      <c r="BS19" s="54">
        <f t="shared" si="1"/>
        <v>0</v>
      </c>
      <c r="BT19" s="54">
        <f t="shared" si="1"/>
        <v>0</v>
      </c>
      <c r="BU19" s="54">
        <f t="shared" si="1"/>
        <v>0</v>
      </c>
      <c r="BV19" s="54">
        <f t="shared" si="1"/>
        <v>0</v>
      </c>
      <c r="BW19" s="54">
        <f t="shared" si="1"/>
        <v>0</v>
      </c>
      <c r="BX19" s="54">
        <f t="shared" si="1"/>
        <v>0</v>
      </c>
      <c r="BY19" s="54">
        <f t="shared" si="1"/>
        <v>0</v>
      </c>
      <c r="BZ19" s="54">
        <f t="shared" si="1"/>
        <v>0</v>
      </c>
      <c r="CA19" s="54">
        <f t="shared" si="1"/>
        <v>0</v>
      </c>
      <c r="CB19" s="54">
        <f t="shared" si="1"/>
        <v>0</v>
      </c>
      <c r="CC19" s="54">
        <f t="shared" si="1"/>
        <v>0</v>
      </c>
      <c r="CD19" s="54">
        <f t="shared" si="1"/>
        <v>0</v>
      </c>
      <c r="CE19" s="54">
        <f t="shared" si="1"/>
        <v>0</v>
      </c>
    </row>
    <row r="20" spans="1:83" x14ac:dyDescent="0.25">
      <c r="A20" s="50" t="s">
        <v>160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52"/>
      <c r="AC20" t="s">
        <v>378</v>
      </c>
      <c r="AE20" s="17">
        <v>4</v>
      </c>
      <c r="AG20" s="126">
        <f>HLOOKUP(AF$4,[1]Anx!$C$86:$CO$121,AE20)</f>
        <v>0</v>
      </c>
      <c r="AH20" s="61">
        <f t="shared" si="2"/>
        <v>0</v>
      </c>
      <c r="AI20" s="129">
        <f>Troupeau!C74</f>
        <v>0</v>
      </c>
      <c r="AK20" s="54">
        <f t="shared" si="3"/>
        <v>0</v>
      </c>
      <c r="AL20" s="54">
        <f t="shared" si="4"/>
        <v>0</v>
      </c>
      <c r="AM20" s="54">
        <f t="shared" si="4"/>
        <v>0</v>
      </c>
      <c r="AN20" s="54">
        <f t="shared" si="0"/>
        <v>0</v>
      </c>
      <c r="AO20" s="54">
        <f t="shared" si="0"/>
        <v>0</v>
      </c>
      <c r="AP20" s="54">
        <f t="shared" si="0"/>
        <v>0</v>
      </c>
      <c r="AQ20" s="54">
        <f t="shared" si="0"/>
        <v>0</v>
      </c>
      <c r="AR20" s="54">
        <f t="shared" si="0"/>
        <v>0</v>
      </c>
      <c r="AS20" s="54">
        <f t="shared" si="0"/>
        <v>0</v>
      </c>
      <c r="AT20" s="54">
        <f t="shared" si="0"/>
        <v>0</v>
      </c>
      <c r="AU20" s="54">
        <f t="shared" si="0"/>
        <v>0</v>
      </c>
      <c r="AV20" s="54">
        <f t="shared" si="0"/>
        <v>0</v>
      </c>
      <c r="AW20" s="54">
        <f t="shared" si="0"/>
        <v>0</v>
      </c>
      <c r="AX20" s="54">
        <f t="shared" si="0"/>
        <v>0</v>
      </c>
      <c r="AY20" s="54">
        <f t="shared" si="0"/>
        <v>0</v>
      </c>
      <c r="AZ20" s="54">
        <f t="shared" si="0"/>
        <v>0</v>
      </c>
      <c r="BA20" s="54">
        <f t="shared" si="0"/>
        <v>0</v>
      </c>
      <c r="BB20" s="54">
        <f t="shared" si="0"/>
        <v>0</v>
      </c>
      <c r="BC20" s="54">
        <f t="shared" si="0"/>
        <v>0</v>
      </c>
      <c r="BD20" s="54">
        <f t="shared" si="1"/>
        <v>0</v>
      </c>
      <c r="BE20" s="54">
        <f t="shared" si="1"/>
        <v>0</v>
      </c>
      <c r="BF20" s="54">
        <f t="shared" si="1"/>
        <v>0</v>
      </c>
      <c r="BG20" s="54">
        <f t="shared" si="1"/>
        <v>0</v>
      </c>
      <c r="BH20" s="54">
        <f t="shared" si="1"/>
        <v>0</v>
      </c>
      <c r="BI20" s="54">
        <f t="shared" si="1"/>
        <v>0</v>
      </c>
      <c r="BJ20" s="54">
        <f t="shared" si="1"/>
        <v>0</v>
      </c>
      <c r="BK20" s="54">
        <f t="shared" si="1"/>
        <v>0</v>
      </c>
      <c r="BL20" s="54">
        <f t="shared" si="1"/>
        <v>0</v>
      </c>
      <c r="BM20" s="54">
        <f t="shared" si="1"/>
        <v>0</v>
      </c>
      <c r="BN20" s="54">
        <f t="shared" si="1"/>
        <v>0</v>
      </c>
      <c r="BO20" s="54">
        <f t="shared" si="1"/>
        <v>0</v>
      </c>
      <c r="BP20" s="54">
        <f t="shared" si="1"/>
        <v>0</v>
      </c>
      <c r="BQ20" s="54">
        <f t="shared" si="1"/>
        <v>0</v>
      </c>
      <c r="BR20" s="54">
        <f t="shared" si="1"/>
        <v>0</v>
      </c>
      <c r="BS20" s="54">
        <f t="shared" si="1"/>
        <v>0</v>
      </c>
      <c r="BT20" s="54">
        <f t="shared" si="1"/>
        <v>0</v>
      </c>
      <c r="BU20" s="54">
        <f t="shared" si="1"/>
        <v>0</v>
      </c>
      <c r="BV20" s="54">
        <f t="shared" si="1"/>
        <v>0</v>
      </c>
      <c r="BW20" s="54">
        <f t="shared" si="1"/>
        <v>0</v>
      </c>
      <c r="BX20" s="54">
        <f t="shared" si="1"/>
        <v>0</v>
      </c>
      <c r="BY20" s="54">
        <f t="shared" si="1"/>
        <v>0</v>
      </c>
      <c r="BZ20" s="54">
        <f t="shared" si="1"/>
        <v>0</v>
      </c>
      <c r="CA20" s="54">
        <f t="shared" si="1"/>
        <v>0</v>
      </c>
      <c r="CB20" s="54">
        <f t="shared" si="1"/>
        <v>0</v>
      </c>
      <c r="CC20" s="54">
        <f t="shared" si="1"/>
        <v>0</v>
      </c>
      <c r="CD20" s="54">
        <f t="shared" si="1"/>
        <v>0</v>
      </c>
      <c r="CE20" s="54">
        <f t="shared" si="1"/>
        <v>0</v>
      </c>
    </row>
    <row r="21" spans="1:83" x14ac:dyDescent="0.25">
      <c r="A21" s="50" t="s">
        <v>161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52"/>
      <c r="AC21" t="s">
        <v>379</v>
      </c>
      <c r="AE21" s="17">
        <v>5</v>
      </c>
      <c r="AG21" s="126">
        <f>HLOOKUP(AF$4,[1]Anx!$C$86:$CO$121,AE21)</f>
        <v>0</v>
      </c>
      <c r="AH21" s="61">
        <f t="shared" si="2"/>
        <v>0</v>
      </c>
      <c r="AI21" s="129">
        <f>Troupeau!C75</f>
        <v>0</v>
      </c>
      <c r="AK21" s="54">
        <f t="shared" si="3"/>
        <v>0</v>
      </c>
      <c r="AL21" s="54">
        <f t="shared" si="4"/>
        <v>0</v>
      </c>
      <c r="AM21" s="54">
        <f t="shared" si="4"/>
        <v>0</v>
      </c>
      <c r="AN21" s="54">
        <f t="shared" si="0"/>
        <v>0</v>
      </c>
      <c r="AO21" s="54">
        <f t="shared" si="0"/>
        <v>0</v>
      </c>
      <c r="AP21" s="54">
        <f t="shared" si="0"/>
        <v>0</v>
      </c>
      <c r="AQ21" s="54">
        <f t="shared" si="0"/>
        <v>0</v>
      </c>
      <c r="AR21" s="54">
        <f t="shared" si="0"/>
        <v>0</v>
      </c>
      <c r="AS21" s="54">
        <f t="shared" si="0"/>
        <v>0</v>
      </c>
      <c r="AT21" s="54">
        <f t="shared" si="0"/>
        <v>0</v>
      </c>
      <c r="AU21" s="54">
        <f t="shared" si="0"/>
        <v>0</v>
      </c>
      <c r="AV21" s="54">
        <f t="shared" si="0"/>
        <v>0</v>
      </c>
      <c r="AW21" s="54">
        <f t="shared" si="0"/>
        <v>0</v>
      </c>
      <c r="AX21" s="54">
        <f t="shared" si="0"/>
        <v>0</v>
      </c>
      <c r="AY21" s="54">
        <f t="shared" si="0"/>
        <v>0</v>
      </c>
      <c r="AZ21" s="54">
        <f t="shared" si="0"/>
        <v>0</v>
      </c>
      <c r="BA21" s="54">
        <f t="shared" si="0"/>
        <v>0</v>
      </c>
      <c r="BB21" s="54">
        <f t="shared" si="0"/>
        <v>0</v>
      </c>
      <c r="BC21" s="54">
        <f t="shared" si="0"/>
        <v>0</v>
      </c>
      <c r="BD21" s="54">
        <f t="shared" si="1"/>
        <v>0</v>
      </c>
      <c r="BE21" s="54">
        <f t="shared" si="1"/>
        <v>0</v>
      </c>
      <c r="BF21" s="54">
        <f t="shared" si="1"/>
        <v>0</v>
      </c>
      <c r="BG21" s="54">
        <f t="shared" si="1"/>
        <v>0</v>
      </c>
      <c r="BH21" s="54">
        <f t="shared" si="1"/>
        <v>0</v>
      </c>
      <c r="BI21" s="54">
        <f t="shared" si="1"/>
        <v>0</v>
      </c>
      <c r="BJ21" s="54">
        <f t="shared" si="1"/>
        <v>0</v>
      </c>
      <c r="BK21" s="54">
        <f t="shared" si="1"/>
        <v>0</v>
      </c>
      <c r="BL21" s="54">
        <f t="shared" si="1"/>
        <v>0</v>
      </c>
      <c r="BM21" s="54">
        <f t="shared" si="1"/>
        <v>0</v>
      </c>
      <c r="BN21" s="54">
        <f t="shared" si="1"/>
        <v>0</v>
      </c>
      <c r="BO21" s="54">
        <f t="shared" si="1"/>
        <v>0</v>
      </c>
      <c r="BP21" s="54">
        <f t="shared" si="1"/>
        <v>0</v>
      </c>
      <c r="BQ21" s="54">
        <f t="shared" si="1"/>
        <v>0</v>
      </c>
      <c r="BR21" s="54">
        <f t="shared" si="1"/>
        <v>0</v>
      </c>
      <c r="BS21" s="54">
        <f t="shared" si="1"/>
        <v>0</v>
      </c>
      <c r="BT21" s="54">
        <f t="shared" si="1"/>
        <v>0</v>
      </c>
      <c r="BU21" s="54">
        <f t="shared" si="1"/>
        <v>0</v>
      </c>
      <c r="BV21" s="54">
        <f t="shared" si="1"/>
        <v>0</v>
      </c>
      <c r="BW21" s="54">
        <f t="shared" si="1"/>
        <v>0</v>
      </c>
      <c r="BX21" s="54">
        <f t="shared" si="1"/>
        <v>0</v>
      </c>
      <c r="BY21" s="54">
        <f t="shared" si="1"/>
        <v>0</v>
      </c>
      <c r="BZ21" s="54">
        <f t="shared" si="1"/>
        <v>0</v>
      </c>
      <c r="CA21" s="54">
        <f t="shared" si="1"/>
        <v>0</v>
      </c>
      <c r="CB21" s="54">
        <f t="shared" si="1"/>
        <v>0</v>
      </c>
      <c r="CC21" s="54">
        <f t="shared" si="1"/>
        <v>0</v>
      </c>
      <c r="CD21" s="54">
        <f t="shared" si="1"/>
        <v>0</v>
      </c>
      <c r="CE21" s="54">
        <f t="shared" si="1"/>
        <v>0</v>
      </c>
    </row>
    <row r="22" spans="1:83" x14ac:dyDescent="0.25">
      <c r="A22" s="50" t="s">
        <v>162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52"/>
      <c r="AA22" s="5"/>
      <c r="AB22" s="5"/>
      <c r="AC22" t="s">
        <v>380</v>
      </c>
      <c r="AD22" s="5"/>
      <c r="AE22" s="17">
        <v>6</v>
      </c>
      <c r="AG22" s="126">
        <f>HLOOKUP(AF$4,[1]Anx!$C$86:$CO$121,AE22)</f>
        <v>0</v>
      </c>
      <c r="AH22" s="61">
        <f t="shared" si="2"/>
        <v>0</v>
      </c>
      <c r="AI22" s="129">
        <f>Troupeau!C76</f>
        <v>0</v>
      </c>
      <c r="AK22" s="54">
        <f t="shared" si="3"/>
        <v>0</v>
      </c>
      <c r="AL22" s="54">
        <f t="shared" si="4"/>
        <v>0</v>
      </c>
      <c r="AM22" s="54">
        <f t="shared" si="4"/>
        <v>0</v>
      </c>
      <c r="AN22" s="54">
        <f t="shared" si="0"/>
        <v>0</v>
      </c>
      <c r="AO22" s="54">
        <f t="shared" si="0"/>
        <v>0</v>
      </c>
      <c r="AP22" s="54">
        <f t="shared" si="0"/>
        <v>0</v>
      </c>
      <c r="AQ22" s="54">
        <f t="shared" si="0"/>
        <v>0</v>
      </c>
      <c r="AR22" s="54">
        <f t="shared" si="0"/>
        <v>0</v>
      </c>
      <c r="AS22" s="54">
        <f t="shared" si="0"/>
        <v>0</v>
      </c>
      <c r="AT22" s="54">
        <f t="shared" si="0"/>
        <v>0</v>
      </c>
      <c r="AU22" s="54">
        <f t="shared" si="0"/>
        <v>0</v>
      </c>
      <c r="AV22" s="54">
        <f t="shared" si="0"/>
        <v>0</v>
      </c>
      <c r="AW22" s="54">
        <f t="shared" si="0"/>
        <v>0</v>
      </c>
      <c r="AX22" s="54">
        <f t="shared" si="0"/>
        <v>0</v>
      </c>
      <c r="AY22" s="54">
        <f t="shared" si="0"/>
        <v>0</v>
      </c>
      <c r="AZ22" s="54">
        <f t="shared" si="0"/>
        <v>0</v>
      </c>
      <c r="BA22" s="54">
        <f t="shared" si="0"/>
        <v>0</v>
      </c>
      <c r="BB22" s="54">
        <f t="shared" si="0"/>
        <v>0</v>
      </c>
      <c r="BC22" s="54">
        <f t="shared" si="0"/>
        <v>0</v>
      </c>
      <c r="BD22" s="54">
        <f t="shared" si="1"/>
        <v>0</v>
      </c>
      <c r="BE22" s="54">
        <f t="shared" si="1"/>
        <v>0</v>
      </c>
      <c r="BF22" s="54">
        <f t="shared" si="1"/>
        <v>0</v>
      </c>
      <c r="BG22" s="54">
        <f t="shared" si="1"/>
        <v>0</v>
      </c>
      <c r="BH22" s="54">
        <f t="shared" si="1"/>
        <v>0</v>
      </c>
      <c r="BI22" s="54">
        <f t="shared" si="1"/>
        <v>0</v>
      </c>
      <c r="BJ22" s="54">
        <f t="shared" si="1"/>
        <v>0</v>
      </c>
      <c r="BK22" s="54">
        <f t="shared" si="1"/>
        <v>0</v>
      </c>
      <c r="BL22" s="54">
        <f t="shared" si="1"/>
        <v>0</v>
      </c>
      <c r="BM22" s="54">
        <f t="shared" si="1"/>
        <v>0</v>
      </c>
      <c r="BN22" s="54">
        <f t="shared" si="1"/>
        <v>0</v>
      </c>
      <c r="BO22" s="54">
        <f t="shared" si="1"/>
        <v>0</v>
      </c>
      <c r="BP22" s="54">
        <f t="shared" si="1"/>
        <v>0</v>
      </c>
      <c r="BQ22" s="54">
        <f t="shared" si="1"/>
        <v>0</v>
      </c>
      <c r="BR22" s="54">
        <f t="shared" si="1"/>
        <v>0</v>
      </c>
      <c r="BS22" s="54">
        <f t="shared" si="1"/>
        <v>0</v>
      </c>
      <c r="BT22" s="54">
        <f t="shared" si="1"/>
        <v>0</v>
      </c>
      <c r="BU22" s="54">
        <f t="shared" si="1"/>
        <v>0</v>
      </c>
      <c r="BV22" s="54">
        <f t="shared" si="1"/>
        <v>0</v>
      </c>
      <c r="BW22" s="54">
        <f t="shared" si="1"/>
        <v>0</v>
      </c>
      <c r="BX22" s="54">
        <f t="shared" si="1"/>
        <v>0</v>
      </c>
      <c r="BY22" s="54">
        <f t="shared" si="1"/>
        <v>0</v>
      </c>
      <c r="BZ22" s="54">
        <f t="shared" si="1"/>
        <v>0</v>
      </c>
      <c r="CA22" s="54">
        <f t="shared" si="1"/>
        <v>0</v>
      </c>
      <c r="CB22" s="54">
        <f t="shared" si="1"/>
        <v>0</v>
      </c>
      <c r="CC22" s="54">
        <f t="shared" si="1"/>
        <v>0</v>
      </c>
      <c r="CD22" s="54">
        <f t="shared" si="1"/>
        <v>0</v>
      </c>
      <c r="CE22" s="54">
        <f t="shared" si="1"/>
        <v>0</v>
      </c>
    </row>
    <row r="23" spans="1:83" x14ac:dyDescent="0.25">
      <c r="A23" s="50" t="s">
        <v>163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52"/>
      <c r="AA23" s="5"/>
      <c r="AB23" s="5"/>
      <c r="AC23" t="s">
        <v>381</v>
      </c>
      <c r="AD23" s="5"/>
      <c r="AE23" s="17">
        <v>7</v>
      </c>
      <c r="AG23" s="126">
        <f>HLOOKUP(AF$4,[1]Anx!$C$86:$CO$121,AE23)</f>
        <v>0</v>
      </c>
      <c r="AH23" s="61">
        <f t="shared" si="2"/>
        <v>0</v>
      </c>
      <c r="AI23" s="129">
        <f>Troupeau!C77</f>
        <v>0</v>
      </c>
      <c r="AK23" s="54">
        <f t="shared" si="3"/>
        <v>0</v>
      </c>
      <c r="AL23" s="54">
        <f t="shared" si="4"/>
        <v>0</v>
      </c>
      <c r="AM23" s="54">
        <f t="shared" si="4"/>
        <v>0</v>
      </c>
      <c r="AN23" s="54">
        <f t="shared" si="0"/>
        <v>0</v>
      </c>
      <c r="AO23" s="54">
        <f t="shared" si="0"/>
        <v>0</v>
      </c>
      <c r="AP23" s="54">
        <f t="shared" si="0"/>
        <v>0</v>
      </c>
      <c r="AQ23" s="54">
        <f t="shared" si="0"/>
        <v>0</v>
      </c>
      <c r="AR23" s="54">
        <f t="shared" si="0"/>
        <v>0</v>
      </c>
      <c r="AS23" s="54">
        <f t="shared" si="0"/>
        <v>0</v>
      </c>
      <c r="AT23" s="54">
        <f t="shared" si="0"/>
        <v>0</v>
      </c>
      <c r="AU23" s="54">
        <f t="shared" si="0"/>
        <v>0</v>
      </c>
      <c r="AV23" s="54">
        <f t="shared" si="0"/>
        <v>0</v>
      </c>
      <c r="AW23" s="54">
        <f t="shared" si="0"/>
        <v>0</v>
      </c>
      <c r="AX23" s="54">
        <f t="shared" si="0"/>
        <v>0</v>
      </c>
      <c r="AY23" s="54">
        <f t="shared" si="0"/>
        <v>0</v>
      </c>
      <c r="AZ23" s="54">
        <f t="shared" si="0"/>
        <v>0</v>
      </c>
      <c r="BA23" s="54">
        <f t="shared" si="0"/>
        <v>0</v>
      </c>
      <c r="BB23" s="54">
        <f t="shared" si="0"/>
        <v>0</v>
      </c>
      <c r="BC23" s="54">
        <f t="shared" si="0"/>
        <v>0</v>
      </c>
      <c r="BD23" s="54">
        <f t="shared" si="1"/>
        <v>0</v>
      </c>
      <c r="BE23" s="54">
        <f t="shared" si="1"/>
        <v>0</v>
      </c>
      <c r="BF23" s="54">
        <f t="shared" si="1"/>
        <v>0</v>
      </c>
      <c r="BG23" s="54">
        <f t="shared" si="1"/>
        <v>0</v>
      </c>
      <c r="BH23" s="54">
        <f t="shared" si="1"/>
        <v>0</v>
      </c>
      <c r="BI23" s="54">
        <f t="shared" si="1"/>
        <v>0</v>
      </c>
      <c r="BJ23" s="54">
        <f t="shared" si="1"/>
        <v>0</v>
      </c>
      <c r="BK23" s="54">
        <f t="shared" si="1"/>
        <v>0</v>
      </c>
      <c r="BL23" s="54">
        <f t="shared" si="1"/>
        <v>0</v>
      </c>
      <c r="BM23" s="54">
        <f t="shared" si="1"/>
        <v>0</v>
      </c>
      <c r="BN23" s="54">
        <f t="shared" si="1"/>
        <v>0</v>
      </c>
      <c r="BO23" s="54">
        <f t="shared" si="1"/>
        <v>0</v>
      </c>
      <c r="BP23" s="54">
        <f t="shared" si="1"/>
        <v>0</v>
      </c>
      <c r="BQ23" s="54">
        <f t="shared" si="1"/>
        <v>0</v>
      </c>
      <c r="BR23" s="54">
        <f t="shared" si="1"/>
        <v>0</v>
      </c>
      <c r="BS23" s="54">
        <f t="shared" si="1"/>
        <v>0</v>
      </c>
      <c r="BT23" s="54">
        <f t="shared" si="1"/>
        <v>0</v>
      </c>
      <c r="BU23" s="54">
        <f t="shared" si="1"/>
        <v>0</v>
      </c>
      <c r="BV23" s="54">
        <f t="shared" si="1"/>
        <v>0</v>
      </c>
      <c r="BW23" s="54">
        <f t="shared" si="1"/>
        <v>0</v>
      </c>
      <c r="BX23" s="54">
        <f t="shared" si="1"/>
        <v>0</v>
      </c>
      <c r="BY23" s="54">
        <f t="shared" si="1"/>
        <v>0</v>
      </c>
      <c r="BZ23" s="54">
        <f t="shared" si="1"/>
        <v>0</v>
      </c>
      <c r="CA23" s="54">
        <f t="shared" si="1"/>
        <v>0</v>
      </c>
      <c r="CB23" s="54">
        <f t="shared" si="1"/>
        <v>0</v>
      </c>
      <c r="CC23" s="54">
        <f t="shared" si="1"/>
        <v>0</v>
      </c>
      <c r="CD23" s="54">
        <f t="shared" si="1"/>
        <v>0</v>
      </c>
      <c r="CE23" s="54">
        <f t="shared" si="1"/>
        <v>0</v>
      </c>
    </row>
    <row r="24" spans="1:83" x14ac:dyDescent="0.25">
      <c r="A24" s="50" t="s">
        <v>164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2"/>
      <c r="AA24" s="5"/>
      <c r="AB24" s="53"/>
      <c r="AC24" t="s">
        <v>382</v>
      </c>
      <c r="AD24" s="5"/>
      <c r="AE24" s="17">
        <v>8</v>
      </c>
      <c r="AG24" s="126">
        <f>HLOOKUP(AF$4,[1]Anx!$C$86:$CO$121,AE24)</f>
        <v>0</v>
      </c>
      <c r="AH24" s="61">
        <f t="shared" si="2"/>
        <v>0</v>
      </c>
      <c r="AI24" s="129">
        <f>Troupeau!C78</f>
        <v>0</v>
      </c>
      <c r="AK24" s="54">
        <f t="shared" si="3"/>
        <v>0</v>
      </c>
      <c r="AL24" s="54">
        <f t="shared" si="4"/>
        <v>0</v>
      </c>
      <c r="AM24" s="54">
        <f t="shared" si="4"/>
        <v>0</v>
      </c>
      <c r="AN24" s="54">
        <f t="shared" si="0"/>
        <v>0</v>
      </c>
      <c r="AO24" s="54">
        <f t="shared" si="0"/>
        <v>0</v>
      </c>
      <c r="AP24" s="54">
        <f t="shared" si="0"/>
        <v>0</v>
      </c>
      <c r="AQ24" s="54">
        <f t="shared" si="0"/>
        <v>0</v>
      </c>
      <c r="AR24" s="54">
        <f t="shared" si="0"/>
        <v>0</v>
      </c>
      <c r="AS24" s="54">
        <f t="shared" si="0"/>
        <v>0</v>
      </c>
      <c r="AT24" s="54">
        <f t="shared" si="0"/>
        <v>0</v>
      </c>
      <c r="AU24" s="54">
        <f t="shared" si="0"/>
        <v>0</v>
      </c>
      <c r="AV24" s="54">
        <f t="shared" si="0"/>
        <v>0</v>
      </c>
      <c r="AW24" s="54">
        <f t="shared" si="0"/>
        <v>0</v>
      </c>
      <c r="AX24" s="54">
        <f t="shared" si="0"/>
        <v>0</v>
      </c>
      <c r="AY24" s="54">
        <f t="shared" si="0"/>
        <v>0</v>
      </c>
      <c r="AZ24" s="54">
        <f t="shared" si="0"/>
        <v>0</v>
      </c>
      <c r="BA24" s="54">
        <f t="shared" si="0"/>
        <v>0</v>
      </c>
      <c r="BB24" s="54">
        <f t="shared" si="0"/>
        <v>0</v>
      </c>
      <c r="BC24" s="54">
        <f t="shared" si="0"/>
        <v>0</v>
      </c>
      <c r="BD24" s="54">
        <f t="shared" si="1"/>
        <v>0</v>
      </c>
      <c r="BE24" s="54">
        <f t="shared" si="1"/>
        <v>0</v>
      </c>
      <c r="BF24" s="54">
        <f t="shared" si="1"/>
        <v>0</v>
      </c>
      <c r="BG24" s="54">
        <f t="shared" si="1"/>
        <v>0</v>
      </c>
      <c r="BH24" s="54">
        <f t="shared" si="1"/>
        <v>0</v>
      </c>
      <c r="BI24" s="54">
        <f t="shared" si="1"/>
        <v>0</v>
      </c>
      <c r="BJ24" s="54">
        <f t="shared" si="1"/>
        <v>0</v>
      </c>
      <c r="BK24" s="54">
        <f t="shared" si="1"/>
        <v>0</v>
      </c>
      <c r="BL24" s="54">
        <f t="shared" si="1"/>
        <v>0</v>
      </c>
      <c r="BM24" s="54">
        <f t="shared" si="1"/>
        <v>0</v>
      </c>
      <c r="BN24" s="54">
        <f t="shared" si="1"/>
        <v>0</v>
      </c>
      <c r="BO24" s="54">
        <f t="shared" si="1"/>
        <v>0</v>
      </c>
      <c r="BP24" s="54">
        <f t="shared" si="1"/>
        <v>0</v>
      </c>
      <c r="BQ24" s="54">
        <f t="shared" si="1"/>
        <v>0</v>
      </c>
      <c r="BR24" s="54">
        <f t="shared" si="1"/>
        <v>0</v>
      </c>
      <c r="BS24" s="54">
        <f t="shared" si="1"/>
        <v>0</v>
      </c>
      <c r="BT24" s="54">
        <f t="shared" si="1"/>
        <v>0</v>
      </c>
      <c r="BU24" s="54">
        <f t="shared" si="1"/>
        <v>0</v>
      </c>
      <c r="BV24" s="54">
        <f t="shared" si="1"/>
        <v>0</v>
      </c>
      <c r="BW24" s="54">
        <f t="shared" si="1"/>
        <v>0</v>
      </c>
      <c r="BX24" s="54">
        <f t="shared" si="1"/>
        <v>0</v>
      </c>
      <c r="BY24" s="54">
        <f t="shared" si="1"/>
        <v>0</v>
      </c>
      <c r="BZ24" s="54">
        <f t="shared" si="1"/>
        <v>0</v>
      </c>
      <c r="CA24" s="54">
        <f t="shared" si="1"/>
        <v>0</v>
      </c>
      <c r="CB24" s="54">
        <f t="shared" si="1"/>
        <v>0</v>
      </c>
      <c r="CC24" s="54">
        <f t="shared" si="1"/>
        <v>0</v>
      </c>
      <c r="CD24" s="54">
        <f t="shared" si="1"/>
        <v>0</v>
      </c>
      <c r="CE24" s="54">
        <f t="shared" si="1"/>
        <v>0</v>
      </c>
    </row>
    <row r="25" spans="1:83" x14ac:dyDescent="0.25">
      <c r="AA25" s="5"/>
      <c r="AB25" s="5"/>
      <c r="AC25" t="s">
        <v>383</v>
      </c>
      <c r="AD25" s="5"/>
      <c r="AE25" s="17">
        <v>9</v>
      </c>
      <c r="AG25" s="126">
        <f>HLOOKUP(AF$4,[1]Anx!$C$86:$CO$121,AE25)</f>
        <v>0</v>
      </c>
      <c r="AH25" s="61">
        <f t="shared" si="2"/>
        <v>0</v>
      </c>
      <c r="AI25" s="129">
        <f>Troupeau!C79</f>
        <v>0</v>
      </c>
      <c r="AK25" s="54">
        <f t="shared" si="3"/>
        <v>0</v>
      </c>
      <c r="AL25" s="54">
        <f t="shared" si="4"/>
        <v>0</v>
      </c>
      <c r="AM25" s="54">
        <f t="shared" si="4"/>
        <v>0</v>
      </c>
      <c r="AN25" s="54">
        <f t="shared" si="0"/>
        <v>0</v>
      </c>
      <c r="AO25" s="54">
        <f t="shared" si="0"/>
        <v>0</v>
      </c>
      <c r="AP25" s="54">
        <f t="shared" si="0"/>
        <v>0</v>
      </c>
      <c r="AQ25" s="54">
        <f t="shared" si="0"/>
        <v>0</v>
      </c>
      <c r="AR25" s="54">
        <f t="shared" si="0"/>
        <v>0</v>
      </c>
      <c r="AS25" s="54">
        <f t="shared" si="0"/>
        <v>0</v>
      </c>
      <c r="AT25" s="54">
        <f t="shared" si="0"/>
        <v>0</v>
      </c>
      <c r="AU25" s="54">
        <f t="shared" si="0"/>
        <v>0</v>
      </c>
      <c r="AV25" s="54">
        <f t="shared" si="0"/>
        <v>0</v>
      </c>
      <c r="AW25" s="54">
        <f t="shared" si="0"/>
        <v>0</v>
      </c>
      <c r="AX25" s="54">
        <f t="shared" si="0"/>
        <v>0</v>
      </c>
      <c r="AY25" s="54">
        <f t="shared" si="0"/>
        <v>0</v>
      </c>
      <c r="AZ25" s="54">
        <f t="shared" si="0"/>
        <v>0</v>
      </c>
      <c r="BA25" s="54">
        <f t="shared" si="0"/>
        <v>0</v>
      </c>
      <c r="BB25" s="54">
        <f t="shared" si="0"/>
        <v>0</v>
      </c>
      <c r="BC25" s="54">
        <f t="shared" si="0"/>
        <v>0</v>
      </c>
      <c r="BD25" s="54">
        <f t="shared" si="1"/>
        <v>0</v>
      </c>
      <c r="BE25" s="54">
        <f t="shared" si="1"/>
        <v>0</v>
      </c>
      <c r="BF25" s="54">
        <f t="shared" si="1"/>
        <v>0</v>
      </c>
      <c r="BG25" s="54">
        <f t="shared" si="1"/>
        <v>0</v>
      </c>
      <c r="BH25" s="54">
        <f t="shared" si="1"/>
        <v>0</v>
      </c>
      <c r="BI25" s="54">
        <f t="shared" si="1"/>
        <v>0</v>
      </c>
      <c r="BJ25" s="54">
        <f t="shared" si="1"/>
        <v>0</v>
      </c>
      <c r="BK25" s="54">
        <f t="shared" si="1"/>
        <v>0</v>
      </c>
      <c r="BL25" s="54">
        <f t="shared" si="1"/>
        <v>0</v>
      </c>
      <c r="BM25" s="54">
        <f t="shared" si="1"/>
        <v>0</v>
      </c>
      <c r="BN25" s="54">
        <f t="shared" si="1"/>
        <v>0</v>
      </c>
      <c r="BO25" s="54">
        <f t="shared" si="1"/>
        <v>0</v>
      </c>
      <c r="BP25" s="54">
        <f t="shared" si="1"/>
        <v>0</v>
      </c>
      <c r="BQ25" s="54">
        <f t="shared" si="1"/>
        <v>0</v>
      </c>
      <c r="BR25" s="54">
        <f t="shared" si="1"/>
        <v>0</v>
      </c>
      <c r="BS25" s="54">
        <f t="shared" si="1"/>
        <v>0</v>
      </c>
      <c r="BT25" s="54">
        <f t="shared" si="1"/>
        <v>0</v>
      </c>
      <c r="BU25" s="54">
        <f t="shared" si="1"/>
        <v>0</v>
      </c>
      <c r="BV25" s="54">
        <f t="shared" si="1"/>
        <v>0</v>
      </c>
      <c r="BW25" s="54">
        <f t="shared" si="1"/>
        <v>0</v>
      </c>
      <c r="BX25" s="54">
        <f t="shared" si="1"/>
        <v>0</v>
      </c>
      <c r="BY25" s="54">
        <f t="shared" si="1"/>
        <v>0</v>
      </c>
      <c r="BZ25" s="54">
        <f t="shared" si="1"/>
        <v>0</v>
      </c>
      <c r="CA25" s="54">
        <f t="shared" si="1"/>
        <v>0</v>
      </c>
      <c r="CB25" s="54">
        <f t="shared" si="1"/>
        <v>0</v>
      </c>
      <c r="CC25" s="54">
        <f t="shared" si="1"/>
        <v>0</v>
      </c>
      <c r="CD25" s="54">
        <f t="shared" si="1"/>
        <v>0</v>
      </c>
      <c r="CE25" s="54">
        <f t="shared" si="1"/>
        <v>0</v>
      </c>
    </row>
    <row r="26" spans="1:83" x14ac:dyDescent="0.25">
      <c r="A26" s="2" t="s">
        <v>169</v>
      </c>
      <c r="B26" s="65" t="s">
        <v>172</v>
      </c>
      <c r="AA26" s="5"/>
      <c r="AB26" s="5"/>
      <c r="AC26" t="s">
        <v>384</v>
      </c>
      <c r="AD26" s="5"/>
      <c r="AE26" s="17">
        <v>10</v>
      </c>
      <c r="AG26" s="126">
        <f>HLOOKUP(AF$4,[1]Anx!$C$86:$CO$121,AE26)</f>
        <v>0</v>
      </c>
      <c r="AH26" s="61">
        <f t="shared" si="2"/>
        <v>0</v>
      </c>
      <c r="AI26" s="129">
        <f>Troupeau!C80</f>
        <v>0</v>
      </c>
      <c r="AK26" s="54">
        <f t="shared" si="3"/>
        <v>0</v>
      </c>
      <c r="AL26" s="54">
        <f t="shared" si="4"/>
        <v>0</v>
      </c>
      <c r="AM26" s="54">
        <f t="shared" si="4"/>
        <v>0</v>
      </c>
      <c r="AN26" s="54">
        <f t="shared" si="0"/>
        <v>0</v>
      </c>
      <c r="AO26" s="54">
        <f t="shared" si="0"/>
        <v>0</v>
      </c>
      <c r="AP26" s="54">
        <f t="shared" si="0"/>
        <v>0</v>
      </c>
      <c r="AQ26" s="54">
        <f t="shared" si="0"/>
        <v>0</v>
      </c>
      <c r="AR26" s="54">
        <f t="shared" si="0"/>
        <v>0</v>
      </c>
      <c r="AS26" s="54">
        <f t="shared" si="0"/>
        <v>0</v>
      </c>
      <c r="AT26" s="54">
        <f t="shared" si="0"/>
        <v>0</v>
      </c>
      <c r="AU26" s="54">
        <f t="shared" si="0"/>
        <v>0</v>
      </c>
      <c r="AV26" s="54">
        <f t="shared" si="0"/>
        <v>0</v>
      </c>
      <c r="AW26" s="54">
        <f t="shared" si="0"/>
        <v>0</v>
      </c>
      <c r="AX26" s="54">
        <f t="shared" si="0"/>
        <v>0</v>
      </c>
      <c r="AY26" s="54">
        <f t="shared" si="0"/>
        <v>0</v>
      </c>
      <c r="AZ26" s="54">
        <f t="shared" si="0"/>
        <v>0</v>
      </c>
      <c r="BA26" s="54">
        <f t="shared" si="0"/>
        <v>0</v>
      </c>
      <c r="BB26" s="54">
        <f t="shared" si="0"/>
        <v>0</v>
      </c>
      <c r="BC26" s="54">
        <f t="shared" si="0"/>
        <v>0</v>
      </c>
      <c r="BD26" s="54">
        <f t="shared" si="1"/>
        <v>0</v>
      </c>
      <c r="BE26" s="54">
        <f t="shared" si="1"/>
        <v>0</v>
      </c>
      <c r="BF26" s="54">
        <f t="shared" si="1"/>
        <v>0</v>
      </c>
      <c r="BG26" s="54">
        <f t="shared" si="1"/>
        <v>0</v>
      </c>
      <c r="BH26" s="54">
        <f t="shared" si="1"/>
        <v>0</v>
      </c>
      <c r="BI26" s="54">
        <f t="shared" si="1"/>
        <v>0</v>
      </c>
      <c r="BJ26" s="54">
        <f t="shared" si="1"/>
        <v>0</v>
      </c>
      <c r="BK26" s="54">
        <f t="shared" si="1"/>
        <v>0</v>
      </c>
      <c r="BL26" s="54">
        <f t="shared" si="1"/>
        <v>0</v>
      </c>
      <c r="BM26" s="54">
        <f t="shared" si="1"/>
        <v>0</v>
      </c>
      <c r="BN26" s="54">
        <f t="shared" si="1"/>
        <v>0</v>
      </c>
      <c r="BO26" s="54">
        <f t="shared" si="1"/>
        <v>0</v>
      </c>
      <c r="BP26" s="54">
        <f t="shared" si="1"/>
        <v>0</v>
      </c>
      <c r="BQ26" s="54">
        <f t="shared" si="1"/>
        <v>0</v>
      </c>
      <c r="BR26" s="54">
        <f t="shared" si="1"/>
        <v>0</v>
      </c>
      <c r="BS26" s="54">
        <f t="shared" si="1"/>
        <v>0</v>
      </c>
      <c r="BT26" s="54">
        <f t="shared" si="1"/>
        <v>0</v>
      </c>
      <c r="BU26" s="54">
        <f t="shared" si="1"/>
        <v>0</v>
      </c>
      <c r="BV26" s="54">
        <f t="shared" si="1"/>
        <v>0</v>
      </c>
      <c r="BW26" s="54">
        <f t="shared" si="1"/>
        <v>0</v>
      </c>
      <c r="BX26" s="54">
        <f t="shared" si="1"/>
        <v>0</v>
      </c>
      <c r="BY26" s="54">
        <f t="shared" si="1"/>
        <v>0</v>
      </c>
      <c r="BZ26" s="54">
        <f t="shared" si="1"/>
        <v>0</v>
      </c>
      <c r="CA26" s="54">
        <f t="shared" si="1"/>
        <v>0</v>
      </c>
      <c r="CB26" s="54">
        <f t="shared" si="1"/>
        <v>0</v>
      </c>
      <c r="CC26" s="54">
        <f t="shared" si="1"/>
        <v>0</v>
      </c>
      <c r="CD26" s="54">
        <f t="shared" si="1"/>
        <v>0</v>
      </c>
      <c r="CE26" s="54">
        <f t="shared" si="1"/>
        <v>0</v>
      </c>
    </row>
    <row r="27" spans="1:83" x14ac:dyDescent="0.25">
      <c r="A27" s="127" t="str">
        <f>A$15</f>
        <v>lot1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52"/>
      <c r="AA27" s="5"/>
      <c r="AB27" s="5"/>
      <c r="AC27" t="s">
        <v>385</v>
      </c>
      <c r="AD27" s="5"/>
      <c r="AE27" s="17">
        <v>11</v>
      </c>
      <c r="AG27" s="126">
        <f>HLOOKUP(AF$4,[1]Anx!$C$86:$CO$121,AE27)</f>
        <v>0</v>
      </c>
      <c r="AH27" s="61">
        <f t="shared" si="2"/>
        <v>0</v>
      </c>
      <c r="AI27" s="129">
        <f>Troupeau!C81</f>
        <v>0</v>
      </c>
      <c r="AK27" s="54">
        <f t="shared" si="3"/>
        <v>0</v>
      </c>
      <c r="AL27" s="54">
        <f t="shared" si="4"/>
        <v>0</v>
      </c>
      <c r="AM27" s="54">
        <f t="shared" si="4"/>
        <v>0</v>
      </c>
      <c r="AN27" s="54">
        <f t="shared" si="0"/>
        <v>0</v>
      </c>
      <c r="AO27" s="54">
        <f t="shared" si="0"/>
        <v>0</v>
      </c>
      <c r="AP27" s="54">
        <f t="shared" si="0"/>
        <v>0</v>
      </c>
      <c r="AQ27" s="54">
        <f t="shared" si="0"/>
        <v>0</v>
      </c>
      <c r="AR27" s="54">
        <f t="shared" si="0"/>
        <v>0</v>
      </c>
      <c r="AS27" s="54">
        <f t="shared" si="0"/>
        <v>0</v>
      </c>
      <c r="AT27" s="54">
        <f t="shared" si="0"/>
        <v>0</v>
      </c>
      <c r="AU27" s="54">
        <f t="shared" si="0"/>
        <v>0</v>
      </c>
      <c r="AV27" s="54">
        <f t="shared" si="0"/>
        <v>0</v>
      </c>
      <c r="AW27" s="54">
        <f t="shared" si="0"/>
        <v>0</v>
      </c>
      <c r="AX27" s="54">
        <f t="shared" si="0"/>
        <v>0</v>
      </c>
      <c r="AY27" s="54">
        <f t="shared" si="0"/>
        <v>0</v>
      </c>
      <c r="AZ27" s="54">
        <f t="shared" si="0"/>
        <v>0</v>
      </c>
      <c r="BA27" s="54">
        <f t="shared" si="0"/>
        <v>0</v>
      </c>
      <c r="BB27" s="54">
        <f t="shared" si="0"/>
        <v>0</v>
      </c>
      <c r="BC27" s="54">
        <f t="shared" si="0"/>
        <v>0</v>
      </c>
      <c r="BD27" s="54">
        <f t="shared" si="1"/>
        <v>0</v>
      </c>
      <c r="BE27" s="54">
        <f t="shared" si="1"/>
        <v>0</v>
      </c>
      <c r="BF27" s="54">
        <f t="shared" si="1"/>
        <v>0</v>
      </c>
      <c r="BG27" s="54">
        <f t="shared" ref="BG27:CE27" si="5">IF($AH27=BG$17,ROUND($AI27/1000,1),0)</f>
        <v>0</v>
      </c>
      <c r="BH27" s="54">
        <f t="shared" si="5"/>
        <v>0</v>
      </c>
      <c r="BI27" s="54">
        <f t="shared" si="5"/>
        <v>0</v>
      </c>
      <c r="BJ27" s="54">
        <f t="shared" si="5"/>
        <v>0</v>
      </c>
      <c r="BK27" s="54">
        <f t="shared" si="5"/>
        <v>0</v>
      </c>
      <c r="BL27" s="54">
        <f t="shared" si="5"/>
        <v>0</v>
      </c>
      <c r="BM27" s="54">
        <f t="shared" si="5"/>
        <v>0</v>
      </c>
      <c r="BN27" s="54">
        <f t="shared" si="5"/>
        <v>0</v>
      </c>
      <c r="BO27" s="54">
        <f t="shared" si="5"/>
        <v>0</v>
      </c>
      <c r="BP27" s="54">
        <f t="shared" si="5"/>
        <v>0</v>
      </c>
      <c r="BQ27" s="54">
        <f t="shared" si="5"/>
        <v>0</v>
      </c>
      <c r="BR27" s="54">
        <f t="shared" si="5"/>
        <v>0</v>
      </c>
      <c r="BS27" s="54">
        <f t="shared" si="5"/>
        <v>0</v>
      </c>
      <c r="BT27" s="54">
        <f t="shared" si="5"/>
        <v>0</v>
      </c>
      <c r="BU27" s="54">
        <f t="shared" si="5"/>
        <v>0</v>
      </c>
      <c r="BV27" s="54">
        <f t="shared" si="5"/>
        <v>0</v>
      </c>
      <c r="BW27" s="54">
        <f t="shared" si="5"/>
        <v>0</v>
      </c>
      <c r="BX27" s="54">
        <f t="shared" si="5"/>
        <v>0</v>
      </c>
      <c r="BY27" s="54">
        <f t="shared" si="5"/>
        <v>0</v>
      </c>
      <c r="BZ27" s="54">
        <f t="shared" si="5"/>
        <v>0</v>
      </c>
      <c r="CA27" s="54">
        <f t="shared" si="5"/>
        <v>0</v>
      </c>
      <c r="CB27" s="54">
        <f t="shared" si="5"/>
        <v>0</v>
      </c>
      <c r="CC27" s="54">
        <f t="shared" si="5"/>
        <v>0</v>
      </c>
      <c r="CD27" s="54">
        <f t="shared" si="5"/>
        <v>0</v>
      </c>
      <c r="CE27" s="54">
        <f t="shared" si="5"/>
        <v>0</v>
      </c>
    </row>
    <row r="28" spans="1:83" x14ac:dyDescent="0.25">
      <c r="A28" s="128" t="str">
        <f>A$16</f>
        <v>lot2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52"/>
      <c r="AB28" s="5"/>
      <c r="AC28" t="s">
        <v>386</v>
      </c>
      <c r="AE28" s="17">
        <v>12</v>
      </c>
      <c r="AG28" s="126">
        <f>HLOOKUP(AF$4,[1]Anx!$C$86:$CO$121,AE28)</f>
        <v>0</v>
      </c>
      <c r="AH28" s="61">
        <f t="shared" si="2"/>
        <v>0</v>
      </c>
      <c r="AI28" s="129">
        <f>Troupeau!C82</f>
        <v>0</v>
      </c>
      <c r="AK28" s="54">
        <f t="shared" si="3"/>
        <v>0</v>
      </c>
      <c r="AL28" s="54">
        <f t="shared" si="4"/>
        <v>0</v>
      </c>
      <c r="AM28" s="54">
        <f t="shared" si="4"/>
        <v>0</v>
      </c>
      <c r="AN28" s="54">
        <f t="shared" si="0"/>
        <v>0</v>
      </c>
      <c r="AO28" s="54">
        <f t="shared" si="0"/>
        <v>0</v>
      </c>
      <c r="AP28" s="54">
        <f t="shared" si="0"/>
        <v>0</v>
      </c>
      <c r="AQ28" s="54">
        <f t="shared" si="0"/>
        <v>0</v>
      </c>
      <c r="AR28" s="54">
        <f t="shared" si="0"/>
        <v>0</v>
      </c>
      <c r="AS28" s="54">
        <f t="shared" si="0"/>
        <v>0</v>
      </c>
      <c r="AT28" s="54">
        <f t="shared" si="0"/>
        <v>0</v>
      </c>
      <c r="AU28" s="54">
        <f t="shared" si="0"/>
        <v>0</v>
      </c>
      <c r="AV28" s="54">
        <f t="shared" si="0"/>
        <v>0</v>
      </c>
      <c r="AW28" s="54">
        <f t="shared" si="0"/>
        <v>0</v>
      </c>
      <c r="AX28" s="54">
        <f t="shared" si="0"/>
        <v>0</v>
      </c>
      <c r="AY28" s="54">
        <f t="shared" si="0"/>
        <v>0</v>
      </c>
      <c r="AZ28" s="54">
        <f t="shared" si="0"/>
        <v>0</v>
      </c>
      <c r="BA28" s="54">
        <f t="shared" si="0"/>
        <v>0</v>
      </c>
      <c r="BB28" s="54">
        <f t="shared" si="0"/>
        <v>0</v>
      </c>
      <c r="BC28" s="54">
        <f t="shared" si="0"/>
        <v>0</v>
      </c>
      <c r="BD28" s="54">
        <f t="shared" ref="BD28:CE37" si="6">IF($AH28=BD$17,ROUND($AI28/1000,1),0)</f>
        <v>0</v>
      </c>
      <c r="BE28" s="54">
        <f t="shared" si="6"/>
        <v>0</v>
      </c>
      <c r="BF28" s="54">
        <f t="shared" si="6"/>
        <v>0</v>
      </c>
      <c r="BG28" s="54">
        <f t="shared" si="6"/>
        <v>0</v>
      </c>
      <c r="BH28" s="54">
        <f t="shared" si="6"/>
        <v>0</v>
      </c>
      <c r="BI28" s="54">
        <f t="shared" si="6"/>
        <v>0</v>
      </c>
      <c r="BJ28" s="54">
        <f t="shared" si="6"/>
        <v>0</v>
      </c>
      <c r="BK28" s="54">
        <f t="shared" si="6"/>
        <v>0</v>
      </c>
      <c r="BL28" s="54">
        <f t="shared" si="6"/>
        <v>0</v>
      </c>
      <c r="BM28" s="54">
        <f t="shared" si="6"/>
        <v>0</v>
      </c>
      <c r="BN28" s="54">
        <f t="shared" si="6"/>
        <v>0</v>
      </c>
      <c r="BO28" s="54">
        <f t="shared" si="6"/>
        <v>0</v>
      </c>
      <c r="BP28" s="54">
        <f t="shared" si="6"/>
        <v>0</v>
      </c>
      <c r="BQ28" s="54">
        <f t="shared" si="6"/>
        <v>0</v>
      </c>
      <c r="BR28" s="54">
        <f t="shared" si="6"/>
        <v>0</v>
      </c>
      <c r="BS28" s="54">
        <f t="shared" si="6"/>
        <v>0</v>
      </c>
      <c r="BT28" s="54">
        <f t="shared" si="6"/>
        <v>0</v>
      </c>
      <c r="BU28" s="54">
        <f t="shared" si="6"/>
        <v>0</v>
      </c>
      <c r="BV28" s="54">
        <f t="shared" si="6"/>
        <v>0</v>
      </c>
      <c r="BW28" s="54">
        <f t="shared" si="6"/>
        <v>0</v>
      </c>
      <c r="BX28" s="54">
        <f t="shared" si="6"/>
        <v>0</v>
      </c>
      <c r="BY28" s="54">
        <f t="shared" si="6"/>
        <v>0</v>
      </c>
      <c r="BZ28" s="54">
        <f t="shared" si="6"/>
        <v>0</v>
      </c>
      <c r="CA28" s="54">
        <f t="shared" si="6"/>
        <v>0</v>
      </c>
      <c r="CB28" s="54">
        <f t="shared" si="6"/>
        <v>0</v>
      </c>
      <c r="CC28" s="54">
        <f t="shared" si="6"/>
        <v>0</v>
      </c>
      <c r="CD28" s="54">
        <f t="shared" si="6"/>
        <v>0</v>
      </c>
      <c r="CE28" s="54">
        <f t="shared" si="6"/>
        <v>0</v>
      </c>
    </row>
    <row r="29" spans="1:83" x14ac:dyDescent="0.25">
      <c r="A29" s="128" t="str">
        <f>A$17</f>
        <v>lot3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2"/>
      <c r="AB29" s="5"/>
      <c r="AC29" t="s">
        <v>387</v>
      </c>
      <c r="AE29" s="17">
        <v>13</v>
      </c>
      <c r="AG29" s="126">
        <f>HLOOKUP(AF$4,[1]Anx!$C$86:$CO$121,AE29)</f>
        <v>0</v>
      </c>
      <c r="AH29" s="61">
        <f t="shared" si="2"/>
        <v>0</v>
      </c>
      <c r="AI29" s="129">
        <f>Troupeau!C83</f>
        <v>0</v>
      </c>
      <c r="AK29" s="54">
        <f t="shared" si="3"/>
        <v>0</v>
      </c>
      <c r="AL29" s="54">
        <f t="shared" si="4"/>
        <v>0</v>
      </c>
      <c r="AM29" s="54">
        <f t="shared" si="4"/>
        <v>0</v>
      </c>
      <c r="AN29" s="54">
        <f t="shared" si="0"/>
        <v>0</v>
      </c>
      <c r="AO29" s="54">
        <f t="shared" si="0"/>
        <v>0</v>
      </c>
      <c r="AP29" s="54">
        <f t="shared" si="0"/>
        <v>0</v>
      </c>
      <c r="AQ29" s="54">
        <f t="shared" si="0"/>
        <v>0</v>
      </c>
      <c r="AR29" s="54">
        <f t="shared" si="0"/>
        <v>0</v>
      </c>
      <c r="AS29" s="54">
        <f t="shared" si="0"/>
        <v>0</v>
      </c>
      <c r="AT29" s="54">
        <f t="shared" si="0"/>
        <v>0</v>
      </c>
      <c r="AU29" s="54">
        <f t="shared" si="0"/>
        <v>0</v>
      </c>
      <c r="AV29" s="54">
        <f t="shared" si="0"/>
        <v>0</v>
      </c>
      <c r="AW29" s="54">
        <f t="shared" si="0"/>
        <v>0</v>
      </c>
      <c r="AX29" s="54">
        <f t="shared" si="0"/>
        <v>0</v>
      </c>
      <c r="AY29" s="54">
        <f t="shared" si="0"/>
        <v>0</v>
      </c>
      <c r="AZ29" s="54">
        <f t="shared" si="0"/>
        <v>0</v>
      </c>
      <c r="BA29" s="54">
        <f t="shared" si="0"/>
        <v>0</v>
      </c>
      <c r="BB29" s="54">
        <f t="shared" si="0"/>
        <v>0</v>
      </c>
      <c r="BC29" s="54">
        <f t="shared" si="0"/>
        <v>0</v>
      </c>
      <c r="BD29" s="54">
        <f t="shared" si="6"/>
        <v>0</v>
      </c>
      <c r="BE29" s="54">
        <f t="shared" si="6"/>
        <v>0</v>
      </c>
      <c r="BF29" s="54">
        <f t="shared" si="6"/>
        <v>0</v>
      </c>
      <c r="BG29" s="54">
        <f t="shared" si="6"/>
        <v>0</v>
      </c>
      <c r="BH29" s="54">
        <f t="shared" si="6"/>
        <v>0</v>
      </c>
      <c r="BI29" s="54">
        <f t="shared" si="6"/>
        <v>0</v>
      </c>
      <c r="BJ29" s="54">
        <f t="shared" si="6"/>
        <v>0</v>
      </c>
      <c r="BK29" s="54">
        <f t="shared" si="6"/>
        <v>0</v>
      </c>
      <c r="BL29" s="54">
        <f t="shared" si="6"/>
        <v>0</v>
      </c>
      <c r="BM29" s="54">
        <f t="shared" si="6"/>
        <v>0</v>
      </c>
      <c r="BN29" s="54">
        <f t="shared" si="6"/>
        <v>0</v>
      </c>
      <c r="BO29" s="54">
        <f t="shared" si="6"/>
        <v>0</v>
      </c>
      <c r="BP29" s="54">
        <f t="shared" si="6"/>
        <v>0</v>
      </c>
      <c r="BQ29" s="54">
        <f t="shared" si="6"/>
        <v>0</v>
      </c>
      <c r="BR29" s="54">
        <f t="shared" si="6"/>
        <v>0</v>
      </c>
      <c r="BS29" s="54">
        <f t="shared" si="6"/>
        <v>0</v>
      </c>
      <c r="BT29" s="54">
        <f t="shared" si="6"/>
        <v>0</v>
      </c>
      <c r="BU29" s="54">
        <f t="shared" si="6"/>
        <v>0</v>
      </c>
      <c r="BV29" s="54">
        <f t="shared" si="6"/>
        <v>0</v>
      </c>
      <c r="BW29" s="54">
        <f t="shared" si="6"/>
        <v>0</v>
      </c>
      <c r="BX29" s="54">
        <f t="shared" si="6"/>
        <v>0</v>
      </c>
      <c r="BY29" s="54">
        <f t="shared" si="6"/>
        <v>0</v>
      </c>
      <c r="BZ29" s="54">
        <f t="shared" si="6"/>
        <v>0</v>
      </c>
      <c r="CA29" s="54">
        <f t="shared" si="6"/>
        <v>0</v>
      </c>
      <c r="CB29" s="54">
        <f t="shared" si="6"/>
        <v>0</v>
      </c>
      <c r="CC29" s="54">
        <f t="shared" si="6"/>
        <v>0</v>
      </c>
      <c r="CD29" s="54">
        <f t="shared" si="6"/>
        <v>0</v>
      </c>
      <c r="CE29" s="54">
        <f t="shared" si="6"/>
        <v>0</v>
      </c>
    </row>
    <row r="30" spans="1:83" x14ac:dyDescent="0.25">
      <c r="A30" s="127" t="str">
        <f>A$18</f>
        <v>lot4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2"/>
      <c r="AB30" s="5"/>
      <c r="AC30" t="s">
        <v>388</v>
      </c>
      <c r="AE30" s="17">
        <v>14</v>
      </c>
      <c r="AG30" s="126">
        <f>HLOOKUP(AF$4,[1]Anx!$C$86:$CO$121,AE30)</f>
        <v>0</v>
      </c>
      <c r="AH30" s="61">
        <f t="shared" si="2"/>
        <v>0</v>
      </c>
      <c r="AI30" s="129">
        <f>Troupeau!C84</f>
        <v>0</v>
      </c>
      <c r="AK30" s="54">
        <f t="shared" si="3"/>
        <v>0</v>
      </c>
      <c r="AL30" s="54">
        <f t="shared" si="4"/>
        <v>0</v>
      </c>
      <c r="AM30" s="54">
        <f t="shared" si="4"/>
        <v>0</v>
      </c>
      <c r="AN30" s="54">
        <f t="shared" si="0"/>
        <v>0</v>
      </c>
      <c r="AO30" s="54">
        <f t="shared" si="0"/>
        <v>0</v>
      </c>
      <c r="AP30" s="54">
        <f t="shared" si="0"/>
        <v>0</v>
      </c>
      <c r="AQ30" s="54">
        <f t="shared" si="0"/>
        <v>0</v>
      </c>
      <c r="AR30" s="54">
        <f t="shared" si="0"/>
        <v>0</v>
      </c>
      <c r="AS30" s="54">
        <f t="shared" si="0"/>
        <v>0</v>
      </c>
      <c r="AT30" s="54">
        <f t="shared" si="0"/>
        <v>0</v>
      </c>
      <c r="AU30" s="54">
        <f t="shared" si="0"/>
        <v>0</v>
      </c>
      <c r="AV30" s="54">
        <f t="shared" si="0"/>
        <v>0</v>
      </c>
      <c r="AW30" s="54">
        <f t="shared" si="0"/>
        <v>0</v>
      </c>
      <c r="AX30" s="54">
        <f t="shared" si="0"/>
        <v>0</v>
      </c>
      <c r="AY30" s="54">
        <f t="shared" si="0"/>
        <v>0</v>
      </c>
      <c r="AZ30" s="54">
        <f t="shared" si="0"/>
        <v>0</v>
      </c>
      <c r="BA30" s="54">
        <f t="shared" si="0"/>
        <v>0</v>
      </c>
      <c r="BB30" s="54">
        <f t="shared" si="0"/>
        <v>0</v>
      </c>
      <c r="BC30" s="54">
        <f t="shared" si="0"/>
        <v>0</v>
      </c>
      <c r="BD30" s="54">
        <f t="shared" si="6"/>
        <v>0</v>
      </c>
      <c r="BE30" s="54">
        <f t="shared" si="6"/>
        <v>0</v>
      </c>
      <c r="BF30" s="54">
        <f t="shared" si="6"/>
        <v>0</v>
      </c>
      <c r="BG30" s="54">
        <f t="shared" si="6"/>
        <v>0</v>
      </c>
      <c r="BH30" s="54">
        <f t="shared" si="6"/>
        <v>0</v>
      </c>
      <c r="BI30" s="54">
        <f t="shared" si="6"/>
        <v>0</v>
      </c>
      <c r="BJ30" s="54">
        <f t="shared" si="6"/>
        <v>0</v>
      </c>
      <c r="BK30" s="54">
        <f t="shared" si="6"/>
        <v>0</v>
      </c>
      <c r="BL30" s="54">
        <f t="shared" si="6"/>
        <v>0</v>
      </c>
      <c r="BM30" s="54">
        <f t="shared" si="6"/>
        <v>0</v>
      </c>
      <c r="BN30" s="54">
        <f t="shared" si="6"/>
        <v>0</v>
      </c>
      <c r="BO30" s="54">
        <f t="shared" si="6"/>
        <v>0</v>
      </c>
      <c r="BP30" s="54">
        <f t="shared" si="6"/>
        <v>0</v>
      </c>
      <c r="BQ30" s="54">
        <f t="shared" si="6"/>
        <v>0</v>
      </c>
      <c r="BR30" s="54">
        <f t="shared" si="6"/>
        <v>0</v>
      </c>
      <c r="BS30" s="54">
        <f t="shared" si="6"/>
        <v>0</v>
      </c>
      <c r="BT30" s="54">
        <f t="shared" si="6"/>
        <v>0</v>
      </c>
      <c r="BU30" s="54">
        <f t="shared" si="6"/>
        <v>0</v>
      </c>
      <c r="BV30" s="54">
        <f t="shared" si="6"/>
        <v>0</v>
      </c>
      <c r="BW30" s="54">
        <f t="shared" si="6"/>
        <v>0</v>
      </c>
      <c r="BX30" s="54">
        <f t="shared" si="6"/>
        <v>0</v>
      </c>
      <c r="BY30" s="54">
        <f t="shared" si="6"/>
        <v>0</v>
      </c>
      <c r="BZ30" s="54">
        <f t="shared" si="6"/>
        <v>0</v>
      </c>
      <c r="CA30" s="54">
        <f t="shared" si="6"/>
        <v>0</v>
      </c>
      <c r="CB30" s="54">
        <f t="shared" si="6"/>
        <v>0</v>
      </c>
      <c r="CC30" s="54">
        <f t="shared" si="6"/>
        <v>0</v>
      </c>
      <c r="CD30" s="54">
        <f t="shared" si="6"/>
        <v>0</v>
      </c>
      <c r="CE30" s="54">
        <f t="shared" si="6"/>
        <v>0</v>
      </c>
    </row>
    <row r="31" spans="1:83" x14ac:dyDescent="0.25">
      <c r="A31" s="128" t="str">
        <f>A$19</f>
        <v>lot5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52"/>
      <c r="AB31" s="5"/>
      <c r="AC31" t="s">
        <v>389</v>
      </c>
      <c r="AE31" s="17">
        <v>15</v>
      </c>
      <c r="AG31" s="126">
        <f>HLOOKUP(AF$4,[1]Anx!$C$86:$CO$121,AE31)</f>
        <v>0</v>
      </c>
      <c r="AH31" s="61">
        <f t="shared" si="2"/>
        <v>0</v>
      </c>
      <c r="AI31" s="129">
        <f>Troupeau!C85</f>
        <v>0</v>
      </c>
      <c r="AK31" s="54">
        <f t="shared" si="3"/>
        <v>0</v>
      </c>
      <c r="AL31" s="54">
        <f t="shared" si="4"/>
        <v>0</v>
      </c>
      <c r="AM31" s="54">
        <f t="shared" si="4"/>
        <v>0</v>
      </c>
      <c r="AN31" s="54">
        <f t="shared" si="0"/>
        <v>0</v>
      </c>
      <c r="AO31" s="54">
        <f t="shared" si="0"/>
        <v>0</v>
      </c>
      <c r="AP31" s="54">
        <f t="shared" si="0"/>
        <v>0</v>
      </c>
      <c r="AQ31" s="54">
        <f t="shared" si="0"/>
        <v>0</v>
      </c>
      <c r="AR31" s="54">
        <f t="shared" si="0"/>
        <v>0</v>
      </c>
      <c r="AS31" s="54">
        <f t="shared" si="0"/>
        <v>0</v>
      </c>
      <c r="AT31" s="54">
        <f t="shared" si="0"/>
        <v>0</v>
      </c>
      <c r="AU31" s="54">
        <f t="shared" si="0"/>
        <v>0</v>
      </c>
      <c r="AV31" s="54">
        <f t="shared" si="0"/>
        <v>0</v>
      </c>
      <c r="AW31" s="54">
        <f t="shared" si="0"/>
        <v>0</v>
      </c>
      <c r="AX31" s="54">
        <f t="shared" si="0"/>
        <v>0</v>
      </c>
      <c r="AY31" s="54">
        <f t="shared" si="0"/>
        <v>0</v>
      </c>
      <c r="AZ31" s="54">
        <f t="shared" si="0"/>
        <v>0</v>
      </c>
      <c r="BA31" s="54">
        <f t="shared" si="0"/>
        <v>0</v>
      </c>
      <c r="BB31" s="54">
        <f t="shared" si="0"/>
        <v>0</v>
      </c>
      <c r="BC31" s="54">
        <f t="shared" si="0"/>
        <v>0</v>
      </c>
      <c r="BD31" s="54">
        <f t="shared" si="6"/>
        <v>0</v>
      </c>
      <c r="BE31" s="54">
        <f t="shared" si="6"/>
        <v>0</v>
      </c>
      <c r="BF31" s="54">
        <f t="shared" si="6"/>
        <v>0</v>
      </c>
      <c r="BG31" s="54">
        <f t="shared" si="6"/>
        <v>0</v>
      </c>
      <c r="BH31" s="54">
        <f t="shared" si="6"/>
        <v>0</v>
      </c>
      <c r="BI31" s="54">
        <f t="shared" si="6"/>
        <v>0</v>
      </c>
      <c r="BJ31" s="54">
        <f t="shared" si="6"/>
        <v>0</v>
      </c>
      <c r="BK31" s="54">
        <f t="shared" si="6"/>
        <v>0</v>
      </c>
      <c r="BL31" s="54">
        <f t="shared" si="6"/>
        <v>0</v>
      </c>
      <c r="BM31" s="54">
        <f t="shared" si="6"/>
        <v>0</v>
      </c>
      <c r="BN31" s="54">
        <f t="shared" si="6"/>
        <v>0</v>
      </c>
      <c r="BO31" s="54">
        <f t="shared" si="6"/>
        <v>0</v>
      </c>
      <c r="BP31" s="54">
        <f t="shared" si="6"/>
        <v>0</v>
      </c>
      <c r="BQ31" s="54">
        <f t="shared" si="6"/>
        <v>0</v>
      </c>
      <c r="BR31" s="54">
        <f t="shared" si="6"/>
        <v>0</v>
      </c>
      <c r="BS31" s="54">
        <f t="shared" si="6"/>
        <v>0</v>
      </c>
      <c r="BT31" s="54">
        <f t="shared" si="6"/>
        <v>0</v>
      </c>
      <c r="BU31" s="54">
        <f t="shared" si="6"/>
        <v>0</v>
      </c>
      <c r="BV31" s="54">
        <f t="shared" si="6"/>
        <v>0</v>
      </c>
      <c r="BW31" s="54">
        <f t="shared" si="6"/>
        <v>0</v>
      </c>
      <c r="BX31" s="54">
        <f t="shared" si="6"/>
        <v>0</v>
      </c>
      <c r="BY31" s="54">
        <f t="shared" si="6"/>
        <v>0</v>
      </c>
      <c r="BZ31" s="54">
        <f t="shared" si="6"/>
        <v>0</v>
      </c>
      <c r="CA31" s="54">
        <f t="shared" si="6"/>
        <v>0</v>
      </c>
      <c r="CB31" s="54">
        <f t="shared" si="6"/>
        <v>0</v>
      </c>
      <c r="CC31" s="54">
        <f t="shared" si="6"/>
        <v>0</v>
      </c>
      <c r="CD31" s="54">
        <f t="shared" si="6"/>
        <v>0</v>
      </c>
      <c r="CE31" s="54">
        <f t="shared" si="6"/>
        <v>0</v>
      </c>
    </row>
    <row r="32" spans="1:83" x14ac:dyDescent="0.25">
      <c r="A32" s="127" t="str">
        <f>A$20</f>
        <v>lot6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52"/>
      <c r="AB32" s="5"/>
      <c r="AC32" t="s">
        <v>390</v>
      </c>
      <c r="AE32" s="17">
        <v>16</v>
      </c>
      <c r="AG32" s="126">
        <f>HLOOKUP(AF$4,[1]Anx!$C$86:$CO$121,AE32)</f>
        <v>0</v>
      </c>
      <c r="AH32" s="61">
        <f t="shared" si="2"/>
        <v>0</v>
      </c>
      <c r="AI32" s="129">
        <f>Troupeau!C86</f>
        <v>0</v>
      </c>
      <c r="AK32" s="54">
        <f t="shared" si="3"/>
        <v>0</v>
      </c>
      <c r="AL32" s="54">
        <f t="shared" si="4"/>
        <v>0</v>
      </c>
      <c r="AM32" s="54">
        <f t="shared" si="4"/>
        <v>0</v>
      </c>
      <c r="AN32" s="54">
        <f t="shared" si="0"/>
        <v>0</v>
      </c>
      <c r="AO32" s="54">
        <f t="shared" si="0"/>
        <v>0</v>
      </c>
      <c r="AP32" s="54">
        <f t="shared" si="0"/>
        <v>0</v>
      </c>
      <c r="AQ32" s="54">
        <f t="shared" si="0"/>
        <v>0</v>
      </c>
      <c r="AR32" s="54">
        <f t="shared" si="0"/>
        <v>0</v>
      </c>
      <c r="AS32" s="54">
        <f t="shared" si="0"/>
        <v>0</v>
      </c>
      <c r="AT32" s="54">
        <f t="shared" si="0"/>
        <v>0</v>
      </c>
      <c r="AU32" s="54">
        <f t="shared" si="0"/>
        <v>0</v>
      </c>
      <c r="AV32" s="54">
        <f t="shared" si="0"/>
        <v>0</v>
      </c>
      <c r="AW32" s="54">
        <f t="shared" si="0"/>
        <v>0</v>
      </c>
      <c r="AX32" s="54">
        <f t="shared" si="0"/>
        <v>0</v>
      </c>
      <c r="AY32" s="54">
        <f t="shared" si="0"/>
        <v>0</v>
      </c>
      <c r="AZ32" s="54">
        <f t="shared" si="0"/>
        <v>0</v>
      </c>
      <c r="BA32" s="54">
        <f t="shared" si="0"/>
        <v>0</v>
      </c>
      <c r="BB32" s="54">
        <f t="shared" si="0"/>
        <v>0</v>
      </c>
      <c r="BC32" s="54">
        <f t="shared" si="0"/>
        <v>0</v>
      </c>
      <c r="BD32" s="54">
        <f t="shared" si="6"/>
        <v>0</v>
      </c>
      <c r="BE32" s="54">
        <f t="shared" si="6"/>
        <v>0</v>
      </c>
      <c r="BF32" s="54">
        <f t="shared" si="6"/>
        <v>0</v>
      </c>
      <c r="BG32" s="54">
        <f t="shared" si="6"/>
        <v>0</v>
      </c>
      <c r="BH32" s="54">
        <f t="shared" si="6"/>
        <v>0</v>
      </c>
      <c r="BI32" s="54">
        <f t="shared" si="6"/>
        <v>0</v>
      </c>
      <c r="BJ32" s="54">
        <f t="shared" si="6"/>
        <v>0</v>
      </c>
      <c r="BK32" s="54">
        <f t="shared" si="6"/>
        <v>0</v>
      </c>
      <c r="BL32" s="54">
        <f t="shared" si="6"/>
        <v>0</v>
      </c>
      <c r="BM32" s="54">
        <f t="shared" si="6"/>
        <v>0</v>
      </c>
      <c r="BN32" s="54">
        <f t="shared" si="6"/>
        <v>0</v>
      </c>
      <c r="BO32" s="54">
        <f t="shared" si="6"/>
        <v>0</v>
      </c>
      <c r="BP32" s="54">
        <f t="shared" si="6"/>
        <v>0</v>
      </c>
      <c r="BQ32" s="54">
        <f t="shared" si="6"/>
        <v>0</v>
      </c>
      <c r="BR32" s="54">
        <f t="shared" si="6"/>
        <v>0</v>
      </c>
      <c r="BS32" s="54">
        <f t="shared" si="6"/>
        <v>0</v>
      </c>
      <c r="BT32" s="54">
        <f t="shared" si="6"/>
        <v>0</v>
      </c>
      <c r="BU32" s="54">
        <f t="shared" si="6"/>
        <v>0</v>
      </c>
      <c r="BV32" s="54">
        <f t="shared" si="6"/>
        <v>0</v>
      </c>
      <c r="BW32" s="54">
        <f t="shared" si="6"/>
        <v>0</v>
      </c>
      <c r="BX32" s="54">
        <f t="shared" si="6"/>
        <v>0</v>
      </c>
      <c r="BY32" s="54">
        <f t="shared" si="6"/>
        <v>0</v>
      </c>
      <c r="BZ32" s="54">
        <f t="shared" si="6"/>
        <v>0</v>
      </c>
      <c r="CA32" s="54">
        <f t="shared" si="6"/>
        <v>0</v>
      </c>
      <c r="CB32" s="54">
        <f t="shared" si="6"/>
        <v>0</v>
      </c>
      <c r="CC32" s="54">
        <f t="shared" si="6"/>
        <v>0</v>
      </c>
      <c r="CD32" s="54">
        <f t="shared" si="6"/>
        <v>0</v>
      </c>
      <c r="CE32" s="54">
        <f t="shared" si="6"/>
        <v>0</v>
      </c>
    </row>
    <row r="33" spans="1:83" x14ac:dyDescent="0.25">
      <c r="A33" s="128" t="str">
        <f>A$21</f>
        <v>lot7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52"/>
      <c r="AB33" s="5"/>
      <c r="AC33" t="s">
        <v>391</v>
      </c>
      <c r="AE33" s="17">
        <v>17</v>
      </c>
      <c r="AG33" s="126">
        <f>HLOOKUP(AF$4,[1]Anx!$C$86:$CO$121,AE33)</f>
        <v>0</v>
      </c>
      <c r="AH33" s="61">
        <f t="shared" si="2"/>
        <v>0</v>
      </c>
      <c r="AI33" s="129">
        <f>Troupeau!C87</f>
        <v>0</v>
      </c>
      <c r="AK33" s="54">
        <f t="shared" si="3"/>
        <v>0</v>
      </c>
      <c r="AL33" s="54">
        <f t="shared" si="4"/>
        <v>0</v>
      </c>
      <c r="AM33" s="54">
        <f t="shared" si="4"/>
        <v>0</v>
      </c>
      <c r="AN33" s="54">
        <f t="shared" si="0"/>
        <v>0</v>
      </c>
      <c r="AO33" s="54">
        <f t="shared" si="0"/>
        <v>0</v>
      </c>
      <c r="AP33" s="54">
        <f t="shared" si="0"/>
        <v>0</v>
      </c>
      <c r="AQ33" s="54">
        <f t="shared" si="0"/>
        <v>0</v>
      </c>
      <c r="AR33" s="54">
        <f t="shared" si="0"/>
        <v>0</v>
      </c>
      <c r="AS33" s="54">
        <f t="shared" si="0"/>
        <v>0</v>
      </c>
      <c r="AT33" s="54">
        <f t="shared" si="0"/>
        <v>0</v>
      </c>
      <c r="AU33" s="54">
        <f t="shared" si="0"/>
        <v>0</v>
      </c>
      <c r="AV33" s="54">
        <f t="shared" si="0"/>
        <v>0</v>
      </c>
      <c r="AW33" s="54">
        <f t="shared" si="0"/>
        <v>0</v>
      </c>
      <c r="AX33" s="54">
        <f t="shared" si="0"/>
        <v>0</v>
      </c>
      <c r="AY33" s="54">
        <f t="shared" si="0"/>
        <v>0</v>
      </c>
      <c r="AZ33" s="54">
        <f t="shared" si="0"/>
        <v>0</v>
      </c>
      <c r="BA33" s="54">
        <f t="shared" si="0"/>
        <v>0</v>
      </c>
      <c r="BB33" s="54">
        <f t="shared" si="0"/>
        <v>0</v>
      </c>
      <c r="BC33" s="54">
        <f t="shared" ref="AN33:BC49" si="7">IF($AH33=BC$17,ROUND($AI33/1000,1),0)</f>
        <v>0</v>
      </c>
      <c r="BD33" s="54">
        <f t="shared" si="6"/>
        <v>0</v>
      </c>
      <c r="BE33" s="54">
        <f t="shared" si="6"/>
        <v>0</v>
      </c>
      <c r="BF33" s="54">
        <f t="shared" si="6"/>
        <v>0</v>
      </c>
      <c r="BG33" s="54">
        <f t="shared" si="6"/>
        <v>0</v>
      </c>
      <c r="BH33" s="54">
        <f t="shared" si="6"/>
        <v>0</v>
      </c>
      <c r="BI33" s="54">
        <f t="shared" si="6"/>
        <v>0</v>
      </c>
      <c r="BJ33" s="54">
        <f t="shared" si="6"/>
        <v>0</v>
      </c>
      <c r="BK33" s="54">
        <f t="shared" si="6"/>
        <v>0</v>
      </c>
      <c r="BL33" s="54">
        <f t="shared" si="6"/>
        <v>0</v>
      </c>
      <c r="BM33" s="54">
        <f t="shared" si="6"/>
        <v>0</v>
      </c>
      <c r="BN33" s="54">
        <f t="shared" si="6"/>
        <v>0</v>
      </c>
      <c r="BO33" s="54">
        <f t="shared" si="6"/>
        <v>0</v>
      </c>
      <c r="BP33" s="54">
        <f t="shared" si="6"/>
        <v>0</v>
      </c>
      <c r="BQ33" s="54">
        <f t="shared" si="6"/>
        <v>0</v>
      </c>
      <c r="BR33" s="54">
        <f t="shared" si="6"/>
        <v>0</v>
      </c>
      <c r="BS33" s="54">
        <f t="shared" si="6"/>
        <v>0</v>
      </c>
      <c r="BT33" s="54">
        <f t="shared" si="6"/>
        <v>0</v>
      </c>
      <c r="BU33" s="54">
        <f t="shared" si="6"/>
        <v>0</v>
      </c>
      <c r="BV33" s="54">
        <f t="shared" si="6"/>
        <v>0</v>
      </c>
      <c r="BW33" s="54">
        <f t="shared" si="6"/>
        <v>0</v>
      </c>
      <c r="BX33" s="54">
        <f t="shared" si="6"/>
        <v>0</v>
      </c>
      <c r="BY33" s="54">
        <f t="shared" si="6"/>
        <v>0</v>
      </c>
      <c r="BZ33" s="54">
        <f t="shared" si="6"/>
        <v>0</v>
      </c>
      <c r="CA33" s="54">
        <f t="shared" si="6"/>
        <v>0</v>
      </c>
      <c r="CB33" s="54">
        <f t="shared" si="6"/>
        <v>0</v>
      </c>
      <c r="CC33" s="54">
        <f t="shared" si="6"/>
        <v>0</v>
      </c>
      <c r="CD33" s="54">
        <f t="shared" si="6"/>
        <v>0</v>
      </c>
      <c r="CE33" s="54">
        <f t="shared" si="6"/>
        <v>0</v>
      </c>
    </row>
    <row r="34" spans="1:83" x14ac:dyDescent="0.25">
      <c r="A34" s="128" t="str">
        <f>A$22</f>
        <v>lot8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52"/>
      <c r="AB34" s="5"/>
      <c r="AC34" t="s">
        <v>392</v>
      </c>
      <c r="AE34" s="17">
        <v>18</v>
      </c>
      <c r="AG34" s="126">
        <f>HLOOKUP(AF$4,[1]Anx!$C$86:$CO$121,AE34)</f>
        <v>0</v>
      </c>
      <c r="AH34" s="61">
        <f t="shared" si="2"/>
        <v>0</v>
      </c>
      <c r="AI34" s="129">
        <f>Troupeau!C88</f>
        <v>0</v>
      </c>
      <c r="AK34" s="54">
        <f t="shared" si="3"/>
        <v>0</v>
      </c>
      <c r="AL34" s="54">
        <f t="shared" si="4"/>
        <v>0</v>
      </c>
      <c r="AM34" s="54">
        <f t="shared" si="4"/>
        <v>0</v>
      </c>
      <c r="AN34" s="54">
        <f t="shared" si="7"/>
        <v>0</v>
      </c>
      <c r="AO34" s="54">
        <f t="shared" si="7"/>
        <v>0</v>
      </c>
      <c r="AP34" s="54">
        <f t="shared" si="7"/>
        <v>0</v>
      </c>
      <c r="AQ34" s="54">
        <f t="shared" si="7"/>
        <v>0</v>
      </c>
      <c r="AR34" s="54">
        <f t="shared" si="7"/>
        <v>0</v>
      </c>
      <c r="AS34" s="54">
        <f t="shared" si="7"/>
        <v>0</v>
      </c>
      <c r="AT34" s="54">
        <f t="shared" si="7"/>
        <v>0</v>
      </c>
      <c r="AU34" s="54">
        <f t="shared" si="7"/>
        <v>0</v>
      </c>
      <c r="AV34" s="54">
        <f t="shared" si="7"/>
        <v>0</v>
      </c>
      <c r="AW34" s="54">
        <f t="shared" si="7"/>
        <v>0</v>
      </c>
      <c r="AX34" s="54">
        <f t="shared" si="7"/>
        <v>0</v>
      </c>
      <c r="AY34" s="54">
        <f t="shared" si="7"/>
        <v>0</v>
      </c>
      <c r="AZ34" s="54">
        <f t="shared" si="7"/>
        <v>0</v>
      </c>
      <c r="BA34" s="54">
        <f t="shared" si="7"/>
        <v>0</v>
      </c>
      <c r="BB34" s="54">
        <f t="shared" si="7"/>
        <v>0</v>
      </c>
      <c r="BC34" s="54">
        <f t="shared" si="7"/>
        <v>0</v>
      </c>
      <c r="BD34" s="54">
        <f t="shared" si="6"/>
        <v>0</v>
      </c>
      <c r="BE34" s="54">
        <f t="shared" si="6"/>
        <v>0</v>
      </c>
      <c r="BF34" s="54">
        <f t="shared" si="6"/>
        <v>0</v>
      </c>
      <c r="BG34" s="54">
        <f t="shared" si="6"/>
        <v>0</v>
      </c>
      <c r="BH34" s="54">
        <f t="shared" si="6"/>
        <v>0</v>
      </c>
      <c r="BI34" s="54">
        <f t="shared" si="6"/>
        <v>0</v>
      </c>
      <c r="BJ34" s="54">
        <f t="shared" si="6"/>
        <v>0</v>
      </c>
      <c r="BK34" s="54">
        <f t="shared" si="6"/>
        <v>0</v>
      </c>
      <c r="BL34" s="54">
        <f t="shared" si="6"/>
        <v>0</v>
      </c>
      <c r="BM34" s="54">
        <f t="shared" si="6"/>
        <v>0</v>
      </c>
      <c r="BN34" s="54">
        <f t="shared" si="6"/>
        <v>0</v>
      </c>
      <c r="BO34" s="54">
        <f t="shared" si="6"/>
        <v>0</v>
      </c>
      <c r="BP34" s="54">
        <f t="shared" si="6"/>
        <v>0</v>
      </c>
      <c r="BQ34" s="54">
        <f t="shared" si="6"/>
        <v>0</v>
      </c>
      <c r="BR34" s="54">
        <f t="shared" si="6"/>
        <v>0</v>
      </c>
      <c r="BS34" s="54">
        <f t="shared" si="6"/>
        <v>0</v>
      </c>
      <c r="BT34" s="54">
        <f t="shared" si="6"/>
        <v>0</v>
      </c>
      <c r="BU34" s="54">
        <f t="shared" si="6"/>
        <v>0</v>
      </c>
      <c r="BV34" s="54">
        <f t="shared" si="6"/>
        <v>0</v>
      </c>
      <c r="BW34" s="54">
        <f t="shared" si="6"/>
        <v>0</v>
      </c>
      <c r="BX34" s="54">
        <f t="shared" si="6"/>
        <v>0</v>
      </c>
      <c r="BY34" s="54">
        <f t="shared" si="6"/>
        <v>0</v>
      </c>
      <c r="BZ34" s="54">
        <f t="shared" si="6"/>
        <v>0</v>
      </c>
      <c r="CA34" s="54">
        <f t="shared" si="6"/>
        <v>0</v>
      </c>
      <c r="CB34" s="54">
        <f t="shared" si="6"/>
        <v>0</v>
      </c>
      <c r="CC34" s="54">
        <f t="shared" si="6"/>
        <v>0</v>
      </c>
      <c r="CD34" s="54">
        <f t="shared" si="6"/>
        <v>0</v>
      </c>
      <c r="CE34" s="54">
        <f t="shared" si="6"/>
        <v>0</v>
      </c>
    </row>
    <row r="35" spans="1:83" x14ac:dyDescent="0.25">
      <c r="A35" s="127" t="str">
        <f>A$23</f>
        <v>lot9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52"/>
      <c r="AB35" s="5"/>
      <c r="AC35" t="s">
        <v>393</v>
      </c>
      <c r="AE35" s="17">
        <v>19</v>
      </c>
      <c r="AG35" s="126">
        <f>HLOOKUP(AF$4,[1]Anx!$C$86:$CO$121,AE35)</f>
        <v>0</v>
      </c>
      <c r="AH35" s="61">
        <f t="shared" si="2"/>
        <v>0</v>
      </c>
      <c r="AI35" s="129">
        <f>Troupeau!C89</f>
        <v>0</v>
      </c>
      <c r="AK35" s="54">
        <f t="shared" si="3"/>
        <v>0</v>
      </c>
      <c r="AL35" s="54">
        <f t="shared" ref="AL35:AM52" si="8">IF($AH35=AL$17,ROUND($AI35/1000,1),0)</f>
        <v>0</v>
      </c>
      <c r="AM35" s="54">
        <f t="shared" si="8"/>
        <v>0</v>
      </c>
      <c r="AN35" s="54">
        <f t="shared" si="7"/>
        <v>0</v>
      </c>
      <c r="AO35" s="54">
        <f t="shared" si="7"/>
        <v>0</v>
      </c>
      <c r="AP35" s="54">
        <f t="shared" si="7"/>
        <v>0</v>
      </c>
      <c r="AQ35" s="54">
        <f t="shared" si="7"/>
        <v>0</v>
      </c>
      <c r="AR35" s="54">
        <f t="shared" si="7"/>
        <v>0</v>
      </c>
      <c r="AS35" s="54">
        <f t="shared" si="7"/>
        <v>0</v>
      </c>
      <c r="AT35" s="54">
        <f t="shared" si="7"/>
        <v>0</v>
      </c>
      <c r="AU35" s="54">
        <f t="shared" si="7"/>
        <v>0</v>
      </c>
      <c r="AV35" s="54">
        <f t="shared" si="7"/>
        <v>0</v>
      </c>
      <c r="AW35" s="54">
        <f t="shared" si="7"/>
        <v>0</v>
      </c>
      <c r="AX35" s="54">
        <f t="shared" si="7"/>
        <v>0</v>
      </c>
      <c r="AY35" s="54">
        <f t="shared" si="7"/>
        <v>0</v>
      </c>
      <c r="AZ35" s="54">
        <f t="shared" si="7"/>
        <v>0</v>
      </c>
      <c r="BA35" s="54">
        <f t="shared" si="7"/>
        <v>0</v>
      </c>
      <c r="BB35" s="54">
        <f t="shared" si="7"/>
        <v>0</v>
      </c>
      <c r="BC35" s="54">
        <f t="shared" si="7"/>
        <v>0</v>
      </c>
      <c r="BD35" s="54">
        <f t="shared" si="6"/>
        <v>0</v>
      </c>
      <c r="BE35" s="54">
        <f t="shared" si="6"/>
        <v>0</v>
      </c>
      <c r="BF35" s="54">
        <f t="shared" si="6"/>
        <v>0</v>
      </c>
      <c r="BG35" s="54">
        <f t="shared" si="6"/>
        <v>0</v>
      </c>
      <c r="BH35" s="54">
        <f t="shared" si="6"/>
        <v>0</v>
      </c>
      <c r="BI35" s="54">
        <f t="shared" si="6"/>
        <v>0</v>
      </c>
      <c r="BJ35" s="54">
        <f t="shared" si="6"/>
        <v>0</v>
      </c>
      <c r="BK35" s="54">
        <f t="shared" si="6"/>
        <v>0</v>
      </c>
      <c r="BL35" s="54">
        <f t="shared" si="6"/>
        <v>0</v>
      </c>
      <c r="BM35" s="54">
        <f t="shared" si="6"/>
        <v>0</v>
      </c>
      <c r="BN35" s="54">
        <f t="shared" si="6"/>
        <v>0</v>
      </c>
      <c r="BO35" s="54">
        <f t="shared" si="6"/>
        <v>0</v>
      </c>
      <c r="BP35" s="54">
        <f t="shared" si="6"/>
        <v>0</v>
      </c>
      <c r="BQ35" s="54">
        <f t="shared" si="6"/>
        <v>0</v>
      </c>
      <c r="BR35" s="54">
        <f t="shared" si="6"/>
        <v>0</v>
      </c>
      <c r="BS35" s="54">
        <f t="shared" si="6"/>
        <v>0</v>
      </c>
      <c r="BT35" s="54">
        <f t="shared" si="6"/>
        <v>0</v>
      </c>
      <c r="BU35" s="54">
        <f t="shared" si="6"/>
        <v>0</v>
      </c>
      <c r="BV35" s="54">
        <f t="shared" si="6"/>
        <v>0</v>
      </c>
      <c r="BW35" s="54">
        <f t="shared" si="6"/>
        <v>0</v>
      </c>
      <c r="BX35" s="54">
        <f t="shared" si="6"/>
        <v>0</v>
      </c>
      <c r="BY35" s="54">
        <f t="shared" si="6"/>
        <v>0</v>
      </c>
      <c r="BZ35" s="54">
        <f t="shared" si="6"/>
        <v>0</v>
      </c>
      <c r="CA35" s="54">
        <f t="shared" si="6"/>
        <v>0</v>
      </c>
      <c r="CB35" s="54">
        <f t="shared" si="6"/>
        <v>0</v>
      </c>
      <c r="CC35" s="54">
        <f t="shared" si="6"/>
        <v>0</v>
      </c>
      <c r="CD35" s="54">
        <f t="shared" si="6"/>
        <v>0</v>
      </c>
      <c r="CE35" s="54">
        <f t="shared" si="6"/>
        <v>0</v>
      </c>
    </row>
    <row r="36" spans="1:83" x14ac:dyDescent="0.25">
      <c r="A36" s="128" t="str">
        <f>A$24</f>
        <v>lot10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52"/>
      <c r="AB36" s="5"/>
      <c r="AC36" t="s">
        <v>394</v>
      </c>
      <c r="AE36" s="17">
        <v>20</v>
      </c>
      <c r="AG36" s="126">
        <f>HLOOKUP(AF$4,[1]Anx!$C$86:$CO$121,AE36)</f>
        <v>0</v>
      </c>
      <c r="AH36" s="61">
        <f t="shared" si="2"/>
        <v>0</v>
      </c>
      <c r="AI36" s="129">
        <f>Troupeau!C90</f>
        <v>0</v>
      </c>
      <c r="AK36" s="54">
        <f t="shared" si="3"/>
        <v>0</v>
      </c>
      <c r="AL36" s="54">
        <f t="shared" si="8"/>
        <v>0</v>
      </c>
      <c r="AM36" s="54">
        <f t="shared" si="8"/>
        <v>0</v>
      </c>
      <c r="AN36" s="54">
        <f t="shared" si="7"/>
        <v>0</v>
      </c>
      <c r="AO36" s="54">
        <f t="shared" si="7"/>
        <v>0</v>
      </c>
      <c r="AP36" s="54">
        <f t="shared" si="7"/>
        <v>0</v>
      </c>
      <c r="AQ36" s="54">
        <f t="shared" si="7"/>
        <v>0</v>
      </c>
      <c r="AR36" s="54">
        <f t="shared" si="7"/>
        <v>0</v>
      </c>
      <c r="AS36" s="54">
        <f t="shared" si="7"/>
        <v>0</v>
      </c>
      <c r="AT36" s="54">
        <f t="shared" si="7"/>
        <v>0</v>
      </c>
      <c r="AU36" s="54">
        <f t="shared" si="7"/>
        <v>0</v>
      </c>
      <c r="AV36" s="54">
        <f t="shared" si="7"/>
        <v>0</v>
      </c>
      <c r="AW36" s="54">
        <f t="shared" si="7"/>
        <v>0</v>
      </c>
      <c r="AX36" s="54">
        <f t="shared" si="7"/>
        <v>0</v>
      </c>
      <c r="AY36" s="54">
        <f t="shared" si="7"/>
        <v>0</v>
      </c>
      <c r="AZ36" s="54">
        <f t="shared" si="7"/>
        <v>0</v>
      </c>
      <c r="BA36" s="54">
        <f t="shared" si="7"/>
        <v>0</v>
      </c>
      <c r="BB36" s="54">
        <f t="shared" si="7"/>
        <v>0</v>
      </c>
      <c r="BC36" s="54">
        <f t="shared" si="7"/>
        <v>0</v>
      </c>
      <c r="BD36" s="54">
        <f t="shared" si="6"/>
        <v>0</v>
      </c>
      <c r="BE36" s="54">
        <f t="shared" si="6"/>
        <v>0</v>
      </c>
      <c r="BF36" s="54">
        <f t="shared" si="6"/>
        <v>0</v>
      </c>
      <c r="BG36" s="54">
        <f t="shared" si="6"/>
        <v>0</v>
      </c>
      <c r="BH36" s="54">
        <f t="shared" si="6"/>
        <v>0</v>
      </c>
      <c r="BI36" s="54">
        <f t="shared" si="6"/>
        <v>0</v>
      </c>
      <c r="BJ36" s="54">
        <f t="shared" si="6"/>
        <v>0</v>
      </c>
      <c r="BK36" s="54">
        <f t="shared" si="6"/>
        <v>0</v>
      </c>
      <c r="BL36" s="54">
        <f t="shared" si="6"/>
        <v>0</v>
      </c>
      <c r="BM36" s="54">
        <f t="shared" si="6"/>
        <v>0</v>
      </c>
      <c r="BN36" s="54">
        <f t="shared" si="6"/>
        <v>0</v>
      </c>
      <c r="BO36" s="54">
        <f t="shared" si="6"/>
        <v>0</v>
      </c>
      <c r="BP36" s="54">
        <f t="shared" si="6"/>
        <v>0</v>
      </c>
      <c r="BQ36" s="54">
        <f t="shared" si="6"/>
        <v>0</v>
      </c>
      <c r="BR36" s="54">
        <f t="shared" si="6"/>
        <v>0</v>
      </c>
      <c r="BS36" s="54">
        <f t="shared" si="6"/>
        <v>0</v>
      </c>
      <c r="BT36" s="54">
        <f t="shared" si="6"/>
        <v>0</v>
      </c>
      <c r="BU36" s="54">
        <f t="shared" si="6"/>
        <v>0</v>
      </c>
      <c r="BV36" s="54">
        <f t="shared" si="6"/>
        <v>0</v>
      </c>
      <c r="BW36" s="54">
        <f t="shared" si="6"/>
        <v>0</v>
      </c>
      <c r="BX36" s="54">
        <f t="shared" si="6"/>
        <v>0</v>
      </c>
      <c r="BY36" s="54">
        <f t="shared" si="6"/>
        <v>0</v>
      </c>
      <c r="BZ36" s="54">
        <f t="shared" si="6"/>
        <v>0</v>
      </c>
      <c r="CA36" s="54">
        <f t="shared" si="6"/>
        <v>0</v>
      </c>
      <c r="CB36" s="54">
        <f t="shared" si="6"/>
        <v>0</v>
      </c>
      <c r="CC36" s="54">
        <f t="shared" si="6"/>
        <v>0</v>
      </c>
      <c r="CD36" s="54">
        <f t="shared" si="6"/>
        <v>0</v>
      </c>
      <c r="CE36" s="54">
        <f t="shared" si="6"/>
        <v>0</v>
      </c>
    </row>
    <row r="37" spans="1:83" x14ac:dyDescent="0.25">
      <c r="AB37" s="5"/>
      <c r="AC37" t="s">
        <v>395</v>
      </c>
      <c r="AE37" s="17">
        <v>21</v>
      </c>
      <c r="AG37" s="126">
        <f>HLOOKUP(AF$4,[1]Anx!$C$86:$CO$121,AE37)</f>
        <v>0</v>
      </c>
      <c r="AH37" s="61">
        <f t="shared" si="2"/>
        <v>0</v>
      </c>
      <c r="AI37" s="129">
        <f>Troupeau!C91</f>
        <v>0</v>
      </c>
      <c r="AK37" s="54">
        <f t="shared" si="3"/>
        <v>0</v>
      </c>
      <c r="AL37" s="54">
        <f t="shared" si="8"/>
        <v>0</v>
      </c>
      <c r="AM37" s="54">
        <f t="shared" si="8"/>
        <v>0</v>
      </c>
      <c r="AN37" s="54">
        <f t="shared" si="7"/>
        <v>0</v>
      </c>
      <c r="AO37" s="54">
        <f t="shared" si="7"/>
        <v>0</v>
      </c>
      <c r="AP37" s="54">
        <f t="shared" si="7"/>
        <v>0</v>
      </c>
      <c r="AQ37" s="54">
        <f t="shared" si="7"/>
        <v>0</v>
      </c>
      <c r="AR37" s="54">
        <f t="shared" si="7"/>
        <v>0</v>
      </c>
      <c r="AS37" s="54">
        <f t="shared" si="7"/>
        <v>0</v>
      </c>
      <c r="AT37" s="54">
        <f t="shared" si="7"/>
        <v>0</v>
      </c>
      <c r="AU37" s="54">
        <f t="shared" si="7"/>
        <v>0</v>
      </c>
      <c r="AV37" s="54">
        <f t="shared" si="7"/>
        <v>0</v>
      </c>
      <c r="AW37" s="54">
        <f t="shared" si="7"/>
        <v>0</v>
      </c>
      <c r="AX37" s="54">
        <f t="shared" si="7"/>
        <v>0</v>
      </c>
      <c r="AY37" s="54">
        <f t="shared" si="7"/>
        <v>0</v>
      </c>
      <c r="AZ37" s="54">
        <f t="shared" si="7"/>
        <v>0</v>
      </c>
      <c r="BA37" s="54">
        <f t="shared" si="7"/>
        <v>0</v>
      </c>
      <c r="BB37" s="54">
        <f t="shared" si="7"/>
        <v>0</v>
      </c>
      <c r="BC37" s="54">
        <f t="shared" si="7"/>
        <v>0</v>
      </c>
      <c r="BD37" s="54">
        <f t="shared" si="6"/>
        <v>0</v>
      </c>
      <c r="BE37" s="54">
        <f t="shared" si="6"/>
        <v>0</v>
      </c>
      <c r="BF37" s="54">
        <f t="shared" si="6"/>
        <v>0</v>
      </c>
      <c r="BG37" s="54">
        <f t="shared" ref="BG37:BV52" si="9">IF($AH37=BG$17,ROUND($AI37/1000,1),0)</f>
        <v>0</v>
      </c>
      <c r="BH37" s="54">
        <f t="shared" si="9"/>
        <v>0</v>
      </c>
      <c r="BI37" s="54">
        <f t="shared" si="9"/>
        <v>0</v>
      </c>
      <c r="BJ37" s="54">
        <f t="shared" si="9"/>
        <v>0</v>
      </c>
      <c r="BK37" s="54">
        <f t="shared" si="9"/>
        <v>0</v>
      </c>
      <c r="BL37" s="54">
        <f t="shared" si="9"/>
        <v>0</v>
      </c>
      <c r="BM37" s="54">
        <f t="shared" si="9"/>
        <v>0</v>
      </c>
      <c r="BN37" s="54">
        <f t="shared" si="9"/>
        <v>0</v>
      </c>
      <c r="BO37" s="54">
        <f t="shared" si="9"/>
        <v>0</v>
      </c>
      <c r="BP37" s="54">
        <f t="shared" si="9"/>
        <v>0</v>
      </c>
      <c r="BQ37" s="54">
        <f t="shared" si="9"/>
        <v>0</v>
      </c>
      <c r="BR37" s="54">
        <f t="shared" si="9"/>
        <v>0</v>
      </c>
      <c r="BS37" s="54">
        <f t="shared" si="9"/>
        <v>0</v>
      </c>
      <c r="BT37" s="54">
        <f t="shared" si="9"/>
        <v>0</v>
      </c>
      <c r="BU37" s="54">
        <f t="shared" si="9"/>
        <v>0</v>
      </c>
      <c r="BV37" s="54">
        <f t="shared" si="9"/>
        <v>0</v>
      </c>
      <c r="BW37" s="54">
        <f t="shared" ref="BW37:CE52" si="10">IF($AH37=BW$17,ROUND($AI37/1000,1),0)</f>
        <v>0</v>
      </c>
      <c r="BX37" s="54">
        <f t="shared" si="10"/>
        <v>0</v>
      </c>
      <c r="BY37" s="54">
        <f t="shared" si="10"/>
        <v>0</v>
      </c>
      <c r="BZ37" s="54">
        <f t="shared" si="10"/>
        <v>0</v>
      </c>
      <c r="CA37" s="54">
        <f t="shared" si="10"/>
        <v>0</v>
      </c>
      <c r="CB37" s="54">
        <f t="shared" si="10"/>
        <v>0</v>
      </c>
      <c r="CC37" s="54">
        <f t="shared" si="10"/>
        <v>0</v>
      </c>
      <c r="CD37" s="54">
        <f t="shared" si="10"/>
        <v>0</v>
      </c>
      <c r="CE37" s="54">
        <f t="shared" si="10"/>
        <v>0</v>
      </c>
    </row>
    <row r="38" spans="1:83" x14ac:dyDescent="0.25">
      <c r="A38" s="2" t="s">
        <v>170</v>
      </c>
      <c r="AB38" s="5"/>
      <c r="AC38" t="s">
        <v>396</v>
      </c>
      <c r="AE38" s="17">
        <v>22</v>
      </c>
      <c r="AG38" s="126">
        <f>HLOOKUP(AF$4,[1]Anx!$C$86:$CO$121,AE38)</f>
        <v>0</v>
      </c>
      <c r="AH38" s="61">
        <f t="shared" si="2"/>
        <v>0</v>
      </c>
      <c r="AI38" s="129">
        <f>Troupeau!C92</f>
        <v>0</v>
      </c>
      <c r="AK38" s="54">
        <f t="shared" si="3"/>
        <v>0</v>
      </c>
      <c r="AL38" s="54">
        <f t="shared" si="8"/>
        <v>0</v>
      </c>
      <c r="AM38" s="54">
        <f t="shared" si="8"/>
        <v>0</v>
      </c>
      <c r="AN38" s="54">
        <f t="shared" si="7"/>
        <v>0</v>
      </c>
      <c r="AO38" s="54">
        <f t="shared" si="7"/>
        <v>0</v>
      </c>
      <c r="AP38" s="54">
        <f t="shared" si="7"/>
        <v>0</v>
      </c>
      <c r="AQ38" s="54">
        <f t="shared" si="7"/>
        <v>0</v>
      </c>
      <c r="AR38" s="54">
        <f t="shared" si="7"/>
        <v>0</v>
      </c>
      <c r="AS38" s="54">
        <f t="shared" si="7"/>
        <v>0</v>
      </c>
      <c r="AT38" s="54">
        <f t="shared" si="7"/>
        <v>0</v>
      </c>
      <c r="AU38" s="54">
        <f t="shared" si="7"/>
        <v>0</v>
      </c>
      <c r="AV38" s="54">
        <f t="shared" si="7"/>
        <v>0</v>
      </c>
      <c r="AW38" s="54">
        <f t="shared" si="7"/>
        <v>0</v>
      </c>
      <c r="AX38" s="54">
        <f t="shared" si="7"/>
        <v>0</v>
      </c>
      <c r="AY38" s="54">
        <f t="shared" si="7"/>
        <v>0</v>
      </c>
      <c r="AZ38" s="54">
        <f t="shared" si="7"/>
        <v>0</v>
      </c>
      <c r="BA38" s="54">
        <f t="shared" si="7"/>
        <v>0</v>
      </c>
      <c r="BB38" s="54">
        <f t="shared" si="7"/>
        <v>0</v>
      </c>
      <c r="BC38" s="54">
        <f t="shared" si="7"/>
        <v>0</v>
      </c>
      <c r="BD38" s="54">
        <f t="shared" ref="BD38:BS52" si="11">IF($AH38=BD$17,ROUND($AI38/1000,1),0)</f>
        <v>0</v>
      </c>
      <c r="BE38" s="54">
        <f t="shared" si="11"/>
        <v>0</v>
      </c>
      <c r="BF38" s="54">
        <f t="shared" si="11"/>
        <v>0</v>
      </c>
      <c r="BG38" s="54">
        <f t="shared" si="11"/>
        <v>0</v>
      </c>
      <c r="BH38" s="54">
        <f t="shared" si="11"/>
        <v>0</v>
      </c>
      <c r="BI38" s="54">
        <f t="shared" si="11"/>
        <v>0</v>
      </c>
      <c r="BJ38" s="54">
        <f t="shared" si="11"/>
        <v>0</v>
      </c>
      <c r="BK38" s="54">
        <f t="shared" si="11"/>
        <v>0</v>
      </c>
      <c r="BL38" s="54">
        <f t="shared" si="11"/>
        <v>0</v>
      </c>
      <c r="BM38" s="54">
        <f t="shared" si="11"/>
        <v>0</v>
      </c>
      <c r="BN38" s="54">
        <f t="shared" si="11"/>
        <v>0</v>
      </c>
      <c r="BO38" s="54">
        <f t="shared" si="11"/>
        <v>0</v>
      </c>
      <c r="BP38" s="54">
        <f t="shared" si="11"/>
        <v>0</v>
      </c>
      <c r="BQ38" s="54">
        <f t="shared" si="11"/>
        <v>0</v>
      </c>
      <c r="BR38" s="54">
        <f t="shared" si="11"/>
        <v>0</v>
      </c>
      <c r="BS38" s="54">
        <f t="shared" si="11"/>
        <v>0</v>
      </c>
      <c r="BT38" s="54">
        <f t="shared" si="9"/>
        <v>0</v>
      </c>
      <c r="BU38" s="54">
        <f t="shared" si="9"/>
        <v>0</v>
      </c>
      <c r="BV38" s="54">
        <f t="shared" si="9"/>
        <v>0</v>
      </c>
      <c r="BW38" s="54">
        <f t="shared" si="10"/>
        <v>0</v>
      </c>
      <c r="BX38" s="54">
        <f t="shared" si="10"/>
        <v>0</v>
      </c>
      <c r="BY38" s="54">
        <f t="shared" si="10"/>
        <v>0</v>
      </c>
      <c r="BZ38" s="54">
        <f t="shared" si="10"/>
        <v>0</v>
      </c>
      <c r="CA38" s="54">
        <f t="shared" si="10"/>
        <v>0</v>
      </c>
      <c r="CB38" s="54">
        <f t="shared" si="10"/>
        <v>0</v>
      </c>
      <c r="CC38" s="54">
        <f t="shared" si="10"/>
        <v>0</v>
      </c>
      <c r="CD38" s="54">
        <f t="shared" si="10"/>
        <v>0</v>
      </c>
      <c r="CE38" s="54">
        <f t="shared" si="10"/>
        <v>0</v>
      </c>
    </row>
    <row r="39" spans="1:83" x14ac:dyDescent="0.25">
      <c r="A39" s="127" t="str">
        <f>A$15</f>
        <v>lot1</v>
      </c>
      <c r="B39" s="61">
        <f>B15*B27</f>
        <v>0</v>
      </c>
      <c r="C39" s="61">
        <f t="shared" ref="C39:Y48" si="12">C15*C27</f>
        <v>0</v>
      </c>
      <c r="D39" s="61">
        <f t="shared" si="12"/>
        <v>0</v>
      </c>
      <c r="E39" s="61">
        <f t="shared" si="12"/>
        <v>0</v>
      </c>
      <c r="F39" s="61">
        <f t="shared" si="12"/>
        <v>0</v>
      </c>
      <c r="G39" s="61">
        <f t="shared" si="12"/>
        <v>0</v>
      </c>
      <c r="H39" s="61">
        <f t="shared" si="12"/>
        <v>0</v>
      </c>
      <c r="I39" s="61">
        <f t="shared" si="12"/>
        <v>0</v>
      </c>
      <c r="J39" s="61">
        <f t="shared" si="12"/>
        <v>0</v>
      </c>
      <c r="K39" s="61">
        <f t="shared" si="12"/>
        <v>0</v>
      </c>
      <c r="L39" s="61">
        <f t="shared" si="12"/>
        <v>0</v>
      </c>
      <c r="M39" s="61">
        <f t="shared" si="12"/>
        <v>0</v>
      </c>
      <c r="N39" s="61">
        <f t="shared" si="12"/>
        <v>0</v>
      </c>
      <c r="O39" s="61">
        <f t="shared" si="12"/>
        <v>0</v>
      </c>
      <c r="P39" s="61">
        <f t="shared" si="12"/>
        <v>0</v>
      </c>
      <c r="Q39" s="61">
        <f t="shared" si="12"/>
        <v>0</v>
      </c>
      <c r="R39" s="61">
        <f t="shared" si="12"/>
        <v>0</v>
      </c>
      <c r="S39" s="61">
        <f t="shared" si="12"/>
        <v>0</v>
      </c>
      <c r="T39" s="61">
        <f t="shared" si="12"/>
        <v>0</v>
      </c>
      <c r="U39" s="61">
        <f t="shared" si="12"/>
        <v>0</v>
      </c>
      <c r="V39" s="61">
        <f t="shared" si="12"/>
        <v>0</v>
      </c>
      <c r="W39" s="61">
        <f t="shared" si="12"/>
        <v>0</v>
      </c>
      <c r="X39" s="61">
        <f t="shared" si="12"/>
        <v>0</v>
      </c>
      <c r="Y39" s="61">
        <f t="shared" si="12"/>
        <v>0</v>
      </c>
      <c r="Z39" s="52"/>
      <c r="AB39" s="5"/>
      <c r="AC39" t="s">
        <v>397</v>
      </c>
      <c r="AE39" s="17">
        <v>23</v>
      </c>
      <c r="AG39" s="126">
        <f>HLOOKUP(AF$4,[1]Anx!$C$86:$CO$121,AE39)</f>
        <v>0</v>
      </c>
      <c r="AH39" s="61">
        <f t="shared" si="2"/>
        <v>0</v>
      </c>
      <c r="AI39" s="129">
        <f>Troupeau!C93</f>
        <v>0</v>
      </c>
      <c r="AK39" s="54">
        <f t="shared" si="3"/>
        <v>0</v>
      </c>
      <c r="AL39" s="54">
        <f t="shared" si="8"/>
        <v>0</v>
      </c>
      <c r="AM39" s="54">
        <f t="shared" si="8"/>
        <v>0</v>
      </c>
      <c r="AN39" s="54">
        <f t="shared" si="7"/>
        <v>0</v>
      </c>
      <c r="AO39" s="54">
        <f t="shared" si="7"/>
        <v>0</v>
      </c>
      <c r="AP39" s="54">
        <f t="shared" si="7"/>
        <v>0</v>
      </c>
      <c r="AQ39" s="54">
        <f t="shared" si="7"/>
        <v>0</v>
      </c>
      <c r="AR39" s="54">
        <f t="shared" si="7"/>
        <v>0</v>
      </c>
      <c r="AS39" s="54">
        <f t="shared" si="7"/>
        <v>0</v>
      </c>
      <c r="AT39" s="54">
        <f t="shared" si="7"/>
        <v>0</v>
      </c>
      <c r="AU39" s="54">
        <f t="shared" si="7"/>
        <v>0</v>
      </c>
      <c r="AV39" s="54">
        <f t="shared" si="7"/>
        <v>0</v>
      </c>
      <c r="AW39" s="54">
        <f t="shared" si="7"/>
        <v>0</v>
      </c>
      <c r="AX39" s="54">
        <f t="shared" si="7"/>
        <v>0</v>
      </c>
      <c r="AY39" s="54">
        <f t="shared" si="7"/>
        <v>0</v>
      </c>
      <c r="AZ39" s="54">
        <f t="shared" si="7"/>
        <v>0</v>
      </c>
      <c r="BA39" s="54">
        <f t="shared" si="7"/>
        <v>0</v>
      </c>
      <c r="BB39" s="54">
        <f t="shared" si="7"/>
        <v>0</v>
      </c>
      <c r="BC39" s="54">
        <f t="shared" si="7"/>
        <v>0</v>
      </c>
      <c r="BD39" s="54">
        <f t="shared" si="11"/>
        <v>0</v>
      </c>
      <c r="BE39" s="54">
        <f t="shared" si="11"/>
        <v>0</v>
      </c>
      <c r="BF39" s="54">
        <f t="shared" si="11"/>
        <v>0</v>
      </c>
      <c r="BG39" s="54">
        <f t="shared" si="11"/>
        <v>0</v>
      </c>
      <c r="BH39" s="54">
        <f t="shared" si="11"/>
        <v>0</v>
      </c>
      <c r="BI39" s="54">
        <f t="shared" si="11"/>
        <v>0</v>
      </c>
      <c r="BJ39" s="54">
        <f t="shared" si="11"/>
        <v>0</v>
      </c>
      <c r="BK39" s="54">
        <f t="shared" si="11"/>
        <v>0</v>
      </c>
      <c r="BL39" s="54">
        <f t="shared" si="11"/>
        <v>0</v>
      </c>
      <c r="BM39" s="54">
        <f t="shared" si="11"/>
        <v>0</v>
      </c>
      <c r="BN39" s="54">
        <f t="shared" si="11"/>
        <v>0</v>
      </c>
      <c r="BO39" s="54">
        <f t="shared" si="11"/>
        <v>0</v>
      </c>
      <c r="BP39" s="54">
        <f t="shared" si="11"/>
        <v>0</v>
      </c>
      <c r="BQ39" s="54">
        <f t="shared" si="11"/>
        <v>0</v>
      </c>
      <c r="BR39" s="54">
        <f t="shared" si="11"/>
        <v>0</v>
      </c>
      <c r="BS39" s="54">
        <f t="shared" si="11"/>
        <v>0</v>
      </c>
      <c r="BT39" s="54">
        <f t="shared" si="9"/>
        <v>0</v>
      </c>
      <c r="BU39" s="54">
        <f t="shared" si="9"/>
        <v>0</v>
      </c>
      <c r="BV39" s="54">
        <f t="shared" si="9"/>
        <v>0</v>
      </c>
      <c r="BW39" s="54">
        <f t="shared" si="10"/>
        <v>0</v>
      </c>
      <c r="BX39" s="54">
        <f t="shared" si="10"/>
        <v>0</v>
      </c>
      <c r="BY39" s="54">
        <f t="shared" si="10"/>
        <v>0</v>
      </c>
      <c r="BZ39" s="54">
        <f t="shared" si="10"/>
        <v>0</v>
      </c>
      <c r="CA39" s="54">
        <f t="shared" si="10"/>
        <v>0</v>
      </c>
      <c r="CB39" s="54">
        <f t="shared" si="10"/>
        <v>0</v>
      </c>
      <c r="CC39" s="54">
        <f t="shared" si="10"/>
        <v>0</v>
      </c>
      <c r="CD39" s="54">
        <f t="shared" si="10"/>
        <v>0</v>
      </c>
      <c r="CE39" s="54">
        <f t="shared" si="10"/>
        <v>0</v>
      </c>
    </row>
    <row r="40" spans="1:83" x14ac:dyDescent="0.25">
      <c r="A40" s="128" t="str">
        <f>A$16</f>
        <v>lot2</v>
      </c>
      <c r="B40" s="61">
        <f t="shared" ref="B40:Q48" si="13">B16*B28</f>
        <v>0</v>
      </c>
      <c r="C40" s="61">
        <f t="shared" si="13"/>
        <v>0</v>
      </c>
      <c r="D40" s="61">
        <f t="shared" si="13"/>
        <v>0</v>
      </c>
      <c r="E40" s="61">
        <f t="shared" si="13"/>
        <v>0</v>
      </c>
      <c r="F40" s="61">
        <f t="shared" si="13"/>
        <v>0</v>
      </c>
      <c r="G40" s="61">
        <f t="shared" si="13"/>
        <v>0</v>
      </c>
      <c r="H40" s="61">
        <f t="shared" si="13"/>
        <v>0</v>
      </c>
      <c r="I40" s="61">
        <f t="shared" si="13"/>
        <v>0</v>
      </c>
      <c r="J40" s="61">
        <f t="shared" si="13"/>
        <v>0</v>
      </c>
      <c r="K40" s="61">
        <f t="shared" si="13"/>
        <v>0</v>
      </c>
      <c r="L40" s="61">
        <f t="shared" si="13"/>
        <v>0</v>
      </c>
      <c r="M40" s="61">
        <f t="shared" si="13"/>
        <v>0</v>
      </c>
      <c r="N40" s="61">
        <f t="shared" si="13"/>
        <v>0</v>
      </c>
      <c r="O40" s="61">
        <f t="shared" si="13"/>
        <v>0</v>
      </c>
      <c r="P40" s="61">
        <f t="shared" si="13"/>
        <v>0</v>
      </c>
      <c r="Q40" s="61">
        <f t="shared" si="13"/>
        <v>0</v>
      </c>
      <c r="R40" s="61">
        <f t="shared" si="12"/>
        <v>0</v>
      </c>
      <c r="S40" s="61">
        <f t="shared" si="12"/>
        <v>0</v>
      </c>
      <c r="T40" s="61">
        <f t="shared" si="12"/>
        <v>0</v>
      </c>
      <c r="U40" s="61">
        <f t="shared" si="12"/>
        <v>0</v>
      </c>
      <c r="V40" s="61">
        <f t="shared" si="12"/>
        <v>0</v>
      </c>
      <c r="W40" s="61">
        <f t="shared" si="12"/>
        <v>0</v>
      </c>
      <c r="X40" s="61">
        <f t="shared" si="12"/>
        <v>0</v>
      </c>
      <c r="Y40" s="61">
        <f t="shared" si="12"/>
        <v>0</v>
      </c>
      <c r="Z40" s="52"/>
      <c r="AB40" s="5"/>
      <c r="AC40" t="s">
        <v>398</v>
      </c>
      <c r="AE40" s="17">
        <v>24</v>
      </c>
      <c r="AG40" s="126">
        <f>HLOOKUP(AF$4,[1]Anx!$C$86:$CO$121,AE40)</f>
        <v>0</v>
      </c>
      <c r="AH40" s="61">
        <f t="shared" si="2"/>
        <v>0</v>
      </c>
      <c r="AI40" s="129">
        <f>Troupeau!C94</f>
        <v>0</v>
      </c>
      <c r="AK40" s="54">
        <f t="shared" si="3"/>
        <v>0</v>
      </c>
      <c r="AL40" s="54">
        <f t="shared" si="8"/>
        <v>0</v>
      </c>
      <c r="AM40" s="54">
        <f t="shared" si="8"/>
        <v>0</v>
      </c>
      <c r="AN40" s="54">
        <f t="shared" si="7"/>
        <v>0</v>
      </c>
      <c r="AO40" s="54">
        <f t="shared" si="7"/>
        <v>0</v>
      </c>
      <c r="AP40" s="54">
        <f t="shared" si="7"/>
        <v>0</v>
      </c>
      <c r="AQ40" s="54">
        <f t="shared" si="7"/>
        <v>0</v>
      </c>
      <c r="AR40" s="54">
        <f t="shared" si="7"/>
        <v>0</v>
      </c>
      <c r="AS40" s="54">
        <f t="shared" si="7"/>
        <v>0</v>
      </c>
      <c r="AT40" s="54">
        <f t="shared" si="7"/>
        <v>0</v>
      </c>
      <c r="AU40" s="54">
        <f t="shared" si="7"/>
        <v>0</v>
      </c>
      <c r="AV40" s="54">
        <f t="shared" si="7"/>
        <v>0</v>
      </c>
      <c r="AW40" s="54">
        <f t="shared" si="7"/>
        <v>0</v>
      </c>
      <c r="AX40" s="54">
        <f t="shared" si="7"/>
        <v>0</v>
      </c>
      <c r="AY40" s="54">
        <f t="shared" si="7"/>
        <v>0</v>
      </c>
      <c r="AZ40" s="54">
        <f t="shared" si="7"/>
        <v>0</v>
      </c>
      <c r="BA40" s="54">
        <f t="shared" si="7"/>
        <v>0</v>
      </c>
      <c r="BB40" s="54">
        <f t="shared" si="7"/>
        <v>0</v>
      </c>
      <c r="BC40" s="54">
        <f t="shared" si="7"/>
        <v>0</v>
      </c>
      <c r="BD40" s="54">
        <f t="shared" si="11"/>
        <v>0</v>
      </c>
      <c r="BE40" s="54">
        <f t="shared" si="11"/>
        <v>0</v>
      </c>
      <c r="BF40" s="54">
        <f t="shared" si="11"/>
        <v>0</v>
      </c>
      <c r="BG40" s="54">
        <f t="shared" si="11"/>
        <v>0</v>
      </c>
      <c r="BH40" s="54">
        <f t="shared" si="11"/>
        <v>0</v>
      </c>
      <c r="BI40" s="54">
        <f t="shared" si="11"/>
        <v>0</v>
      </c>
      <c r="BJ40" s="54">
        <f t="shared" si="11"/>
        <v>0</v>
      </c>
      <c r="BK40" s="54">
        <f t="shared" si="11"/>
        <v>0</v>
      </c>
      <c r="BL40" s="54">
        <f t="shared" si="11"/>
        <v>0</v>
      </c>
      <c r="BM40" s="54">
        <f t="shared" si="11"/>
        <v>0</v>
      </c>
      <c r="BN40" s="54">
        <f t="shared" si="11"/>
        <v>0</v>
      </c>
      <c r="BO40" s="54">
        <f t="shared" si="11"/>
        <v>0</v>
      </c>
      <c r="BP40" s="54">
        <f t="shared" si="11"/>
        <v>0</v>
      </c>
      <c r="BQ40" s="54">
        <f t="shared" si="11"/>
        <v>0</v>
      </c>
      <c r="BR40" s="54">
        <f t="shared" si="11"/>
        <v>0</v>
      </c>
      <c r="BS40" s="54">
        <f t="shared" si="11"/>
        <v>0</v>
      </c>
      <c r="BT40" s="54">
        <f t="shared" si="9"/>
        <v>0</v>
      </c>
      <c r="BU40" s="54">
        <f t="shared" si="9"/>
        <v>0</v>
      </c>
      <c r="BV40" s="54">
        <f t="shared" si="9"/>
        <v>0</v>
      </c>
      <c r="BW40" s="54">
        <f t="shared" si="10"/>
        <v>0</v>
      </c>
      <c r="BX40" s="54">
        <f t="shared" si="10"/>
        <v>0</v>
      </c>
      <c r="BY40" s="54">
        <f t="shared" si="10"/>
        <v>0</v>
      </c>
      <c r="BZ40" s="54">
        <f t="shared" si="10"/>
        <v>0</v>
      </c>
      <c r="CA40" s="54">
        <f t="shared" si="10"/>
        <v>0</v>
      </c>
      <c r="CB40" s="54">
        <f t="shared" si="10"/>
        <v>0</v>
      </c>
      <c r="CC40" s="54">
        <f t="shared" si="10"/>
        <v>0</v>
      </c>
      <c r="CD40" s="54">
        <f t="shared" si="10"/>
        <v>0</v>
      </c>
      <c r="CE40" s="54">
        <f t="shared" si="10"/>
        <v>0</v>
      </c>
    </row>
    <row r="41" spans="1:83" x14ac:dyDescent="0.25">
      <c r="A41" s="128" t="str">
        <f>A$17</f>
        <v>lot3</v>
      </c>
      <c r="B41" s="61">
        <f t="shared" si="13"/>
        <v>0</v>
      </c>
      <c r="C41" s="61">
        <f t="shared" si="12"/>
        <v>0</v>
      </c>
      <c r="D41" s="61">
        <f t="shared" si="12"/>
        <v>0</v>
      </c>
      <c r="E41" s="61">
        <f t="shared" si="12"/>
        <v>0</v>
      </c>
      <c r="F41" s="61">
        <f t="shared" si="12"/>
        <v>0</v>
      </c>
      <c r="G41" s="61">
        <f t="shared" si="12"/>
        <v>0</v>
      </c>
      <c r="H41" s="61">
        <f t="shared" si="12"/>
        <v>0</v>
      </c>
      <c r="I41" s="61">
        <f t="shared" si="12"/>
        <v>0</v>
      </c>
      <c r="J41" s="61">
        <f t="shared" si="12"/>
        <v>0</v>
      </c>
      <c r="K41" s="61">
        <f t="shared" si="12"/>
        <v>0</v>
      </c>
      <c r="L41" s="61">
        <f t="shared" si="12"/>
        <v>0</v>
      </c>
      <c r="M41" s="61">
        <f t="shared" si="12"/>
        <v>0</v>
      </c>
      <c r="N41" s="61">
        <f t="shared" si="12"/>
        <v>0</v>
      </c>
      <c r="O41" s="61">
        <f t="shared" si="12"/>
        <v>0</v>
      </c>
      <c r="P41" s="61">
        <f t="shared" si="12"/>
        <v>0</v>
      </c>
      <c r="Q41" s="61">
        <f t="shared" si="12"/>
        <v>0</v>
      </c>
      <c r="R41" s="61">
        <f t="shared" si="12"/>
        <v>0</v>
      </c>
      <c r="S41" s="61">
        <f t="shared" si="12"/>
        <v>0</v>
      </c>
      <c r="T41" s="61">
        <f t="shared" si="12"/>
        <v>0</v>
      </c>
      <c r="U41" s="61">
        <f t="shared" si="12"/>
        <v>0</v>
      </c>
      <c r="V41" s="61">
        <f t="shared" si="12"/>
        <v>0</v>
      </c>
      <c r="W41" s="61">
        <f t="shared" si="12"/>
        <v>0</v>
      </c>
      <c r="X41" s="61">
        <f t="shared" si="12"/>
        <v>0</v>
      </c>
      <c r="Y41" s="61">
        <f t="shared" si="12"/>
        <v>0</v>
      </c>
      <c r="Z41" s="52"/>
      <c r="AB41" s="5"/>
      <c r="AC41" t="s">
        <v>399</v>
      </c>
      <c r="AE41" s="17">
        <v>25</v>
      </c>
      <c r="AG41" s="126">
        <f>HLOOKUP(AF$4,[1]Anx!$C$86:$CO$121,AE41)</f>
        <v>0</v>
      </c>
      <c r="AH41" s="61">
        <f t="shared" si="2"/>
        <v>0</v>
      </c>
      <c r="AI41" s="129">
        <f>Troupeau!C95</f>
        <v>0</v>
      </c>
      <c r="AK41" s="54">
        <f t="shared" si="3"/>
        <v>0</v>
      </c>
      <c r="AL41" s="54">
        <f t="shared" si="8"/>
        <v>0</v>
      </c>
      <c r="AM41" s="54">
        <f t="shared" si="8"/>
        <v>0</v>
      </c>
      <c r="AN41" s="54">
        <f t="shared" si="7"/>
        <v>0</v>
      </c>
      <c r="AO41" s="54">
        <f t="shared" si="7"/>
        <v>0</v>
      </c>
      <c r="AP41" s="54">
        <f t="shared" si="7"/>
        <v>0</v>
      </c>
      <c r="AQ41" s="54">
        <f t="shared" si="7"/>
        <v>0</v>
      </c>
      <c r="AR41" s="54">
        <f t="shared" si="7"/>
        <v>0</v>
      </c>
      <c r="AS41" s="54">
        <f t="shared" si="7"/>
        <v>0</v>
      </c>
      <c r="AT41" s="54">
        <f t="shared" si="7"/>
        <v>0</v>
      </c>
      <c r="AU41" s="54">
        <f t="shared" si="7"/>
        <v>0</v>
      </c>
      <c r="AV41" s="54">
        <f t="shared" si="7"/>
        <v>0</v>
      </c>
      <c r="AW41" s="54">
        <f t="shared" si="7"/>
        <v>0</v>
      </c>
      <c r="AX41" s="54">
        <f t="shared" si="7"/>
        <v>0</v>
      </c>
      <c r="AY41" s="54">
        <f t="shared" si="7"/>
        <v>0</v>
      </c>
      <c r="AZ41" s="54">
        <f t="shared" si="7"/>
        <v>0</v>
      </c>
      <c r="BA41" s="54">
        <f t="shared" si="7"/>
        <v>0</v>
      </c>
      <c r="BB41" s="54">
        <f t="shared" si="7"/>
        <v>0</v>
      </c>
      <c r="BC41" s="54">
        <f t="shared" si="7"/>
        <v>0</v>
      </c>
      <c r="BD41" s="54">
        <f t="shared" si="11"/>
        <v>0</v>
      </c>
      <c r="BE41" s="54">
        <f t="shared" si="11"/>
        <v>0</v>
      </c>
      <c r="BF41" s="54">
        <f t="shared" si="11"/>
        <v>0</v>
      </c>
      <c r="BG41" s="54">
        <f t="shared" si="11"/>
        <v>0</v>
      </c>
      <c r="BH41" s="54">
        <f t="shared" si="11"/>
        <v>0</v>
      </c>
      <c r="BI41" s="54">
        <f t="shared" si="11"/>
        <v>0</v>
      </c>
      <c r="BJ41" s="54">
        <f t="shared" si="11"/>
        <v>0</v>
      </c>
      <c r="BK41" s="54">
        <f t="shared" si="11"/>
        <v>0</v>
      </c>
      <c r="BL41" s="54">
        <f t="shared" si="11"/>
        <v>0</v>
      </c>
      <c r="BM41" s="54">
        <f t="shared" si="11"/>
        <v>0</v>
      </c>
      <c r="BN41" s="54">
        <f t="shared" si="11"/>
        <v>0</v>
      </c>
      <c r="BO41" s="54">
        <f t="shared" si="11"/>
        <v>0</v>
      </c>
      <c r="BP41" s="54">
        <f t="shared" si="11"/>
        <v>0</v>
      </c>
      <c r="BQ41" s="54">
        <f t="shared" si="11"/>
        <v>0</v>
      </c>
      <c r="BR41" s="54">
        <f t="shared" si="11"/>
        <v>0</v>
      </c>
      <c r="BS41" s="54">
        <f t="shared" si="11"/>
        <v>0</v>
      </c>
      <c r="BT41" s="54">
        <f t="shared" si="9"/>
        <v>0</v>
      </c>
      <c r="BU41" s="54">
        <f t="shared" si="9"/>
        <v>0</v>
      </c>
      <c r="BV41" s="54">
        <f t="shared" si="9"/>
        <v>0</v>
      </c>
      <c r="BW41" s="54">
        <f t="shared" si="10"/>
        <v>0</v>
      </c>
      <c r="BX41" s="54">
        <f t="shared" si="10"/>
        <v>0</v>
      </c>
      <c r="BY41" s="54">
        <f t="shared" si="10"/>
        <v>0</v>
      </c>
      <c r="BZ41" s="54">
        <f t="shared" si="10"/>
        <v>0</v>
      </c>
      <c r="CA41" s="54">
        <f t="shared" si="10"/>
        <v>0</v>
      </c>
      <c r="CB41" s="54">
        <f t="shared" si="10"/>
        <v>0</v>
      </c>
      <c r="CC41" s="54">
        <f t="shared" si="10"/>
        <v>0</v>
      </c>
      <c r="CD41" s="54">
        <f t="shared" si="10"/>
        <v>0</v>
      </c>
      <c r="CE41" s="54">
        <f t="shared" si="10"/>
        <v>0</v>
      </c>
    </row>
    <row r="42" spans="1:83" x14ac:dyDescent="0.25">
      <c r="A42" s="127" t="str">
        <f>A$18</f>
        <v>lot4</v>
      </c>
      <c r="B42" s="61">
        <f t="shared" si="13"/>
        <v>0</v>
      </c>
      <c r="C42" s="61">
        <f t="shared" si="12"/>
        <v>0</v>
      </c>
      <c r="D42" s="61">
        <f t="shared" si="12"/>
        <v>0</v>
      </c>
      <c r="E42" s="61">
        <f t="shared" si="12"/>
        <v>0</v>
      </c>
      <c r="F42" s="61">
        <f t="shared" si="12"/>
        <v>0</v>
      </c>
      <c r="G42" s="61">
        <f t="shared" si="12"/>
        <v>0</v>
      </c>
      <c r="H42" s="61">
        <f t="shared" si="12"/>
        <v>0</v>
      </c>
      <c r="I42" s="61">
        <f t="shared" si="12"/>
        <v>0</v>
      </c>
      <c r="J42" s="61">
        <f t="shared" si="12"/>
        <v>0</v>
      </c>
      <c r="K42" s="61">
        <f t="shared" si="12"/>
        <v>0</v>
      </c>
      <c r="L42" s="61">
        <f t="shared" si="12"/>
        <v>0</v>
      </c>
      <c r="M42" s="61">
        <f t="shared" si="12"/>
        <v>0</v>
      </c>
      <c r="N42" s="61">
        <f t="shared" si="12"/>
        <v>0</v>
      </c>
      <c r="O42" s="61">
        <f t="shared" si="12"/>
        <v>0</v>
      </c>
      <c r="P42" s="61">
        <f t="shared" si="12"/>
        <v>0</v>
      </c>
      <c r="Q42" s="61">
        <f t="shared" si="12"/>
        <v>0</v>
      </c>
      <c r="R42" s="61">
        <f t="shared" si="12"/>
        <v>0</v>
      </c>
      <c r="S42" s="61">
        <f t="shared" si="12"/>
        <v>0</v>
      </c>
      <c r="T42" s="61">
        <f t="shared" si="12"/>
        <v>0</v>
      </c>
      <c r="U42" s="61">
        <f t="shared" si="12"/>
        <v>0</v>
      </c>
      <c r="V42" s="61">
        <f t="shared" si="12"/>
        <v>0</v>
      </c>
      <c r="W42" s="61">
        <f t="shared" si="12"/>
        <v>0</v>
      </c>
      <c r="X42" s="61">
        <f t="shared" si="12"/>
        <v>0</v>
      </c>
      <c r="Y42" s="61">
        <f t="shared" si="12"/>
        <v>0</v>
      </c>
      <c r="Z42" s="52"/>
      <c r="AB42" s="5"/>
      <c r="AC42" t="s">
        <v>400</v>
      </c>
      <c r="AE42" s="17">
        <v>26</v>
      </c>
      <c r="AG42" s="126">
        <f>HLOOKUP(AF$4,[1]Anx!$C$86:$CO$121,AE42)</f>
        <v>0</v>
      </c>
      <c r="AH42" s="61">
        <f t="shared" si="2"/>
        <v>0</v>
      </c>
      <c r="AI42" s="129">
        <f>Troupeau!C96</f>
        <v>0</v>
      </c>
      <c r="AK42" s="54">
        <f t="shared" si="3"/>
        <v>0</v>
      </c>
      <c r="AL42" s="54">
        <f t="shared" si="8"/>
        <v>0</v>
      </c>
      <c r="AM42" s="54">
        <f t="shared" si="8"/>
        <v>0</v>
      </c>
      <c r="AN42" s="54">
        <f t="shared" si="7"/>
        <v>0</v>
      </c>
      <c r="AO42" s="54">
        <f t="shared" si="7"/>
        <v>0</v>
      </c>
      <c r="AP42" s="54">
        <f t="shared" si="7"/>
        <v>0</v>
      </c>
      <c r="AQ42" s="54">
        <f t="shared" si="7"/>
        <v>0</v>
      </c>
      <c r="AR42" s="54">
        <f t="shared" si="7"/>
        <v>0</v>
      </c>
      <c r="AS42" s="54">
        <f t="shared" si="7"/>
        <v>0</v>
      </c>
      <c r="AT42" s="54">
        <f t="shared" si="7"/>
        <v>0</v>
      </c>
      <c r="AU42" s="54">
        <f t="shared" si="7"/>
        <v>0</v>
      </c>
      <c r="AV42" s="54">
        <f t="shared" si="7"/>
        <v>0</v>
      </c>
      <c r="AW42" s="54">
        <f t="shared" si="7"/>
        <v>0</v>
      </c>
      <c r="AX42" s="54">
        <f t="shared" si="7"/>
        <v>0</v>
      </c>
      <c r="AY42" s="54">
        <f t="shared" si="7"/>
        <v>0</v>
      </c>
      <c r="AZ42" s="54">
        <f t="shared" si="7"/>
        <v>0</v>
      </c>
      <c r="BA42" s="54">
        <f t="shared" si="7"/>
        <v>0</v>
      </c>
      <c r="BB42" s="54">
        <f t="shared" si="7"/>
        <v>0</v>
      </c>
      <c r="BC42" s="54">
        <f t="shared" si="7"/>
        <v>0</v>
      </c>
      <c r="BD42" s="54">
        <f t="shared" si="11"/>
        <v>0</v>
      </c>
      <c r="BE42" s="54">
        <f t="shared" si="11"/>
        <v>0</v>
      </c>
      <c r="BF42" s="54">
        <f t="shared" si="11"/>
        <v>0</v>
      </c>
      <c r="BG42" s="54">
        <f t="shared" si="11"/>
        <v>0</v>
      </c>
      <c r="BH42" s="54">
        <f t="shared" si="11"/>
        <v>0</v>
      </c>
      <c r="BI42" s="54">
        <f t="shared" si="11"/>
        <v>0</v>
      </c>
      <c r="BJ42" s="54">
        <f t="shared" si="11"/>
        <v>0</v>
      </c>
      <c r="BK42" s="54">
        <f t="shared" si="11"/>
        <v>0</v>
      </c>
      <c r="BL42" s="54">
        <f t="shared" si="11"/>
        <v>0</v>
      </c>
      <c r="BM42" s="54">
        <f t="shared" si="11"/>
        <v>0</v>
      </c>
      <c r="BN42" s="54">
        <f t="shared" si="11"/>
        <v>0</v>
      </c>
      <c r="BO42" s="54">
        <f t="shared" si="11"/>
        <v>0</v>
      </c>
      <c r="BP42" s="54">
        <f t="shared" si="11"/>
        <v>0</v>
      </c>
      <c r="BQ42" s="54">
        <f t="shared" si="11"/>
        <v>0</v>
      </c>
      <c r="BR42" s="54">
        <f t="shared" si="11"/>
        <v>0</v>
      </c>
      <c r="BS42" s="54">
        <f t="shared" si="11"/>
        <v>0</v>
      </c>
      <c r="BT42" s="54">
        <f t="shared" si="9"/>
        <v>0</v>
      </c>
      <c r="BU42" s="54">
        <f t="shared" si="9"/>
        <v>0</v>
      </c>
      <c r="BV42" s="54">
        <f t="shared" si="9"/>
        <v>0</v>
      </c>
      <c r="BW42" s="54">
        <f t="shared" si="10"/>
        <v>0</v>
      </c>
      <c r="BX42" s="54">
        <f t="shared" si="10"/>
        <v>0</v>
      </c>
      <c r="BY42" s="54">
        <f t="shared" si="10"/>
        <v>0</v>
      </c>
      <c r="BZ42" s="54">
        <f t="shared" si="10"/>
        <v>0</v>
      </c>
      <c r="CA42" s="54">
        <f t="shared" si="10"/>
        <v>0</v>
      </c>
      <c r="CB42" s="54">
        <f t="shared" si="10"/>
        <v>0</v>
      </c>
      <c r="CC42" s="54">
        <f t="shared" si="10"/>
        <v>0</v>
      </c>
      <c r="CD42" s="54">
        <f t="shared" si="10"/>
        <v>0</v>
      </c>
      <c r="CE42" s="54">
        <f t="shared" si="10"/>
        <v>0</v>
      </c>
    </row>
    <row r="43" spans="1:83" x14ac:dyDescent="0.25">
      <c r="A43" s="128" t="str">
        <f>A$19</f>
        <v>lot5</v>
      </c>
      <c r="B43" s="61">
        <f t="shared" si="13"/>
        <v>0</v>
      </c>
      <c r="C43" s="61">
        <f t="shared" si="12"/>
        <v>0</v>
      </c>
      <c r="D43" s="61">
        <f t="shared" si="12"/>
        <v>0</v>
      </c>
      <c r="E43" s="61">
        <f t="shared" si="12"/>
        <v>0</v>
      </c>
      <c r="F43" s="61">
        <f t="shared" si="12"/>
        <v>0</v>
      </c>
      <c r="G43" s="61">
        <f t="shared" si="12"/>
        <v>0</v>
      </c>
      <c r="H43" s="61">
        <f t="shared" si="12"/>
        <v>0</v>
      </c>
      <c r="I43" s="61">
        <f t="shared" si="12"/>
        <v>0</v>
      </c>
      <c r="J43" s="61">
        <f t="shared" si="12"/>
        <v>0</v>
      </c>
      <c r="K43" s="61">
        <f t="shared" si="12"/>
        <v>0</v>
      </c>
      <c r="L43" s="61">
        <f t="shared" si="12"/>
        <v>0</v>
      </c>
      <c r="M43" s="61">
        <f t="shared" si="12"/>
        <v>0</v>
      </c>
      <c r="N43" s="61">
        <f t="shared" si="12"/>
        <v>0</v>
      </c>
      <c r="O43" s="61">
        <f t="shared" si="12"/>
        <v>0</v>
      </c>
      <c r="P43" s="61">
        <f t="shared" si="12"/>
        <v>0</v>
      </c>
      <c r="Q43" s="61">
        <f t="shared" si="12"/>
        <v>0</v>
      </c>
      <c r="R43" s="61">
        <f t="shared" si="12"/>
        <v>0</v>
      </c>
      <c r="S43" s="61">
        <f t="shared" si="12"/>
        <v>0</v>
      </c>
      <c r="T43" s="61">
        <f t="shared" si="12"/>
        <v>0</v>
      </c>
      <c r="U43" s="61">
        <f t="shared" si="12"/>
        <v>0</v>
      </c>
      <c r="V43" s="61">
        <f t="shared" si="12"/>
        <v>0</v>
      </c>
      <c r="W43" s="61">
        <f t="shared" si="12"/>
        <v>0</v>
      </c>
      <c r="X43" s="61">
        <f t="shared" si="12"/>
        <v>0</v>
      </c>
      <c r="Y43" s="61">
        <f t="shared" si="12"/>
        <v>0</v>
      </c>
      <c r="Z43" s="52"/>
      <c r="AB43" s="5"/>
      <c r="AC43" t="s">
        <v>401</v>
      </c>
      <c r="AE43" s="17">
        <v>27</v>
      </c>
      <c r="AG43" s="126">
        <f>HLOOKUP(AF$4,[1]Anx!$C$86:$CO$121,AE43)</f>
        <v>0</v>
      </c>
      <c r="AH43" s="61">
        <f t="shared" si="2"/>
        <v>0</v>
      </c>
      <c r="AI43" s="129">
        <f>Troupeau!C97</f>
        <v>0</v>
      </c>
      <c r="AK43" s="54">
        <f t="shared" si="3"/>
        <v>0</v>
      </c>
      <c r="AL43" s="54">
        <f t="shared" si="8"/>
        <v>0</v>
      </c>
      <c r="AM43" s="54">
        <f t="shared" si="8"/>
        <v>0</v>
      </c>
      <c r="AN43" s="54">
        <f t="shared" si="7"/>
        <v>0</v>
      </c>
      <c r="AO43" s="54">
        <f t="shared" si="7"/>
        <v>0</v>
      </c>
      <c r="AP43" s="54">
        <f t="shared" si="7"/>
        <v>0</v>
      </c>
      <c r="AQ43" s="54">
        <f t="shared" si="7"/>
        <v>0</v>
      </c>
      <c r="AR43" s="54">
        <f t="shared" si="7"/>
        <v>0</v>
      </c>
      <c r="AS43" s="54">
        <f t="shared" si="7"/>
        <v>0</v>
      </c>
      <c r="AT43" s="54">
        <f t="shared" si="7"/>
        <v>0</v>
      </c>
      <c r="AU43" s="54">
        <f t="shared" si="7"/>
        <v>0</v>
      </c>
      <c r="AV43" s="54">
        <f t="shared" si="7"/>
        <v>0</v>
      </c>
      <c r="AW43" s="54">
        <f t="shared" si="7"/>
        <v>0</v>
      </c>
      <c r="AX43" s="54">
        <f t="shared" si="7"/>
        <v>0</v>
      </c>
      <c r="AY43" s="54">
        <f t="shared" si="7"/>
        <v>0</v>
      </c>
      <c r="AZ43" s="54">
        <f t="shared" si="7"/>
        <v>0</v>
      </c>
      <c r="BA43" s="54">
        <f t="shared" si="7"/>
        <v>0</v>
      </c>
      <c r="BB43" s="54">
        <f t="shared" si="7"/>
        <v>0</v>
      </c>
      <c r="BC43" s="54">
        <f t="shared" si="7"/>
        <v>0</v>
      </c>
      <c r="BD43" s="54">
        <f t="shared" si="11"/>
        <v>0</v>
      </c>
      <c r="BE43" s="54">
        <f t="shared" si="11"/>
        <v>0</v>
      </c>
      <c r="BF43" s="54">
        <f t="shared" si="11"/>
        <v>0</v>
      </c>
      <c r="BG43" s="54">
        <f t="shared" si="11"/>
        <v>0</v>
      </c>
      <c r="BH43" s="54">
        <f t="shared" si="11"/>
        <v>0</v>
      </c>
      <c r="BI43" s="54">
        <f t="shared" si="11"/>
        <v>0</v>
      </c>
      <c r="BJ43" s="54">
        <f t="shared" si="11"/>
        <v>0</v>
      </c>
      <c r="BK43" s="54">
        <f t="shared" si="11"/>
        <v>0</v>
      </c>
      <c r="BL43" s="54">
        <f t="shared" si="11"/>
        <v>0</v>
      </c>
      <c r="BM43" s="54">
        <f t="shared" si="11"/>
        <v>0</v>
      </c>
      <c r="BN43" s="54">
        <f t="shared" si="11"/>
        <v>0</v>
      </c>
      <c r="BO43" s="54">
        <f t="shared" si="11"/>
        <v>0</v>
      </c>
      <c r="BP43" s="54">
        <f t="shared" si="11"/>
        <v>0</v>
      </c>
      <c r="BQ43" s="54">
        <f t="shared" si="11"/>
        <v>0</v>
      </c>
      <c r="BR43" s="54">
        <f t="shared" si="11"/>
        <v>0</v>
      </c>
      <c r="BS43" s="54">
        <f t="shared" si="11"/>
        <v>0</v>
      </c>
      <c r="BT43" s="54">
        <f t="shared" si="9"/>
        <v>0</v>
      </c>
      <c r="BU43" s="54">
        <f t="shared" si="9"/>
        <v>0</v>
      </c>
      <c r="BV43" s="54">
        <f t="shared" si="9"/>
        <v>0</v>
      </c>
      <c r="BW43" s="54">
        <f t="shared" si="10"/>
        <v>0</v>
      </c>
      <c r="BX43" s="54">
        <f t="shared" si="10"/>
        <v>0</v>
      </c>
      <c r="BY43" s="54">
        <f t="shared" si="10"/>
        <v>0</v>
      </c>
      <c r="BZ43" s="54">
        <f t="shared" si="10"/>
        <v>0</v>
      </c>
      <c r="CA43" s="54">
        <f t="shared" si="10"/>
        <v>0</v>
      </c>
      <c r="CB43" s="54">
        <f t="shared" si="10"/>
        <v>0</v>
      </c>
      <c r="CC43" s="54">
        <f t="shared" si="10"/>
        <v>0</v>
      </c>
      <c r="CD43" s="54">
        <f t="shared" si="10"/>
        <v>0</v>
      </c>
      <c r="CE43" s="54">
        <f t="shared" si="10"/>
        <v>0</v>
      </c>
    </row>
    <row r="44" spans="1:83" x14ac:dyDescent="0.25">
      <c r="A44" s="127" t="str">
        <f>A$20</f>
        <v>lot6</v>
      </c>
      <c r="B44" s="61">
        <f t="shared" si="13"/>
        <v>0</v>
      </c>
      <c r="C44" s="61">
        <f t="shared" si="12"/>
        <v>0</v>
      </c>
      <c r="D44" s="61">
        <f t="shared" si="12"/>
        <v>0</v>
      </c>
      <c r="E44" s="61">
        <f t="shared" si="12"/>
        <v>0</v>
      </c>
      <c r="F44" s="61">
        <f t="shared" si="12"/>
        <v>0</v>
      </c>
      <c r="G44" s="61">
        <f t="shared" si="12"/>
        <v>0</v>
      </c>
      <c r="H44" s="61">
        <f t="shared" si="12"/>
        <v>0</v>
      </c>
      <c r="I44" s="61">
        <f t="shared" si="12"/>
        <v>0</v>
      </c>
      <c r="J44" s="61">
        <f t="shared" si="12"/>
        <v>0</v>
      </c>
      <c r="K44" s="61">
        <f t="shared" si="12"/>
        <v>0</v>
      </c>
      <c r="L44" s="61">
        <f t="shared" si="12"/>
        <v>0</v>
      </c>
      <c r="M44" s="61">
        <f t="shared" si="12"/>
        <v>0</v>
      </c>
      <c r="N44" s="61">
        <f t="shared" si="12"/>
        <v>0</v>
      </c>
      <c r="O44" s="61">
        <f t="shared" si="12"/>
        <v>0</v>
      </c>
      <c r="P44" s="61">
        <f t="shared" si="12"/>
        <v>0</v>
      </c>
      <c r="Q44" s="61">
        <f t="shared" si="12"/>
        <v>0</v>
      </c>
      <c r="R44" s="61">
        <f t="shared" si="12"/>
        <v>0</v>
      </c>
      <c r="S44" s="61">
        <f t="shared" si="12"/>
        <v>0</v>
      </c>
      <c r="T44" s="61">
        <f t="shared" si="12"/>
        <v>0</v>
      </c>
      <c r="U44" s="61">
        <f t="shared" si="12"/>
        <v>0</v>
      </c>
      <c r="V44" s="61">
        <f t="shared" si="12"/>
        <v>0</v>
      </c>
      <c r="W44" s="61">
        <f t="shared" si="12"/>
        <v>0</v>
      </c>
      <c r="X44" s="61">
        <f t="shared" si="12"/>
        <v>0</v>
      </c>
      <c r="Y44" s="61">
        <f t="shared" si="12"/>
        <v>0</v>
      </c>
      <c r="Z44" s="52"/>
      <c r="AB44" s="5"/>
      <c r="AC44" t="s">
        <v>402</v>
      </c>
      <c r="AE44" s="17">
        <v>28</v>
      </c>
      <c r="AG44" s="126">
        <f>HLOOKUP(AF$4,[1]Anx!$C$86:$CO$121,AE44)</f>
        <v>0</v>
      </c>
      <c r="AH44" s="61">
        <f t="shared" si="2"/>
        <v>0</v>
      </c>
      <c r="AI44" s="129">
        <f>Troupeau!C98</f>
        <v>0</v>
      </c>
      <c r="AK44" s="54">
        <f t="shared" si="3"/>
        <v>0</v>
      </c>
      <c r="AL44" s="54">
        <f t="shared" si="8"/>
        <v>0</v>
      </c>
      <c r="AM44" s="54">
        <f t="shared" si="8"/>
        <v>0</v>
      </c>
      <c r="AN44" s="54">
        <f t="shared" si="7"/>
        <v>0</v>
      </c>
      <c r="AO44" s="54">
        <f t="shared" si="7"/>
        <v>0</v>
      </c>
      <c r="AP44" s="54">
        <f t="shared" si="7"/>
        <v>0</v>
      </c>
      <c r="AQ44" s="54">
        <f t="shared" si="7"/>
        <v>0</v>
      </c>
      <c r="AR44" s="54">
        <f t="shared" si="7"/>
        <v>0</v>
      </c>
      <c r="AS44" s="54">
        <f t="shared" si="7"/>
        <v>0</v>
      </c>
      <c r="AT44" s="54">
        <f t="shared" si="7"/>
        <v>0</v>
      </c>
      <c r="AU44" s="54">
        <f t="shared" si="7"/>
        <v>0</v>
      </c>
      <c r="AV44" s="54">
        <f t="shared" si="7"/>
        <v>0</v>
      </c>
      <c r="AW44" s="54">
        <f t="shared" si="7"/>
        <v>0</v>
      </c>
      <c r="AX44" s="54">
        <f t="shared" si="7"/>
        <v>0</v>
      </c>
      <c r="AY44" s="54">
        <f t="shared" si="7"/>
        <v>0</v>
      </c>
      <c r="AZ44" s="54">
        <f t="shared" si="7"/>
        <v>0</v>
      </c>
      <c r="BA44" s="54">
        <f t="shared" si="7"/>
        <v>0</v>
      </c>
      <c r="BB44" s="54">
        <f t="shared" si="7"/>
        <v>0</v>
      </c>
      <c r="BC44" s="54">
        <f t="shared" si="7"/>
        <v>0</v>
      </c>
      <c r="BD44" s="54">
        <f t="shared" si="11"/>
        <v>0</v>
      </c>
      <c r="BE44" s="54">
        <f t="shared" si="11"/>
        <v>0</v>
      </c>
      <c r="BF44" s="54">
        <f t="shared" si="11"/>
        <v>0</v>
      </c>
      <c r="BG44" s="54">
        <f t="shared" si="11"/>
        <v>0</v>
      </c>
      <c r="BH44" s="54">
        <f t="shared" si="11"/>
        <v>0</v>
      </c>
      <c r="BI44" s="54">
        <f t="shared" si="11"/>
        <v>0</v>
      </c>
      <c r="BJ44" s="54">
        <f t="shared" si="11"/>
        <v>0</v>
      </c>
      <c r="BK44" s="54">
        <f t="shared" si="11"/>
        <v>0</v>
      </c>
      <c r="BL44" s="54">
        <f t="shared" si="11"/>
        <v>0</v>
      </c>
      <c r="BM44" s="54">
        <f t="shared" si="11"/>
        <v>0</v>
      </c>
      <c r="BN44" s="54">
        <f t="shared" si="11"/>
        <v>0</v>
      </c>
      <c r="BO44" s="54">
        <f t="shared" si="11"/>
        <v>0</v>
      </c>
      <c r="BP44" s="54">
        <f t="shared" si="11"/>
        <v>0</v>
      </c>
      <c r="BQ44" s="54">
        <f t="shared" si="11"/>
        <v>0</v>
      </c>
      <c r="BR44" s="54">
        <f t="shared" si="11"/>
        <v>0</v>
      </c>
      <c r="BS44" s="54">
        <f t="shared" si="11"/>
        <v>0</v>
      </c>
      <c r="BT44" s="54">
        <f t="shared" si="9"/>
        <v>0</v>
      </c>
      <c r="BU44" s="54">
        <f t="shared" si="9"/>
        <v>0</v>
      </c>
      <c r="BV44" s="54">
        <f t="shared" si="9"/>
        <v>0</v>
      </c>
      <c r="BW44" s="54">
        <f t="shared" si="10"/>
        <v>0</v>
      </c>
      <c r="BX44" s="54">
        <f t="shared" si="10"/>
        <v>0</v>
      </c>
      <c r="BY44" s="54">
        <f t="shared" si="10"/>
        <v>0</v>
      </c>
      <c r="BZ44" s="54">
        <f t="shared" si="10"/>
        <v>0</v>
      </c>
      <c r="CA44" s="54">
        <f t="shared" si="10"/>
        <v>0</v>
      </c>
      <c r="CB44" s="54">
        <f t="shared" si="10"/>
        <v>0</v>
      </c>
      <c r="CC44" s="54">
        <f t="shared" si="10"/>
        <v>0</v>
      </c>
      <c r="CD44" s="54">
        <f t="shared" si="10"/>
        <v>0</v>
      </c>
      <c r="CE44" s="54">
        <f t="shared" si="10"/>
        <v>0</v>
      </c>
    </row>
    <row r="45" spans="1:83" x14ac:dyDescent="0.25">
      <c r="A45" s="128" t="str">
        <f>A$21</f>
        <v>lot7</v>
      </c>
      <c r="B45" s="61">
        <f t="shared" si="13"/>
        <v>0</v>
      </c>
      <c r="C45" s="61">
        <f t="shared" si="12"/>
        <v>0</v>
      </c>
      <c r="D45" s="61">
        <f t="shared" si="12"/>
        <v>0</v>
      </c>
      <c r="E45" s="61">
        <f t="shared" si="12"/>
        <v>0</v>
      </c>
      <c r="F45" s="61">
        <f t="shared" si="12"/>
        <v>0</v>
      </c>
      <c r="G45" s="61">
        <f t="shared" si="12"/>
        <v>0</v>
      </c>
      <c r="H45" s="61">
        <f t="shared" si="12"/>
        <v>0</v>
      </c>
      <c r="I45" s="61">
        <f t="shared" si="12"/>
        <v>0</v>
      </c>
      <c r="J45" s="61">
        <f t="shared" si="12"/>
        <v>0</v>
      </c>
      <c r="K45" s="61">
        <f t="shared" si="12"/>
        <v>0</v>
      </c>
      <c r="L45" s="61">
        <f t="shared" si="12"/>
        <v>0</v>
      </c>
      <c r="M45" s="61">
        <f t="shared" si="12"/>
        <v>0</v>
      </c>
      <c r="N45" s="61">
        <f t="shared" si="12"/>
        <v>0</v>
      </c>
      <c r="O45" s="61">
        <f t="shared" si="12"/>
        <v>0</v>
      </c>
      <c r="P45" s="61">
        <f t="shared" si="12"/>
        <v>0</v>
      </c>
      <c r="Q45" s="61">
        <f t="shared" si="12"/>
        <v>0</v>
      </c>
      <c r="R45" s="61">
        <f t="shared" si="12"/>
        <v>0</v>
      </c>
      <c r="S45" s="61">
        <f t="shared" si="12"/>
        <v>0</v>
      </c>
      <c r="T45" s="61">
        <f t="shared" si="12"/>
        <v>0</v>
      </c>
      <c r="U45" s="61">
        <f t="shared" si="12"/>
        <v>0</v>
      </c>
      <c r="V45" s="61">
        <f t="shared" si="12"/>
        <v>0</v>
      </c>
      <c r="W45" s="61">
        <f t="shared" si="12"/>
        <v>0</v>
      </c>
      <c r="X45" s="61">
        <f t="shared" si="12"/>
        <v>0</v>
      </c>
      <c r="Y45" s="61">
        <f t="shared" si="12"/>
        <v>0</v>
      </c>
      <c r="Z45" s="52"/>
      <c r="AB45" s="5"/>
      <c r="AC45" t="s">
        <v>403</v>
      </c>
      <c r="AE45" s="17">
        <v>29</v>
      </c>
      <c r="AG45" s="126">
        <f>HLOOKUP(AF$4,[1]Anx!$C$86:$CO$121,AE45)</f>
        <v>0</v>
      </c>
      <c r="AH45" s="61">
        <f t="shared" si="2"/>
        <v>0</v>
      </c>
      <c r="AI45" s="129">
        <f>Troupeau!C99</f>
        <v>0</v>
      </c>
      <c r="AK45" s="54">
        <f t="shared" si="3"/>
        <v>0</v>
      </c>
      <c r="AL45" s="54">
        <f t="shared" si="8"/>
        <v>0</v>
      </c>
      <c r="AM45" s="54">
        <f t="shared" si="8"/>
        <v>0</v>
      </c>
      <c r="AN45" s="54">
        <f t="shared" si="7"/>
        <v>0</v>
      </c>
      <c r="AO45" s="54">
        <f t="shared" si="7"/>
        <v>0</v>
      </c>
      <c r="AP45" s="54">
        <f t="shared" si="7"/>
        <v>0</v>
      </c>
      <c r="AQ45" s="54">
        <f t="shared" si="7"/>
        <v>0</v>
      </c>
      <c r="AR45" s="54">
        <f t="shared" si="7"/>
        <v>0</v>
      </c>
      <c r="AS45" s="54">
        <f t="shared" si="7"/>
        <v>0</v>
      </c>
      <c r="AT45" s="54">
        <f t="shared" si="7"/>
        <v>0</v>
      </c>
      <c r="AU45" s="54">
        <f t="shared" si="7"/>
        <v>0</v>
      </c>
      <c r="AV45" s="54">
        <f t="shared" si="7"/>
        <v>0</v>
      </c>
      <c r="AW45" s="54">
        <f t="shared" si="7"/>
        <v>0</v>
      </c>
      <c r="AX45" s="54">
        <f t="shared" si="7"/>
        <v>0</v>
      </c>
      <c r="AY45" s="54">
        <f t="shared" si="7"/>
        <v>0</v>
      </c>
      <c r="AZ45" s="54">
        <f t="shared" si="7"/>
        <v>0</v>
      </c>
      <c r="BA45" s="54">
        <f t="shared" si="7"/>
        <v>0</v>
      </c>
      <c r="BB45" s="54">
        <f t="shared" si="7"/>
        <v>0</v>
      </c>
      <c r="BC45" s="54">
        <f t="shared" si="7"/>
        <v>0</v>
      </c>
      <c r="BD45" s="54">
        <f t="shared" si="11"/>
        <v>0</v>
      </c>
      <c r="BE45" s="54">
        <f t="shared" si="11"/>
        <v>0</v>
      </c>
      <c r="BF45" s="54">
        <f t="shared" si="11"/>
        <v>0</v>
      </c>
      <c r="BG45" s="54">
        <f t="shared" si="11"/>
        <v>0</v>
      </c>
      <c r="BH45" s="54">
        <f t="shared" si="11"/>
        <v>0</v>
      </c>
      <c r="BI45" s="54">
        <f t="shared" si="11"/>
        <v>0</v>
      </c>
      <c r="BJ45" s="54">
        <f t="shared" si="11"/>
        <v>0</v>
      </c>
      <c r="BK45" s="54">
        <f t="shared" si="11"/>
        <v>0</v>
      </c>
      <c r="BL45" s="54">
        <f t="shared" si="11"/>
        <v>0</v>
      </c>
      <c r="BM45" s="54">
        <f t="shared" si="11"/>
        <v>0</v>
      </c>
      <c r="BN45" s="54">
        <f t="shared" si="11"/>
        <v>0</v>
      </c>
      <c r="BO45" s="54">
        <f t="shared" si="11"/>
        <v>0</v>
      </c>
      <c r="BP45" s="54">
        <f t="shared" si="11"/>
        <v>0</v>
      </c>
      <c r="BQ45" s="54">
        <f t="shared" si="11"/>
        <v>0</v>
      </c>
      <c r="BR45" s="54">
        <f t="shared" si="11"/>
        <v>0</v>
      </c>
      <c r="BS45" s="54">
        <f t="shared" si="11"/>
        <v>0</v>
      </c>
      <c r="BT45" s="54">
        <f t="shared" si="9"/>
        <v>0</v>
      </c>
      <c r="BU45" s="54">
        <f t="shared" si="9"/>
        <v>0</v>
      </c>
      <c r="BV45" s="54">
        <f t="shared" si="9"/>
        <v>0</v>
      </c>
      <c r="BW45" s="54">
        <f t="shared" si="10"/>
        <v>0</v>
      </c>
      <c r="BX45" s="54">
        <f t="shared" si="10"/>
        <v>0</v>
      </c>
      <c r="BY45" s="54">
        <f t="shared" si="10"/>
        <v>0</v>
      </c>
      <c r="BZ45" s="54">
        <f t="shared" si="10"/>
        <v>0</v>
      </c>
      <c r="CA45" s="54">
        <f t="shared" si="10"/>
        <v>0</v>
      </c>
      <c r="CB45" s="54">
        <f t="shared" si="10"/>
        <v>0</v>
      </c>
      <c r="CC45" s="54">
        <f t="shared" si="10"/>
        <v>0</v>
      </c>
      <c r="CD45" s="54">
        <f t="shared" si="10"/>
        <v>0</v>
      </c>
      <c r="CE45" s="54">
        <f t="shared" si="10"/>
        <v>0</v>
      </c>
    </row>
    <row r="46" spans="1:83" x14ac:dyDescent="0.25">
      <c r="A46" s="128" t="str">
        <f>A$22</f>
        <v>lot8</v>
      </c>
      <c r="B46" s="61">
        <f t="shared" si="13"/>
        <v>0</v>
      </c>
      <c r="C46" s="61">
        <f t="shared" si="12"/>
        <v>0</v>
      </c>
      <c r="D46" s="61">
        <f t="shared" si="12"/>
        <v>0</v>
      </c>
      <c r="E46" s="61">
        <f t="shared" si="12"/>
        <v>0</v>
      </c>
      <c r="F46" s="61">
        <f t="shared" si="12"/>
        <v>0</v>
      </c>
      <c r="G46" s="61">
        <f t="shared" si="12"/>
        <v>0</v>
      </c>
      <c r="H46" s="61">
        <f t="shared" si="12"/>
        <v>0</v>
      </c>
      <c r="I46" s="61">
        <f t="shared" si="12"/>
        <v>0</v>
      </c>
      <c r="J46" s="61">
        <f t="shared" si="12"/>
        <v>0</v>
      </c>
      <c r="K46" s="61">
        <f t="shared" si="12"/>
        <v>0</v>
      </c>
      <c r="L46" s="61">
        <f t="shared" si="12"/>
        <v>0</v>
      </c>
      <c r="M46" s="61">
        <f t="shared" si="12"/>
        <v>0</v>
      </c>
      <c r="N46" s="61">
        <f t="shared" si="12"/>
        <v>0</v>
      </c>
      <c r="O46" s="61">
        <f t="shared" si="12"/>
        <v>0</v>
      </c>
      <c r="P46" s="61">
        <f t="shared" si="12"/>
        <v>0</v>
      </c>
      <c r="Q46" s="61">
        <f t="shared" si="12"/>
        <v>0</v>
      </c>
      <c r="R46" s="61">
        <f t="shared" si="12"/>
        <v>0</v>
      </c>
      <c r="S46" s="61">
        <f t="shared" si="12"/>
        <v>0</v>
      </c>
      <c r="T46" s="61">
        <f t="shared" si="12"/>
        <v>0</v>
      </c>
      <c r="U46" s="61">
        <f t="shared" si="12"/>
        <v>0</v>
      </c>
      <c r="V46" s="61">
        <f t="shared" si="12"/>
        <v>0</v>
      </c>
      <c r="W46" s="61">
        <f t="shared" si="12"/>
        <v>0</v>
      </c>
      <c r="X46" s="61">
        <f t="shared" si="12"/>
        <v>0</v>
      </c>
      <c r="Y46" s="61">
        <f t="shared" si="12"/>
        <v>0</v>
      </c>
      <c r="Z46" s="52"/>
      <c r="AB46" s="5"/>
      <c r="AC46" t="s">
        <v>404</v>
      </c>
      <c r="AE46" s="17">
        <v>30</v>
      </c>
      <c r="AG46" s="126">
        <f>HLOOKUP(AF$4,[1]Anx!$C$86:$CO$121,AE46)</f>
        <v>0</v>
      </c>
      <c r="AH46" s="61">
        <f t="shared" si="2"/>
        <v>0</v>
      </c>
      <c r="AI46" s="129">
        <f>Troupeau!C100</f>
        <v>0</v>
      </c>
      <c r="AK46" s="54">
        <f t="shared" si="3"/>
        <v>0</v>
      </c>
      <c r="AL46" s="54">
        <f t="shared" si="8"/>
        <v>0</v>
      </c>
      <c r="AM46" s="54">
        <f t="shared" si="8"/>
        <v>0</v>
      </c>
      <c r="AN46" s="54">
        <f t="shared" si="7"/>
        <v>0</v>
      </c>
      <c r="AO46" s="54">
        <f t="shared" si="7"/>
        <v>0</v>
      </c>
      <c r="AP46" s="54">
        <f t="shared" si="7"/>
        <v>0</v>
      </c>
      <c r="AQ46" s="54">
        <f t="shared" si="7"/>
        <v>0</v>
      </c>
      <c r="AR46" s="54">
        <f t="shared" si="7"/>
        <v>0</v>
      </c>
      <c r="AS46" s="54">
        <f t="shared" si="7"/>
        <v>0</v>
      </c>
      <c r="AT46" s="54">
        <f t="shared" si="7"/>
        <v>0</v>
      </c>
      <c r="AU46" s="54">
        <f t="shared" si="7"/>
        <v>0</v>
      </c>
      <c r="AV46" s="54">
        <f t="shared" si="7"/>
        <v>0</v>
      </c>
      <c r="AW46" s="54">
        <f t="shared" si="7"/>
        <v>0</v>
      </c>
      <c r="AX46" s="54">
        <f t="shared" si="7"/>
        <v>0</v>
      </c>
      <c r="AY46" s="54">
        <f t="shared" si="7"/>
        <v>0</v>
      </c>
      <c r="AZ46" s="54">
        <f t="shared" si="7"/>
        <v>0</v>
      </c>
      <c r="BA46" s="54">
        <f t="shared" si="7"/>
        <v>0</v>
      </c>
      <c r="BB46" s="54">
        <f t="shared" si="7"/>
        <v>0</v>
      </c>
      <c r="BC46" s="54">
        <f t="shared" si="7"/>
        <v>0</v>
      </c>
      <c r="BD46" s="54">
        <f t="shared" si="11"/>
        <v>0</v>
      </c>
      <c r="BE46" s="54">
        <f t="shared" si="11"/>
        <v>0</v>
      </c>
      <c r="BF46" s="54">
        <f t="shared" si="11"/>
        <v>0</v>
      </c>
      <c r="BG46" s="54">
        <f t="shared" si="11"/>
        <v>0</v>
      </c>
      <c r="BH46" s="54">
        <f t="shared" si="11"/>
        <v>0</v>
      </c>
      <c r="BI46" s="54">
        <f t="shared" si="11"/>
        <v>0</v>
      </c>
      <c r="BJ46" s="54">
        <f t="shared" si="11"/>
        <v>0</v>
      </c>
      <c r="BK46" s="54">
        <f t="shared" si="11"/>
        <v>0</v>
      </c>
      <c r="BL46" s="54">
        <f t="shared" si="11"/>
        <v>0</v>
      </c>
      <c r="BM46" s="54">
        <f t="shared" si="11"/>
        <v>0</v>
      </c>
      <c r="BN46" s="54">
        <f t="shared" si="11"/>
        <v>0</v>
      </c>
      <c r="BO46" s="54">
        <f t="shared" si="11"/>
        <v>0</v>
      </c>
      <c r="BP46" s="54">
        <f t="shared" si="11"/>
        <v>0</v>
      </c>
      <c r="BQ46" s="54">
        <f t="shared" si="11"/>
        <v>0</v>
      </c>
      <c r="BR46" s="54">
        <f t="shared" si="11"/>
        <v>0</v>
      </c>
      <c r="BS46" s="54">
        <f t="shared" si="11"/>
        <v>0</v>
      </c>
      <c r="BT46" s="54">
        <f t="shared" si="9"/>
        <v>0</v>
      </c>
      <c r="BU46" s="54">
        <f t="shared" si="9"/>
        <v>0</v>
      </c>
      <c r="BV46" s="54">
        <f t="shared" si="9"/>
        <v>0</v>
      </c>
      <c r="BW46" s="54">
        <f t="shared" si="10"/>
        <v>0</v>
      </c>
      <c r="BX46" s="54">
        <f t="shared" si="10"/>
        <v>0</v>
      </c>
      <c r="BY46" s="54">
        <f t="shared" si="10"/>
        <v>0</v>
      </c>
      <c r="BZ46" s="54">
        <f t="shared" si="10"/>
        <v>0</v>
      </c>
      <c r="CA46" s="54">
        <f t="shared" si="10"/>
        <v>0</v>
      </c>
      <c r="CB46" s="54">
        <f t="shared" si="10"/>
        <v>0</v>
      </c>
      <c r="CC46" s="54">
        <f t="shared" si="10"/>
        <v>0</v>
      </c>
      <c r="CD46" s="54">
        <f t="shared" si="10"/>
        <v>0</v>
      </c>
      <c r="CE46" s="54">
        <f t="shared" si="10"/>
        <v>0</v>
      </c>
    </row>
    <row r="47" spans="1:83" x14ac:dyDescent="0.25">
      <c r="A47" s="127" t="str">
        <f>A$23</f>
        <v>lot9</v>
      </c>
      <c r="B47" s="61">
        <f t="shared" si="13"/>
        <v>0</v>
      </c>
      <c r="C47" s="61">
        <f t="shared" si="12"/>
        <v>0</v>
      </c>
      <c r="D47" s="61">
        <f t="shared" si="12"/>
        <v>0</v>
      </c>
      <c r="E47" s="61">
        <f t="shared" si="12"/>
        <v>0</v>
      </c>
      <c r="F47" s="61">
        <f t="shared" si="12"/>
        <v>0</v>
      </c>
      <c r="G47" s="61">
        <f t="shared" si="12"/>
        <v>0</v>
      </c>
      <c r="H47" s="61">
        <f t="shared" si="12"/>
        <v>0</v>
      </c>
      <c r="I47" s="61">
        <f t="shared" si="12"/>
        <v>0</v>
      </c>
      <c r="J47" s="61">
        <f t="shared" si="12"/>
        <v>0</v>
      </c>
      <c r="K47" s="61">
        <f t="shared" si="12"/>
        <v>0</v>
      </c>
      <c r="L47" s="61">
        <f t="shared" si="12"/>
        <v>0</v>
      </c>
      <c r="M47" s="61">
        <f t="shared" si="12"/>
        <v>0</v>
      </c>
      <c r="N47" s="61">
        <f t="shared" si="12"/>
        <v>0</v>
      </c>
      <c r="O47" s="61">
        <f t="shared" si="12"/>
        <v>0</v>
      </c>
      <c r="P47" s="61">
        <f t="shared" si="12"/>
        <v>0</v>
      </c>
      <c r="Q47" s="61">
        <f t="shared" si="12"/>
        <v>0</v>
      </c>
      <c r="R47" s="61">
        <f t="shared" si="12"/>
        <v>0</v>
      </c>
      <c r="S47" s="61">
        <f t="shared" si="12"/>
        <v>0</v>
      </c>
      <c r="T47" s="61">
        <f t="shared" si="12"/>
        <v>0</v>
      </c>
      <c r="U47" s="61">
        <f t="shared" si="12"/>
        <v>0</v>
      </c>
      <c r="V47" s="61">
        <f t="shared" si="12"/>
        <v>0</v>
      </c>
      <c r="W47" s="61">
        <f t="shared" si="12"/>
        <v>0</v>
      </c>
      <c r="X47" s="61">
        <f t="shared" si="12"/>
        <v>0</v>
      </c>
      <c r="Y47" s="61">
        <f t="shared" si="12"/>
        <v>0</v>
      </c>
      <c r="Z47" s="52"/>
      <c r="AB47" s="5"/>
      <c r="AC47" t="s">
        <v>405</v>
      </c>
      <c r="AE47" s="17">
        <v>31</v>
      </c>
      <c r="AG47" s="126">
        <f>HLOOKUP(AF$4,[1]Anx!$C$86:$CO$121,AE47)</f>
        <v>0</v>
      </c>
      <c r="AH47" s="61">
        <f t="shared" si="2"/>
        <v>0</v>
      </c>
      <c r="AI47" s="129">
        <f>Troupeau!C101</f>
        <v>0</v>
      </c>
      <c r="AK47" s="54">
        <f t="shared" si="3"/>
        <v>0</v>
      </c>
      <c r="AL47" s="54">
        <f t="shared" si="8"/>
        <v>0</v>
      </c>
      <c r="AM47" s="54">
        <f t="shared" si="8"/>
        <v>0</v>
      </c>
      <c r="AN47" s="54">
        <f t="shared" si="7"/>
        <v>0</v>
      </c>
      <c r="AO47" s="54">
        <f t="shared" si="7"/>
        <v>0</v>
      </c>
      <c r="AP47" s="54">
        <f t="shared" si="7"/>
        <v>0</v>
      </c>
      <c r="AQ47" s="54">
        <f t="shared" si="7"/>
        <v>0</v>
      </c>
      <c r="AR47" s="54">
        <f t="shared" si="7"/>
        <v>0</v>
      </c>
      <c r="AS47" s="54">
        <f t="shared" si="7"/>
        <v>0</v>
      </c>
      <c r="AT47" s="54">
        <f t="shared" si="7"/>
        <v>0</v>
      </c>
      <c r="AU47" s="54">
        <f t="shared" si="7"/>
        <v>0</v>
      </c>
      <c r="AV47" s="54">
        <f t="shared" si="7"/>
        <v>0</v>
      </c>
      <c r="AW47" s="54">
        <f t="shared" si="7"/>
        <v>0</v>
      </c>
      <c r="AX47" s="54">
        <f t="shared" si="7"/>
        <v>0</v>
      </c>
      <c r="AY47" s="54">
        <f t="shared" si="7"/>
        <v>0</v>
      </c>
      <c r="AZ47" s="54">
        <f t="shared" si="7"/>
        <v>0</v>
      </c>
      <c r="BA47" s="54">
        <f t="shared" si="7"/>
        <v>0</v>
      </c>
      <c r="BB47" s="54">
        <f t="shared" si="7"/>
        <v>0</v>
      </c>
      <c r="BC47" s="54">
        <f t="shared" si="7"/>
        <v>0</v>
      </c>
      <c r="BD47" s="54">
        <f t="shared" si="11"/>
        <v>0</v>
      </c>
      <c r="BE47" s="54">
        <f t="shared" si="11"/>
        <v>0</v>
      </c>
      <c r="BF47" s="54">
        <f t="shared" si="11"/>
        <v>0</v>
      </c>
      <c r="BG47" s="54">
        <f t="shared" si="11"/>
        <v>0</v>
      </c>
      <c r="BH47" s="54">
        <f t="shared" si="11"/>
        <v>0</v>
      </c>
      <c r="BI47" s="54">
        <f t="shared" si="11"/>
        <v>0</v>
      </c>
      <c r="BJ47" s="54">
        <f t="shared" si="11"/>
        <v>0</v>
      </c>
      <c r="BK47" s="54">
        <f t="shared" si="11"/>
        <v>0</v>
      </c>
      <c r="BL47" s="54">
        <f t="shared" si="11"/>
        <v>0</v>
      </c>
      <c r="BM47" s="54">
        <f t="shared" si="11"/>
        <v>0</v>
      </c>
      <c r="BN47" s="54">
        <f t="shared" si="11"/>
        <v>0</v>
      </c>
      <c r="BO47" s="54">
        <f t="shared" si="11"/>
        <v>0</v>
      </c>
      <c r="BP47" s="54">
        <f t="shared" si="11"/>
        <v>0</v>
      </c>
      <c r="BQ47" s="54">
        <f t="shared" si="11"/>
        <v>0</v>
      </c>
      <c r="BR47" s="54">
        <f t="shared" si="11"/>
        <v>0</v>
      </c>
      <c r="BS47" s="54">
        <f t="shared" si="11"/>
        <v>0</v>
      </c>
      <c r="BT47" s="54">
        <f t="shared" si="9"/>
        <v>0</v>
      </c>
      <c r="BU47" s="54">
        <f t="shared" si="9"/>
        <v>0</v>
      </c>
      <c r="BV47" s="54">
        <f t="shared" si="9"/>
        <v>0</v>
      </c>
      <c r="BW47" s="54">
        <f t="shared" si="10"/>
        <v>0</v>
      </c>
      <c r="BX47" s="54">
        <f t="shared" si="10"/>
        <v>0</v>
      </c>
      <c r="BY47" s="54">
        <f t="shared" si="10"/>
        <v>0</v>
      </c>
      <c r="BZ47" s="54">
        <f t="shared" si="10"/>
        <v>0</v>
      </c>
      <c r="CA47" s="54">
        <f t="shared" si="10"/>
        <v>0</v>
      </c>
      <c r="CB47" s="54">
        <f t="shared" si="10"/>
        <v>0</v>
      </c>
      <c r="CC47" s="54">
        <f t="shared" si="10"/>
        <v>0</v>
      </c>
      <c r="CD47" s="54">
        <f t="shared" si="10"/>
        <v>0</v>
      </c>
      <c r="CE47" s="54">
        <f t="shared" si="10"/>
        <v>0</v>
      </c>
    </row>
    <row r="48" spans="1:83" x14ac:dyDescent="0.25">
      <c r="A48" s="128" t="str">
        <f>A$24</f>
        <v>lot10</v>
      </c>
      <c r="B48" s="61">
        <f t="shared" si="13"/>
        <v>0</v>
      </c>
      <c r="C48" s="61">
        <f t="shared" si="12"/>
        <v>0</v>
      </c>
      <c r="D48" s="61">
        <f t="shared" si="12"/>
        <v>0</v>
      </c>
      <c r="E48" s="61">
        <f t="shared" si="12"/>
        <v>0</v>
      </c>
      <c r="F48" s="61">
        <f t="shared" si="12"/>
        <v>0</v>
      </c>
      <c r="G48" s="61">
        <f t="shared" si="12"/>
        <v>0</v>
      </c>
      <c r="H48" s="61">
        <f t="shared" si="12"/>
        <v>0</v>
      </c>
      <c r="I48" s="61">
        <f t="shared" si="12"/>
        <v>0</v>
      </c>
      <c r="J48" s="61">
        <f t="shared" si="12"/>
        <v>0</v>
      </c>
      <c r="K48" s="61">
        <f t="shared" si="12"/>
        <v>0</v>
      </c>
      <c r="L48" s="61">
        <f t="shared" si="12"/>
        <v>0</v>
      </c>
      <c r="M48" s="61">
        <f t="shared" si="12"/>
        <v>0</v>
      </c>
      <c r="N48" s="61">
        <f t="shared" si="12"/>
        <v>0</v>
      </c>
      <c r="O48" s="61">
        <f t="shared" si="12"/>
        <v>0</v>
      </c>
      <c r="P48" s="61">
        <f t="shared" si="12"/>
        <v>0</v>
      </c>
      <c r="Q48" s="61">
        <f t="shared" si="12"/>
        <v>0</v>
      </c>
      <c r="R48" s="61">
        <f t="shared" si="12"/>
        <v>0</v>
      </c>
      <c r="S48" s="61">
        <f t="shared" si="12"/>
        <v>0</v>
      </c>
      <c r="T48" s="61">
        <f t="shared" si="12"/>
        <v>0</v>
      </c>
      <c r="U48" s="61">
        <f t="shared" si="12"/>
        <v>0</v>
      </c>
      <c r="V48" s="61">
        <f t="shared" si="12"/>
        <v>0</v>
      </c>
      <c r="W48" s="61">
        <f t="shared" si="12"/>
        <v>0</v>
      </c>
      <c r="X48" s="61">
        <f t="shared" si="12"/>
        <v>0</v>
      </c>
      <c r="Y48" s="61">
        <f t="shared" si="12"/>
        <v>0</v>
      </c>
      <c r="Z48" s="52"/>
      <c r="AB48" s="5"/>
      <c r="AC48" t="s">
        <v>406</v>
      </c>
      <c r="AE48" s="17">
        <v>32</v>
      </c>
      <c r="AG48" s="126">
        <f>HLOOKUP(AF$4,[1]Anx!$C$86:$CO$121,AE48)</f>
        <v>0</v>
      </c>
      <c r="AH48" s="61">
        <f t="shared" si="2"/>
        <v>0</v>
      </c>
      <c r="AI48" s="129">
        <f>Troupeau!C102</f>
        <v>0</v>
      </c>
      <c r="AK48" s="54">
        <f t="shared" si="3"/>
        <v>0</v>
      </c>
      <c r="AL48" s="54">
        <f t="shared" si="8"/>
        <v>0</v>
      </c>
      <c r="AM48" s="54">
        <f t="shared" si="8"/>
        <v>0</v>
      </c>
      <c r="AN48" s="54">
        <f t="shared" si="7"/>
        <v>0</v>
      </c>
      <c r="AO48" s="54">
        <f t="shared" si="7"/>
        <v>0</v>
      </c>
      <c r="AP48" s="54">
        <f t="shared" si="7"/>
        <v>0</v>
      </c>
      <c r="AQ48" s="54">
        <f t="shared" si="7"/>
        <v>0</v>
      </c>
      <c r="AR48" s="54">
        <f t="shared" si="7"/>
        <v>0</v>
      </c>
      <c r="AS48" s="54">
        <f t="shared" si="7"/>
        <v>0</v>
      </c>
      <c r="AT48" s="54">
        <f t="shared" si="7"/>
        <v>0</v>
      </c>
      <c r="AU48" s="54">
        <f t="shared" si="7"/>
        <v>0</v>
      </c>
      <c r="AV48" s="54">
        <f t="shared" si="7"/>
        <v>0</v>
      </c>
      <c r="AW48" s="54">
        <f t="shared" si="7"/>
        <v>0</v>
      </c>
      <c r="AX48" s="54">
        <f t="shared" si="7"/>
        <v>0</v>
      </c>
      <c r="AY48" s="54">
        <f t="shared" si="7"/>
        <v>0</v>
      </c>
      <c r="AZ48" s="54">
        <f t="shared" si="7"/>
        <v>0</v>
      </c>
      <c r="BA48" s="54">
        <f t="shared" si="7"/>
        <v>0</v>
      </c>
      <c r="BB48" s="54">
        <f t="shared" si="7"/>
        <v>0</v>
      </c>
      <c r="BC48" s="54">
        <f t="shared" si="7"/>
        <v>0</v>
      </c>
      <c r="BD48" s="54">
        <f t="shared" si="11"/>
        <v>0</v>
      </c>
      <c r="BE48" s="54">
        <f t="shared" si="11"/>
        <v>0</v>
      </c>
      <c r="BF48" s="54">
        <f t="shared" si="11"/>
        <v>0</v>
      </c>
      <c r="BG48" s="54">
        <f t="shared" si="11"/>
        <v>0</v>
      </c>
      <c r="BH48" s="54">
        <f t="shared" si="11"/>
        <v>0</v>
      </c>
      <c r="BI48" s="54">
        <f t="shared" si="11"/>
        <v>0</v>
      </c>
      <c r="BJ48" s="54">
        <f t="shared" si="11"/>
        <v>0</v>
      </c>
      <c r="BK48" s="54">
        <f t="shared" si="11"/>
        <v>0</v>
      </c>
      <c r="BL48" s="54">
        <f t="shared" si="11"/>
        <v>0</v>
      </c>
      <c r="BM48" s="54">
        <f t="shared" si="11"/>
        <v>0</v>
      </c>
      <c r="BN48" s="54">
        <f t="shared" si="11"/>
        <v>0</v>
      </c>
      <c r="BO48" s="54">
        <f t="shared" si="11"/>
        <v>0</v>
      </c>
      <c r="BP48" s="54">
        <f t="shared" si="11"/>
        <v>0</v>
      </c>
      <c r="BQ48" s="54">
        <f t="shared" si="11"/>
        <v>0</v>
      </c>
      <c r="BR48" s="54">
        <f t="shared" si="11"/>
        <v>0</v>
      </c>
      <c r="BS48" s="54">
        <f t="shared" si="11"/>
        <v>0</v>
      </c>
      <c r="BT48" s="54">
        <f t="shared" si="9"/>
        <v>0</v>
      </c>
      <c r="BU48" s="54">
        <f t="shared" si="9"/>
        <v>0</v>
      </c>
      <c r="BV48" s="54">
        <f t="shared" si="9"/>
        <v>0</v>
      </c>
      <c r="BW48" s="54">
        <f t="shared" si="10"/>
        <v>0</v>
      </c>
      <c r="BX48" s="54">
        <f t="shared" si="10"/>
        <v>0</v>
      </c>
      <c r="BY48" s="54">
        <f t="shared" si="10"/>
        <v>0</v>
      </c>
      <c r="BZ48" s="54">
        <f t="shared" si="10"/>
        <v>0</v>
      </c>
      <c r="CA48" s="54">
        <f t="shared" si="10"/>
        <v>0</v>
      </c>
      <c r="CB48" s="54">
        <f t="shared" si="10"/>
        <v>0</v>
      </c>
      <c r="CC48" s="54">
        <f t="shared" si="10"/>
        <v>0</v>
      </c>
      <c r="CD48" s="54">
        <f t="shared" si="10"/>
        <v>0</v>
      </c>
      <c r="CE48" s="54">
        <f t="shared" si="10"/>
        <v>0</v>
      </c>
    </row>
    <row r="49" spans="1:83" s="2" customFormat="1" x14ac:dyDescent="0.25">
      <c r="A49" s="55" t="s">
        <v>171</v>
      </c>
      <c r="B49" s="62">
        <f>SUM(B39:B48)</f>
        <v>0</v>
      </c>
      <c r="C49" s="62">
        <f t="shared" ref="C49:Y49" si="14">SUM(C39:C48)</f>
        <v>0</v>
      </c>
      <c r="D49" s="62">
        <f t="shared" si="14"/>
        <v>0</v>
      </c>
      <c r="E49" s="62">
        <f t="shared" si="14"/>
        <v>0</v>
      </c>
      <c r="F49" s="62">
        <f t="shared" si="14"/>
        <v>0</v>
      </c>
      <c r="G49" s="62">
        <f t="shared" si="14"/>
        <v>0</v>
      </c>
      <c r="H49" s="62">
        <f t="shared" si="14"/>
        <v>0</v>
      </c>
      <c r="I49" s="62">
        <f t="shared" si="14"/>
        <v>0</v>
      </c>
      <c r="J49" s="62">
        <f t="shared" si="14"/>
        <v>0</v>
      </c>
      <c r="K49" s="62">
        <f t="shared" si="14"/>
        <v>0</v>
      </c>
      <c r="L49" s="62">
        <f t="shared" si="14"/>
        <v>0</v>
      </c>
      <c r="M49" s="62">
        <f t="shared" si="14"/>
        <v>0</v>
      </c>
      <c r="N49" s="62">
        <f t="shared" si="14"/>
        <v>0</v>
      </c>
      <c r="O49" s="62">
        <f t="shared" si="14"/>
        <v>0</v>
      </c>
      <c r="P49" s="62">
        <f t="shared" si="14"/>
        <v>0</v>
      </c>
      <c r="Q49" s="62">
        <f t="shared" si="14"/>
        <v>0</v>
      </c>
      <c r="R49" s="62">
        <f t="shared" si="14"/>
        <v>0</v>
      </c>
      <c r="S49" s="62">
        <f t="shared" si="14"/>
        <v>0</v>
      </c>
      <c r="T49" s="62">
        <f t="shared" si="14"/>
        <v>0</v>
      </c>
      <c r="U49" s="62">
        <f t="shared" si="14"/>
        <v>0</v>
      </c>
      <c r="V49" s="62">
        <f t="shared" si="14"/>
        <v>0</v>
      </c>
      <c r="W49" s="62">
        <f t="shared" si="14"/>
        <v>0</v>
      </c>
      <c r="X49" s="62">
        <f t="shared" si="14"/>
        <v>0</v>
      </c>
      <c r="Y49" s="62">
        <f t="shared" si="14"/>
        <v>0</v>
      </c>
      <c r="Z49" s="23"/>
      <c r="AA49" s="46">
        <f>AVERAGE(B49:Y49)</f>
        <v>0</v>
      </c>
      <c r="AB49" t="s">
        <v>191</v>
      </c>
      <c r="AC49" t="s">
        <v>407</v>
      </c>
      <c r="AE49" s="17">
        <v>33</v>
      </c>
      <c r="AG49" s="126">
        <f>HLOOKUP(AF$4,[1]Anx!$C$86:$CO$121,AE49)</f>
        <v>0</v>
      </c>
      <c r="AH49" s="61">
        <f t="shared" si="2"/>
        <v>0</v>
      </c>
      <c r="AI49" s="129">
        <f>Troupeau!C103</f>
        <v>0</v>
      </c>
      <c r="AK49" s="54">
        <f t="shared" si="3"/>
        <v>0</v>
      </c>
      <c r="AL49" s="54">
        <f t="shared" si="8"/>
        <v>0</v>
      </c>
      <c r="AM49" s="54">
        <f t="shared" si="8"/>
        <v>0</v>
      </c>
      <c r="AN49" s="54">
        <f t="shared" si="7"/>
        <v>0</v>
      </c>
      <c r="AO49" s="54">
        <f t="shared" si="7"/>
        <v>0</v>
      </c>
      <c r="AP49" s="54">
        <f t="shared" si="7"/>
        <v>0</v>
      </c>
      <c r="AQ49" s="54">
        <f t="shared" si="7"/>
        <v>0</v>
      </c>
      <c r="AR49" s="54">
        <f t="shared" si="7"/>
        <v>0</v>
      </c>
      <c r="AS49" s="54">
        <f t="shared" si="7"/>
        <v>0</v>
      </c>
      <c r="AT49" s="54">
        <f t="shared" si="7"/>
        <v>0</v>
      </c>
      <c r="AU49" s="54">
        <f t="shared" si="7"/>
        <v>0</v>
      </c>
      <c r="AV49" s="54">
        <f t="shared" si="7"/>
        <v>0</v>
      </c>
      <c r="AW49" s="54">
        <f t="shared" si="7"/>
        <v>0</v>
      </c>
      <c r="AX49" s="54">
        <f t="shared" si="7"/>
        <v>0</v>
      </c>
      <c r="AY49" s="54">
        <f t="shared" si="7"/>
        <v>0</v>
      </c>
      <c r="AZ49" s="54">
        <f t="shared" si="7"/>
        <v>0</v>
      </c>
      <c r="BA49" s="54">
        <f t="shared" si="7"/>
        <v>0</v>
      </c>
      <c r="BB49" s="54">
        <f t="shared" ref="AN49:BC52" si="15">IF($AH49=BB$17,ROUND($AI49/1000,1),0)</f>
        <v>0</v>
      </c>
      <c r="BC49" s="54">
        <f t="shared" si="15"/>
        <v>0</v>
      </c>
      <c r="BD49" s="54">
        <f t="shared" si="11"/>
        <v>0</v>
      </c>
      <c r="BE49" s="54">
        <f t="shared" si="11"/>
        <v>0</v>
      </c>
      <c r="BF49" s="54">
        <f t="shared" si="11"/>
        <v>0</v>
      </c>
      <c r="BG49" s="54">
        <f t="shared" si="11"/>
        <v>0</v>
      </c>
      <c r="BH49" s="54">
        <f t="shared" si="11"/>
        <v>0</v>
      </c>
      <c r="BI49" s="54">
        <f t="shared" si="11"/>
        <v>0</v>
      </c>
      <c r="BJ49" s="54">
        <f t="shared" si="11"/>
        <v>0</v>
      </c>
      <c r="BK49" s="54">
        <f t="shared" si="11"/>
        <v>0</v>
      </c>
      <c r="BL49" s="54">
        <f t="shared" si="11"/>
        <v>0</v>
      </c>
      <c r="BM49" s="54">
        <f t="shared" si="11"/>
        <v>0</v>
      </c>
      <c r="BN49" s="54">
        <f t="shared" si="11"/>
        <v>0</v>
      </c>
      <c r="BO49" s="54">
        <f t="shared" si="11"/>
        <v>0</v>
      </c>
      <c r="BP49" s="54">
        <f t="shared" si="11"/>
        <v>0</v>
      </c>
      <c r="BQ49" s="54">
        <f t="shared" si="11"/>
        <v>0</v>
      </c>
      <c r="BR49" s="54">
        <f t="shared" si="11"/>
        <v>0</v>
      </c>
      <c r="BS49" s="54">
        <f t="shared" si="11"/>
        <v>0</v>
      </c>
      <c r="BT49" s="54">
        <f t="shared" si="9"/>
        <v>0</v>
      </c>
      <c r="BU49" s="54">
        <f t="shared" si="9"/>
        <v>0</v>
      </c>
      <c r="BV49" s="54">
        <f t="shared" si="9"/>
        <v>0</v>
      </c>
      <c r="BW49" s="54">
        <f t="shared" si="10"/>
        <v>0</v>
      </c>
      <c r="BX49" s="54">
        <f t="shared" si="10"/>
        <v>0</v>
      </c>
      <c r="BY49" s="54">
        <f t="shared" si="10"/>
        <v>0</v>
      </c>
      <c r="BZ49" s="54">
        <f t="shared" si="10"/>
        <v>0</v>
      </c>
      <c r="CA49" s="54">
        <f t="shared" si="10"/>
        <v>0</v>
      </c>
      <c r="CB49" s="54">
        <f t="shared" si="10"/>
        <v>0</v>
      </c>
      <c r="CC49" s="54">
        <f t="shared" si="10"/>
        <v>0</v>
      </c>
      <c r="CD49" s="54">
        <f t="shared" si="10"/>
        <v>0</v>
      </c>
      <c r="CE49" s="54">
        <f t="shared" si="10"/>
        <v>0</v>
      </c>
    </row>
    <row r="50" spans="1:83" s="5" customFormat="1" x14ac:dyDescent="0.25"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AC50" t="s">
        <v>408</v>
      </c>
      <c r="AE50" s="17">
        <v>34</v>
      </c>
      <c r="AG50" s="126">
        <f>HLOOKUP(AF$4,[1]Anx!$C$86:$CO$121,AE50)</f>
        <v>0</v>
      </c>
      <c r="AH50" s="61">
        <f t="shared" si="2"/>
        <v>0</v>
      </c>
      <c r="AI50" s="129">
        <f>Troupeau!C104</f>
        <v>0</v>
      </c>
      <c r="AK50" s="54">
        <f t="shared" si="3"/>
        <v>0</v>
      </c>
      <c r="AL50" s="54">
        <f t="shared" si="8"/>
        <v>0</v>
      </c>
      <c r="AM50" s="54">
        <f t="shared" si="8"/>
        <v>0</v>
      </c>
      <c r="AN50" s="54">
        <f t="shared" si="15"/>
        <v>0</v>
      </c>
      <c r="AO50" s="54">
        <f t="shared" si="15"/>
        <v>0</v>
      </c>
      <c r="AP50" s="54">
        <f t="shared" si="15"/>
        <v>0</v>
      </c>
      <c r="AQ50" s="54">
        <f t="shared" si="15"/>
        <v>0</v>
      </c>
      <c r="AR50" s="54">
        <f t="shared" si="15"/>
        <v>0</v>
      </c>
      <c r="AS50" s="54">
        <f t="shared" si="15"/>
        <v>0</v>
      </c>
      <c r="AT50" s="54">
        <f t="shared" si="15"/>
        <v>0</v>
      </c>
      <c r="AU50" s="54">
        <f t="shared" si="15"/>
        <v>0</v>
      </c>
      <c r="AV50" s="54">
        <f t="shared" si="15"/>
        <v>0</v>
      </c>
      <c r="AW50" s="54">
        <f t="shared" si="15"/>
        <v>0</v>
      </c>
      <c r="AX50" s="54">
        <f t="shared" si="15"/>
        <v>0</v>
      </c>
      <c r="AY50" s="54">
        <f t="shared" si="15"/>
        <v>0</v>
      </c>
      <c r="AZ50" s="54">
        <f t="shared" si="15"/>
        <v>0</v>
      </c>
      <c r="BA50" s="54">
        <f t="shared" si="15"/>
        <v>0</v>
      </c>
      <c r="BB50" s="54">
        <f t="shared" si="15"/>
        <v>0</v>
      </c>
      <c r="BC50" s="54">
        <f t="shared" si="15"/>
        <v>0</v>
      </c>
      <c r="BD50" s="54">
        <f t="shared" si="11"/>
        <v>0</v>
      </c>
      <c r="BE50" s="54">
        <f t="shared" si="11"/>
        <v>0</v>
      </c>
      <c r="BF50" s="54">
        <f t="shared" si="11"/>
        <v>0</v>
      </c>
      <c r="BG50" s="54">
        <f t="shared" si="11"/>
        <v>0</v>
      </c>
      <c r="BH50" s="54">
        <f t="shared" si="11"/>
        <v>0</v>
      </c>
      <c r="BI50" s="54">
        <f t="shared" si="11"/>
        <v>0</v>
      </c>
      <c r="BJ50" s="54">
        <f t="shared" si="11"/>
        <v>0</v>
      </c>
      <c r="BK50" s="54">
        <f t="shared" si="11"/>
        <v>0</v>
      </c>
      <c r="BL50" s="54">
        <f t="shared" si="11"/>
        <v>0</v>
      </c>
      <c r="BM50" s="54">
        <f t="shared" si="11"/>
        <v>0</v>
      </c>
      <c r="BN50" s="54">
        <f t="shared" si="11"/>
        <v>0</v>
      </c>
      <c r="BO50" s="54">
        <f t="shared" si="11"/>
        <v>0</v>
      </c>
      <c r="BP50" s="54">
        <f t="shared" si="11"/>
        <v>0</v>
      </c>
      <c r="BQ50" s="54">
        <f t="shared" si="11"/>
        <v>0</v>
      </c>
      <c r="BR50" s="54">
        <f t="shared" si="11"/>
        <v>0</v>
      </c>
      <c r="BS50" s="54">
        <f t="shared" si="11"/>
        <v>0</v>
      </c>
      <c r="BT50" s="54">
        <f t="shared" si="9"/>
        <v>0</v>
      </c>
      <c r="BU50" s="54">
        <f t="shared" si="9"/>
        <v>0</v>
      </c>
      <c r="BV50" s="54">
        <f t="shared" si="9"/>
        <v>0</v>
      </c>
      <c r="BW50" s="54">
        <f t="shared" si="10"/>
        <v>0</v>
      </c>
      <c r="BX50" s="54">
        <f t="shared" si="10"/>
        <v>0</v>
      </c>
      <c r="BY50" s="54">
        <f t="shared" si="10"/>
        <v>0</v>
      </c>
      <c r="BZ50" s="54">
        <f t="shared" si="10"/>
        <v>0</v>
      </c>
      <c r="CA50" s="54">
        <f t="shared" si="10"/>
        <v>0</v>
      </c>
      <c r="CB50" s="54">
        <f t="shared" si="10"/>
        <v>0</v>
      </c>
      <c r="CC50" s="54">
        <f t="shared" si="10"/>
        <v>0</v>
      </c>
      <c r="CD50" s="54">
        <f t="shared" si="10"/>
        <v>0</v>
      </c>
      <c r="CE50" s="54">
        <f t="shared" si="10"/>
        <v>0</v>
      </c>
    </row>
    <row r="51" spans="1:83" x14ac:dyDescent="0.25">
      <c r="A51" s="2" t="s">
        <v>175</v>
      </c>
      <c r="AC51" t="s">
        <v>409</v>
      </c>
      <c r="AE51" s="17">
        <v>35</v>
      </c>
      <c r="AG51" s="126">
        <f>HLOOKUP(AF$4,[1]Anx!$C$86:$CO$121,AE51)</f>
        <v>0</v>
      </c>
      <c r="AH51" s="61">
        <f t="shared" si="2"/>
        <v>0</v>
      </c>
      <c r="AI51" s="129">
        <f>Troupeau!C105</f>
        <v>0</v>
      </c>
      <c r="AK51" s="54">
        <f t="shared" si="3"/>
        <v>0</v>
      </c>
      <c r="AL51" s="54">
        <f t="shared" si="8"/>
        <v>0</v>
      </c>
      <c r="AM51" s="54">
        <f t="shared" si="8"/>
        <v>0</v>
      </c>
      <c r="AN51" s="54">
        <f t="shared" si="15"/>
        <v>0</v>
      </c>
      <c r="AO51" s="54">
        <f t="shared" si="15"/>
        <v>0</v>
      </c>
      <c r="AP51" s="54">
        <f t="shared" si="15"/>
        <v>0</v>
      </c>
      <c r="AQ51" s="54">
        <f t="shared" si="15"/>
        <v>0</v>
      </c>
      <c r="AR51" s="54">
        <f t="shared" si="15"/>
        <v>0</v>
      </c>
      <c r="AS51" s="54">
        <f t="shared" si="15"/>
        <v>0</v>
      </c>
      <c r="AT51" s="54">
        <f t="shared" si="15"/>
        <v>0</v>
      </c>
      <c r="AU51" s="54">
        <f t="shared" si="15"/>
        <v>0</v>
      </c>
      <c r="AV51" s="54">
        <f t="shared" si="15"/>
        <v>0</v>
      </c>
      <c r="AW51" s="54">
        <f t="shared" si="15"/>
        <v>0</v>
      </c>
      <c r="AX51" s="54">
        <f t="shared" si="15"/>
        <v>0</v>
      </c>
      <c r="AY51" s="54">
        <f t="shared" si="15"/>
        <v>0</v>
      </c>
      <c r="AZ51" s="54">
        <f t="shared" si="15"/>
        <v>0</v>
      </c>
      <c r="BA51" s="54">
        <f t="shared" si="15"/>
        <v>0</v>
      </c>
      <c r="BB51" s="54">
        <f t="shared" si="15"/>
        <v>0</v>
      </c>
      <c r="BC51" s="54">
        <f t="shared" si="15"/>
        <v>0</v>
      </c>
      <c r="BD51" s="54">
        <f t="shared" si="11"/>
        <v>0</v>
      </c>
      <c r="BE51" s="54">
        <f t="shared" si="11"/>
        <v>0</v>
      </c>
      <c r="BF51" s="54">
        <f t="shared" si="11"/>
        <v>0</v>
      </c>
      <c r="BG51" s="54">
        <f t="shared" si="11"/>
        <v>0</v>
      </c>
      <c r="BH51" s="54">
        <f t="shared" si="11"/>
        <v>0</v>
      </c>
      <c r="BI51" s="54">
        <f t="shared" si="11"/>
        <v>0</v>
      </c>
      <c r="BJ51" s="54">
        <f t="shared" si="11"/>
        <v>0</v>
      </c>
      <c r="BK51" s="54">
        <f t="shared" si="11"/>
        <v>0</v>
      </c>
      <c r="BL51" s="54">
        <f t="shared" si="11"/>
        <v>0</v>
      </c>
      <c r="BM51" s="54">
        <f t="shared" si="11"/>
        <v>0</v>
      </c>
      <c r="BN51" s="54">
        <f t="shared" si="11"/>
        <v>0</v>
      </c>
      <c r="BO51" s="54">
        <f t="shared" si="11"/>
        <v>0</v>
      </c>
      <c r="BP51" s="54">
        <f t="shared" si="11"/>
        <v>0</v>
      </c>
      <c r="BQ51" s="54">
        <f t="shared" si="11"/>
        <v>0</v>
      </c>
      <c r="BR51" s="54">
        <f t="shared" si="11"/>
        <v>0</v>
      </c>
      <c r="BS51" s="54">
        <f t="shared" si="11"/>
        <v>0</v>
      </c>
      <c r="BT51" s="54">
        <f t="shared" si="9"/>
        <v>0</v>
      </c>
      <c r="BU51" s="54">
        <f t="shared" si="9"/>
        <v>0</v>
      </c>
      <c r="BV51" s="54">
        <f t="shared" si="9"/>
        <v>0</v>
      </c>
      <c r="BW51" s="54">
        <f t="shared" si="10"/>
        <v>0</v>
      </c>
      <c r="BX51" s="54">
        <f t="shared" si="10"/>
        <v>0</v>
      </c>
      <c r="BY51" s="54">
        <f t="shared" si="10"/>
        <v>0</v>
      </c>
      <c r="BZ51" s="54">
        <f t="shared" si="10"/>
        <v>0</v>
      </c>
      <c r="CA51" s="54">
        <f t="shared" si="10"/>
        <v>0</v>
      </c>
      <c r="CB51" s="54">
        <f t="shared" si="10"/>
        <v>0</v>
      </c>
      <c r="CC51" s="54">
        <f t="shared" si="10"/>
        <v>0</v>
      </c>
      <c r="CD51" s="54">
        <f t="shared" si="10"/>
        <v>0</v>
      </c>
      <c r="CE51" s="54">
        <f t="shared" si="10"/>
        <v>0</v>
      </c>
    </row>
    <row r="52" spans="1:83" x14ac:dyDescent="0.25">
      <c r="A52" s="127" t="str">
        <f>A$15</f>
        <v>lot1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52"/>
      <c r="AC52" t="s">
        <v>410</v>
      </c>
      <c r="AE52" s="17">
        <v>36</v>
      </c>
      <c r="AG52" s="126">
        <f>HLOOKUP(AF$4,[1]Anx!$C$86:$CO$121,AE52)</f>
        <v>0</v>
      </c>
      <c r="AH52" s="61">
        <f t="shared" si="2"/>
        <v>0</v>
      </c>
      <c r="AI52" s="129">
        <f>Troupeau!C106</f>
        <v>0</v>
      </c>
      <c r="AK52" s="54">
        <f t="shared" si="3"/>
        <v>0</v>
      </c>
      <c r="AL52" s="54">
        <f t="shared" si="8"/>
        <v>0</v>
      </c>
      <c r="AM52" s="54">
        <f t="shared" si="8"/>
        <v>0</v>
      </c>
      <c r="AN52" s="54">
        <f t="shared" si="15"/>
        <v>0</v>
      </c>
      <c r="AO52" s="54">
        <f t="shared" si="15"/>
        <v>0</v>
      </c>
      <c r="AP52" s="54">
        <f t="shared" si="15"/>
        <v>0</v>
      </c>
      <c r="AQ52" s="54">
        <f t="shared" si="15"/>
        <v>0</v>
      </c>
      <c r="AR52" s="54">
        <f t="shared" si="15"/>
        <v>0</v>
      </c>
      <c r="AS52" s="54">
        <f t="shared" si="15"/>
        <v>0</v>
      </c>
      <c r="AT52" s="54">
        <f t="shared" si="15"/>
        <v>0</v>
      </c>
      <c r="AU52" s="54">
        <f t="shared" si="15"/>
        <v>0</v>
      </c>
      <c r="AV52" s="54">
        <f t="shared" si="15"/>
        <v>0</v>
      </c>
      <c r="AW52" s="54">
        <f t="shared" si="15"/>
        <v>0</v>
      </c>
      <c r="AX52" s="54">
        <f t="shared" si="15"/>
        <v>0</v>
      </c>
      <c r="AY52" s="54">
        <f t="shared" si="15"/>
        <v>0</v>
      </c>
      <c r="AZ52" s="54">
        <f t="shared" si="15"/>
        <v>0</v>
      </c>
      <c r="BA52" s="54">
        <f t="shared" si="15"/>
        <v>0</v>
      </c>
      <c r="BB52" s="54">
        <f t="shared" si="15"/>
        <v>0</v>
      </c>
      <c r="BC52" s="54">
        <f t="shared" si="15"/>
        <v>0</v>
      </c>
      <c r="BD52" s="54">
        <f t="shared" si="11"/>
        <v>0</v>
      </c>
      <c r="BE52" s="54">
        <f t="shared" si="11"/>
        <v>0</v>
      </c>
      <c r="BF52" s="54">
        <f t="shared" si="11"/>
        <v>0</v>
      </c>
      <c r="BG52" s="54">
        <f t="shared" si="11"/>
        <v>0</v>
      </c>
      <c r="BH52" s="54">
        <f t="shared" si="11"/>
        <v>0</v>
      </c>
      <c r="BI52" s="54">
        <f t="shared" si="11"/>
        <v>0</v>
      </c>
      <c r="BJ52" s="54">
        <f t="shared" si="11"/>
        <v>0</v>
      </c>
      <c r="BK52" s="54">
        <f t="shared" si="11"/>
        <v>0</v>
      </c>
      <c r="BL52" s="54">
        <f t="shared" si="11"/>
        <v>0</v>
      </c>
      <c r="BM52" s="54">
        <f t="shared" si="11"/>
        <v>0</v>
      </c>
      <c r="BN52" s="54">
        <f t="shared" si="11"/>
        <v>0</v>
      </c>
      <c r="BO52" s="54">
        <f t="shared" si="11"/>
        <v>0</v>
      </c>
      <c r="BP52" s="54">
        <f t="shared" si="11"/>
        <v>0</v>
      </c>
      <c r="BQ52" s="54">
        <f t="shared" si="11"/>
        <v>0</v>
      </c>
      <c r="BR52" s="54">
        <f t="shared" si="11"/>
        <v>0</v>
      </c>
      <c r="BS52" s="54">
        <f t="shared" si="11"/>
        <v>0</v>
      </c>
      <c r="BT52" s="54">
        <f t="shared" si="9"/>
        <v>0</v>
      </c>
      <c r="BU52" s="54">
        <f t="shared" si="9"/>
        <v>0</v>
      </c>
      <c r="BV52" s="54">
        <f t="shared" si="9"/>
        <v>0</v>
      </c>
      <c r="BW52" s="54">
        <f t="shared" si="10"/>
        <v>0</v>
      </c>
      <c r="BX52" s="54">
        <f t="shared" si="10"/>
        <v>0</v>
      </c>
      <c r="BY52" s="54">
        <f t="shared" si="10"/>
        <v>0</v>
      </c>
      <c r="BZ52" s="54">
        <f t="shared" si="10"/>
        <v>0</v>
      </c>
      <c r="CA52" s="54">
        <f t="shared" si="10"/>
        <v>0</v>
      </c>
      <c r="CB52" s="54">
        <f t="shared" si="10"/>
        <v>0</v>
      </c>
      <c r="CC52" s="54">
        <f t="shared" si="10"/>
        <v>0</v>
      </c>
      <c r="CD52" s="54">
        <f t="shared" si="10"/>
        <v>0</v>
      </c>
      <c r="CE52" s="54">
        <f t="shared" si="10"/>
        <v>0</v>
      </c>
    </row>
    <row r="53" spans="1:83" x14ac:dyDescent="0.25">
      <c r="A53" s="128" t="str">
        <f>A$16</f>
        <v>lot2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52"/>
      <c r="AG53" s="5"/>
    </row>
    <row r="54" spans="1:83" x14ac:dyDescent="0.25">
      <c r="A54" s="128" t="str">
        <f>A$17</f>
        <v>lot3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52"/>
      <c r="AG54" s="5"/>
      <c r="AJ54" t="s">
        <v>13</v>
      </c>
      <c r="AK54" s="84">
        <f>SUM(AK18:AK52)</f>
        <v>0</v>
      </c>
      <c r="AL54" s="84">
        <f t="shared" ref="AL54:CE54" si="16">SUM(AL18:AL52)</f>
        <v>0</v>
      </c>
      <c r="AM54" s="84">
        <f t="shared" si="16"/>
        <v>0</v>
      </c>
      <c r="AN54" s="84">
        <f t="shared" si="16"/>
        <v>0</v>
      </c>
      <c r="AO54" s="84">
        <f t="shared" si="16"/>
        <v>0</v>
      </c>
      <c r="AP54" s="84">
        <f t="shared" si="16"/>
        <v>0</v>
      </c>
      <c r="AQ54" s="84">
        <f t="shared" si="16"/>
        <v>0</v>
      </c>
      <c r="AR54" s="84">
        <f t="shared" si="16"/>
        <v>0</v>
      </c>
      <c r="AS54" s="84">
        <f t="shared" si="16"/>
        <v>0</v>
      </c>
      <c r="AT54" s="84">
        <f t="shared" si="16"/>
        <v>0</v>
      </c>
      <c r="AU54" s="84">
        <f t="shared" si="16"/>
        <v>0</v>
      </c>
      <c r="AV54" s="84">
        <f t="shared" si="16"/>
        <v>0</v>
      </c>
      <c r="AW54" s="84">
        <f t="shared" si="16"/>
        <v>0</v>
      </c>
      <c r="AX54" s="84">
        <f t="shared" si="16"/>
        <v>0</v>
      </c>
      <c r="AY54" s="84">
        <f t="shared" si="16"/>
        <v>0</v>
      </c>
      <c r="AZ54" s="84">
        <f t="shared" si="16"/>
        <v>0</v>
      </c>
      <c r="BA54" s="84">
        <f t="shared" si="16"/>
        <v>0</v>
      </c>
      <c r="BB54" s="84">
        <f t="shared" si="16"/>
        <v>0</v>
      </c>
      <c r="BC54" s="84">
        <f t="shared" si="16"/>
        <v>0</v>
      </c>
      <c r="BD54" s="84">
        <f t="shared" si="16"/>
        <v>0</v>
      </c>
      <c r="BE54" s="84">
        <f t="shared" si="16"/>
        <v>0</v>
      </c>
      <c r="BF54" s="84">
        <f t="shared" si="16"/>
        <v>0</v>
      </c>
      <c r="BG54" s="84">
        <f t="shared" si="16"/>
        <v>0</v>
      </c>
      <c r="BH54" s="84">
        <f t="shared" si="16"/>
        <v>0</v>
      </c>
      <c r="BI54" s="84">
        <f t="shared" si="16"/>
        <v>0</v>
      </c>
      <c r="BJ54" s="84">
        <f t="shared" si="16"/>
        <v>0</v>
      </c>
      <c r="BK54" s="84">
        <f t="shared" si="16"/>
        <v>0</v>
      </c>
      <c r="BL54" s="84">
        <f t="shared" si="16"/>
        <v>0</v>
      </c>
      <c r="BM54" s="84">
        <f t="shared" si="16"/>
        <v>0</v>
      </c>
      <c r="BN54" s="84">
        <f t="shared" si="16"/>
        <v>0</v>
      </c>
      <c r="BO54" s="84">
        <f t="shared" si="16"/>
        <v>0</v>
      </c>
      <c r="BP54" s="84">
        <f t="shared" si="16"/>
        <v>0</v>
      </c>
      <c r="BQ54" s="84">
        <f t="shared" si="16"/>
        <v>0</v>
      </c>
      <c r="BR54" s="84">
        <f t="shared" si="16"/>
        <v>0</v>
      </c>
      <c r="BS54" s="84">
        <f t="shared" si="16"/>
        <v>0</v>
      </c>
      <c r="BT54" s="84">
        <f t="shared" si="16"/>
        <v>0</v>
      </c>
      <c r="BU54" s="84">
        <f t="shared" si="16"/>
        <v>0</v>
      </c>
      <c r="BV54" s="84">
        <f t="shared" si="16"/>
        <v>0</v>
      </c>
      <c r="BW54" s="84">
        <f t="shared" si="16"/>
        <v>0</v>
      </c>
      <c r="BX54" s="84">
        <f t="shared" si="16"/>
        <v>0</v>
      </c>
      <c r="BY54" s="84">
        <f t="shared" si="16"/>
        <v>0</v>
      </c>
      <c r="BZ54" s="84">
        <f t="shared" si="16"/>
        <v>0</v>
      </c>
      <c r="CA54" s="84">
        <f t="shared" si="16"/>
        <v>0</v>
      </c>
      <c r="CB54" s="84">
        <f t="shared" si="16"/>
        <v>0</v>
      </c>
      <c r="CC54" s="84">
        <f t="shared" si="16"/>
        <v>0</v>
      </c>
      <c r="CD54" s="84">
        <f t="shared" si="16"/>
        <v>0</v>
      </c>
      <c r="CE54" s="84">
        <f t="shared" si="16"/>
        <v>0</v>
      </c>
    </row>
    <row r="55" spans="1:83" x14ac:dyDescent="0.25">
      <c r="A55" s="127" t="str">
        <f>A$18</f>
        <v>lot4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52"/>
      <c r="AB55" s="2" t="s">
        <v>180</v>
      </c>
      <c r="AC55" s="2"/>
      <c r="AE55" s="86"/>
      <c r="AG55" s="5"/>
    </row>
    <row r="56" spans="1:83" x14ac:dyDescent="0.25">
      <c r="A56" s="128" t="str">
        <f>A$19</f>
        <v>lot5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52"/>
      <c r="AB56" t="s">
        <v>184</v>
      </c>
      <c r="AC56" t="s">
        <v>185</v>
      </c>
      <c r="AD56" s="61">
        <f>AA73*AF5/1000</f>
        <v>0</v>
      </c>
      <c r="AE56" s="87"/>
      <c r="AF56" t="s">
        <v>190</v>
      </c>
      <c r="AG56" s="5"/>
    </row>
    <row r="57" spans="1:83" x14ac:dyDescent="0.25">
      <c r="A57" s="127" t="str">
        <f>A$20</f>
        <v>lot6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52"/>
      <c r="AB57" t="s">
        <v>186</v>
      </c>
      <c r="AC57" t="s">
        <v>187</v>
      </c>
      <c r="AD57" s="61">
        <f>AD59*AD60/1000</f>
        <v>0</v>
      </c>
      <c r="AE57" s="87"/>
      <c r="AF57" t="s">
        <v>190</v>
      </c>
      <c r="AG57" s="5"/>
    </row>
    <row r="58" spans="1:83" x14ac:dyDescent="0.25">
      <c r="A58" s="128" t="str">
        <f>A$21</f>
        <v>lot7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52"/>
      <c r="AD58" s="82"/>
      <c r="AE58" s="88"/>
      <c r="AG58" s="5"/>
    </row>
    <row r="59" spans="1:83" x14ac:dyDescent="0.25">
      <c r="A59" s="128" t="str">
        <f>A$22</f>
        <v>lot8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52"/>
      <c r="AB59" t="s">
        <v>188</v>
      </c>
      <c r="AD59" s="60"/>
      <c r="AE59" s="87"/>
      <c r="AG59" s="5"/>
    </row>
    <row r="60" spans="1:83" x14ac:dyDescent="0.25">
      <c r="A60" s="127" t="str">
        <f>A$23</f>
        <v>lot9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52"/>
      <c r="AB60" t="s">
        <v>189</v>
      </c>
      <c r="AD60" s="60"/>
      <c r="AE60" s="87"/>
      <c r="AG60" s="5"/>
    </row>
    <row r="61" spans="1:83" x14ac:dyDescent="0.25">
      <c r="A61" s="128" t="str">
        <f>A$24</f>
        <v>lot10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52"/>
      <c r="AB61" s="15" t="s">
        <v>226</v>
      </c>
      <c r="AD61" s="80"/>
      <c r="AE61" s="88"/>
      <c r="AG61" s="5"/>
    </row>
    <row r="62" spans="1:83" s="5" customFormat="1" x14ac:dyDescent="0.25">
      <c r="A62" s="55" t="s">
        <v>178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52"/>
      <c r="AE62" s="86"/>
    </row>
    <row r="63" spans="1:83" s="5" customFormat="1" hidden="1" x14ac:dyDescent="0.25">
      <c r="A63" s="38" t="str">
        <f>A$15</f>
        <v>lot1</v>
      </c>
      <c r="B63" s="61">
        <f t="shared" ref="B63:Y72" si="17">B39*B52*B$3</f>
        <v>0</v>
      </c>
      <c r="C63" s="61">
        <f t="shared" si="17"/>
        <v>0</v>
      </c>
      <c r="D63" s="61">
        <f t="shared" si="17"/>
        <v>0</v>
      </c>
      <c r="E63" s="61">
        <f t="shared" si="17"/>
        <v>0</v>
      </c>
      <c r="F63" s="61">
        <f t="shared" si="17"/>
        <v>0</v>
      </c>
      <c r="G63" s="61">
        <f t="shared" si="17"/>
        <v>0</v>
      </c>
      <c r="H63" s="61">
        <f t="shared" si="17"/>
        <v>0</v>
      </c>
      <c r="I63" s="61">
        <f t="shared" si="17"/>
        <v>0</v>
      </c>
      <c r="J63" s="61">
        <f t="shared" si="17"/>
        <v>0</v>
      </c>
      <c r="K63" s="61">
        <f t="shared" si="17"/>
        <v>0</v>
      </c>
      <c r="L63" s="61">
        <f t="shared" si="17"/>
        <v>0</v>
      </c>
      <c r="M63" s="61">
        <f t="shared" si="17"/>
        <v>0</v>
      </c>
      <c r="N63" s="61">
        <f t="shared" si="17"/>
        <v>0</v>
      </c>
      <c r="O63" s="61">
        <f t="shared" si="17"/>
        <v>0</v>
      </c>
      <c r="P63" s="61">
        <f t="shared" si="17"/>
        <v>0</v>
      </c>
      <c r="Q63" s="61">
        <f t="shared" si="17"/>
        <v>0</v>
      </c>
      <c r="R63" s="61">
        <f t="shared" si="17"/>
        <v>0</v>
      </c>
      <c r="S63" s="61">
        <f t="shared" si="17"/>
        <v>0</v>
      </c>
      <c r="T63" s="61">
        <f t="shared" si="17"/>
        <v>0</v>
      </c>
      <c r="U63" s="61">
        <f t="shared" si="17"/>
        <v>0</v>
      </c>
      <c r="V63" s="61">
        <f t="shared" si="17"/>
        <v>0</v>
      </c>
      <c r="W63" s="61">
        <f t="shared" si="17"/>
        <v>0</v>
      </c>
      <c r="X63" s="61">
        <f t="shared" si="17"/>
        <v>0</v>
      </c>
      <c r="Y63" s="61">
        <f t="shared" si="17"/>
        <v>0</v>
      </c>
      <c r="Z63" s="52"/>
      <c r="AE63" s="86"/>
    </row>
    <row r="64" spans="1:83" s="5" customFormat="1" hidden="1" x14ac:dyDescent="0.25">
      <c r="A64" s="38" t="str">
        <f>A$16</f>
        <v>lot2</v>
      </c>
      <c r="B64" s="61">
        <f t="shared" si="17"/>
        <v>0</v>
      </c>
      <c r="C64" s="61">
        <f t="shared" si="17"/>
        <v>0</v>
      </c>
      <c r="D64" s="61">
        <f t="shared" si="17"/>
        <v>0</v>
      </c>
      <c r="E64" s="61">
        <f t="shared" si="17"/>
        <v>0</v>
      </c>
      <c r="F64" s="61">
        <f t="shared" si="17"/>
        <v>0</v>
      </c>
      <c r="G64" s="61">
        <f t="shared" si="17"/>
        <v>0</v>
      </c>
      <c r="H64" s="61">
        <f t="shared" si="17"/>
        <v>0</v>
      </c>
      <c r="I64" s="61">
        <f t="shared" si="17"/>
        <v>0</v>
      </c>
      <c r="J64" s="61">
        <f t="shared" si="17"/>
        <v>0</v>
      </c>
      <c r="K64" s="61">
        <f t="shared" si="17"/>
        <v>0</v>
      </c>
      <c r="L64" s="61">
        <f t="shared" si="17"/>
        <v>0</v>
      </c>
      <c r="M64" s="61">
        <f t="shared" si="17"/>
        <v>0</v>
      </c>
      <c r="N64" s="61">
        <f t="shared" si="17"/>
        <v>0</v>
      </c>
      <c r="O64" s="61">
        <f t="shared" si="17"/>
        <v>0</v>
      </c>
      <c r="P64" s="61">
        <f t="shared" si="17"/>
        <v>0</v>
      </c>
      <c r="Q64" s="61">
        <f t="shared" si="17"/>
        <v>0</v>
      </c>
      <c r="R64" s="61">
        <f t="shared" si="17"/>
        <v>0</v>
      </c>
      <c r="S64" s="61">
        <f t="shared" si="17"/>
        <v>0</v>
      </c>
      <c r="T64" s="61">
        <f t="shared" si="17"/>
        <v>0</v>
      </c>
      <c r="U64" s="61">
        <f t="shared" si="17"/>
        <v>0</v>
      </c>
      <c r="V64" s="61">
        <f t="shared" si="17"/>
        <v>0</v>
      </c>
      <c r="W64" s="61">
        <f t="shared" si="17"/>
        <v>0</v>
      </c>
      <c r="X64" s="61">
        <f t="shared" si="17"/>
        <v>0</v>
      </c>
      <c r="Y64" s="61">
        <f t="shared" si="17"/>
        <v>0</v>
      </c>
      <c r="Z64" s="52"/>
      <c r="AE64" s="86"/>
    </row>
    <row r="65" spans="1:33" s="5" customFormat="1" hidden="1" x14ac:dyDescent="0.25">
      <c r="A65" s="38" t="str">
        <f>A$17</f>
        <v>lot3</v>
      </c>
      <c r="B65" s="61">
        <f t="shared" si="17"/>
        <v>0</v>
      </c>
      <c r="C65" s="61">
        <f t="shared" si="17"/>
        <v>0</v>
      </c>
      <c r="D65" s="61">
        <f t="shared" si="17"/>
        <v>0</v>
      </c>
      <c r="E65" s="61">
        <f t="shared" si="17"/>
        <v>0</v>
      </c>
      <c r="F65" s="61">
        <f t="shared" si="17"/>
        <v>0</v>
      </c>
      <c r="G65" s="61">
        <f t="shared" si="17"/>
        <v>0</v>
      </c>
      <c r="H65" s="61">
        <f t="shared" si="17"/>
        <v>0</v>
      </c>
      <c r="I65" s="61">
        <f t="shared" si="17"/>
        <v>0</v>
      </c>
      <c r="J65" s="61">
        <f t="shared" si="17"/>
        <v>0</v>
      </c>
      <c r="K65" s="61">
        <f t="shared" si="17"/>
        <v>0</v>
      </c>
      <c r="L65" s="61">
        <f t="shared" si="17"/>
        <v>0</v>
      </c>
      <c r="M65" s="61">
        <f t="shared" si="17"/>
        <v>0</v>
      </c>
      <c r="N65" s="61">
        <f t="shared" si="17"/>
        <v>0</v>
      </c>
      <c r="O65" s="61">
        <f t="shared" si="17"/>
        <v>0</v>
      </c>
      <c r="P65" s="61">
        <f t="shared" si="17"/>
        <v>0</v>
      </c>
      <c r="Q65" s="61">
        <f t="shared" si="17"/>
        <v>0</v>
      </c>
      <c r="R65" s="61">
        <f t="shared" si="17"/>
        <v>0</v>
      </c>
      <c r="S65" s="61">
        <f t="shared" si="17"/>
        <v>0</v>
      </c>
      <c r="T65" s="61">
        <f t="shared" si="17"/>
        <v>0</v>
      </c>
      <c r="U65" s="61">
        <f t="shared" si="17"/>
        <v>0</v>
      </c>
      <c r="V65" s="61">
        <f t="shared" si="17"/>
        <v>0</v>
      </c>
      <c r="W65" s="61">
        <f t="shared" si="17"/>
        <v>0</v>
      </c>
      <c r="X65" s="61">
        <f t="shared" si="17"/>
        <v>0</v>
      </c>
      <c r="Y65" s="61">
        <f t="shared" si="17"/>
        <v>0</v>
      </c>
      <c r="Z65" s="52"/>
      <c r="AE65" s="86"/>
    </row>
    <row r="66" spans="1:33" s="5" customFormat="1" hidden="1" x14ac:dyDescent="0.25">
      <c r="A66" s="38" t="str">
        <f>A$18</f>
        <v>lot4</v>
      </c>
      <c r="B66" s="61">
        <f t="shared" si="17"/>
        <v>0</v>
      </c>
      <c r="C66" s="61">
        <f t="shared" si="17"/>
        <v>0</v>
      </c>
      <c r="D66" s="61">
        <f t="shared" si="17"/>
        <v>0</v>
      </c>
      <c r="E66" s="61">
        <f t="shared" si="17"/>
        <v>0</v>
      </c>
      <c r="F66" s="61">
        <f t="shared" si="17"/>
        <v>0</v>
      </c>
      <c r="G66" s="61">
        <f t="shared" si="17"/>
        <v>0</v>
      </c>
      <c r="H66" s="61">
        <f t="shared" si="17"/>
        <v>0</v>
      </c>
      <c r="I66" s="61">
        <f t="shared" si="17"/>
        <v>0</v>
      </c>
      <c r="J66" s="61">
        <f t="shared" si="17"/>
        <v>0</v>
      </c>
      <c r="K66" s="61">
        <f t="shared" si="17"/>
        <v>0</v>
      </c>
      <c r="L66" s="61">
        <f t="shared" si="17"/>
        <v>0</v>
      </c>
      <c r="M66" s="61">
        <f t="shared" si="17"/>
        <v>0</v>
      </c>
      <c r="N66" s="61">
        <f t="shared" si="17"/>
        <v>0</v>
      </c>
      <c r="O66" s="61">
        <f t="shared" si="17"/>
        <v>0</v>
      </c>
      <c r="P66" s="61">
        <f t="shared" si="17"/>
        <v>0</v>
      </c>
      <c r="Q66" s="61">
        <f t="shared" si="17"/>
        <v>0</v>
      </c>
      <c r="R66" s="61">
        <f t="shared" si="17"/>
        <v>0</v>
      </c>
      <c r="S66" s="61">
        <f t="shared" si="17"/>
        <v>0</v>
      </c>
      <c r="T66" s="61">
        <f t="shared" si="17"/>
        <v>0</v>
      </c>
      <c r="U66" s="61">
        <f t="shared" si="17"/>
        <v>0</v>
      </c>
      <c r="V66" s="61">
        <f t="shared" si="17"/>
        <v>0</v>
      </c>
      <c r="W66" s="61">
        <f t="shared" si="17"/>
        <v>0</v>
      </c>
      <c r="X66" s="61">
        <f t="shared" si="17"/>
        <v>0</v>
      </c>
      <c r="Y66" s="61">
        <f t="shared" si="17"/>
        <v>0</v>
      </c>
      <c r="Z66" s="52"/>
      <c r="AE66" s="86"/>
    </row>
    <row r="67" spans="1:33" s="5" customFormat="1" hidden="1" x14ac:dyDescent="0.25">
      <c r="A67" s="38" t="str">
        <f>A$19</f>
        <v>lot5</v>
      </c>
      <c r="B67" s="61">
        <f t="shared" si="17"/>
        <v>0</v>
      </c>
      <c r="C67" s="61">
        <f t="shared" si="17"/>
        <v>0</v>
      </c>
      <c r="D67" s="61">
        <f t="shared" si="17"/>
        <v>0</v>
      </c>
      <c r="E67" s="61">
        <f t="shared" si="17"/>
        <v>0</v>
      </c>
      <c r="F67" s="61">
        <f t="shared" si="17"/>
        <v>0</v>
      </c>
      <c r="G67" s="61">
        <f t="shared" si="17"/>
        <v>0</v>
      </c>
      <c r="H67" s="61">
        <f t="shared" si="17"/>
        <v>0</v>
      </c>
      <c r="I67" s="61">
        <f t="shared" si="17"/>
        <v>0</v>
      </c>
      <c r="J67" s="61">
        <f t="shared" si="17"/>
        <v>0</v>
      </c>
      <c r="K67" s="61">
        <f t="shared" si="17"/>
        <v>0</v>
      </c>
      <c r="L67" s="61">
        <f t="shared" si="17"/>
        <v>0</v>
      </c>
      <c r="M67" s="61">
        <f t="shared" si="17"/>
        <v>0</v>
      </c>
      <c r="N67" s="61">
        <f t="shared" si="17"/>
        <v>0</v>
      </c>
      <c r="O67" s="61">
        <f t="shared" si="17"/>
        <v>0</v>
      </c>
      <c r="P67" s="61">
        <f t="shared" si="17"/>
        <v>0</v>
      </c>
      <c r="Q67" s="61">
        <f t="shared" si="17"/>
        <v>0</v>
      </c>
      <c r="R67" s="61">
        <f t="shared" si="17"/>
        <v>0</v>
      </c>
      <c r="S67" s="61">
        <f t="shared" si="17"/>
        <v>0</v>
      </c>
      <c r="T67" s="61">
        <f t="shared" si="17"/>
        <v>0</v>
      </c>
      <c r="U67" s="61">
        <f t="shared" si="17"/>
        <v>0</v>
      </c>
      <c r="V67" s="61">
        <f t="shared" si="17"/>
        <v>0</v>
      </c>
      <c r="W67" s="61">
        <f t="shared" si="17"/>
        <v>0</v>
      </c>
      <c r="X67" s="61">
        <f t="shared" si="17"/>
        <v>0</v>
      </c>
      <c r="Y67" s="61">
        <f t="shared" si="17"/>
        <v>0</v>
      </c>
      <c r="Z67" s="52"/>
      <c r="AE67" s="86"/>
    </row>
    <row r="68" spans="1:33" s="5" customFormat="1" hidden="1" x14ac:dyDescent="0.25">
      <c r="A68" s="38" t="str">
        <f>A$20</f>
        <v>lot6</v>
      </c>
      <c r="B68" s="61">
        <f t="shared" si="17"/>
        <v>0</v>
      </c>
      <c r="C68" s="61">
        <f t="shared" si="17"/>
        <v>0</v>
      </c>
      <c r="D68" s="61">
        <f t="shared" si="17"/>
        <v>0</v>
      </c>
      <c r="E68" s="61">
        <f t="shared" si="17"/>
        <v>0</v>
      </c>
      <c r="F68" s="61">
        <f t="shared" si="17"/>
        <v>0</v>
      </c>
      <c r="G68" s="61">
        <f t="shared" si="17"/>
        <v>0</v>
      </c>
      <c r="H68" s="61">
        <f t="shared" si="17"/>
        <v>0</v>
      </c>
      <c r="I68" s="61">
        <f t="shared" si="17"/>
        <v>0</v>
      </c>
      <c r="J68" s="61">
        <f t="shared" si="17"/>
        <v>0</v>
      </c>
      <c r="K68" s="61">
        <f t="shared" si="17"/>
        <v>0</v>
      </c>
      <c r="L68" s="61">
        <f t="shared" si="17"/>
        <v>0</v>
      </c>
      <c r="M68" s="61">
        <f t="shared" si="17"/>
        <v>0</v>
      </c>
      <c r="N68" s="61">
        <f t="shared" si="17"/>
        <v>0</v>
      </c>
      <c r="O68" s="61">
        <f t="shared" si="17"/>
        <v>0</v>
      </c>
      <c r="P68" s="61">
        <f t="shared" si="17"/>
        <v>0</v>
      </c>
      <c r="Q68" s="61">
        <f t="shared" si="17"/>
        <v>0</v>
      </c>
      <c r="R68" s="61">
        <f t="shared" si="17"/>
        <v>0</v>
      </c>
      <c r="S68" s="61">
        <f t="shared" si="17"/>
        <v>0</v>
      </c>
      <c r="T68" s="61">
        <f t="shared" si="17"/>
        <v>0</v>
      </c>
      <c r="U68" s="61">
        <f t="shared" si="17"/>
        <v>0</v>
      </c>
      <c r="V68" s="61">
        <f t="shared" si="17"/>
        <v>0</v>
      </c>
      <c r="W68" s="61">
        <f t="shared" si="17"/>
        <v>0</v>
      </c>
      <c r="X68" s="61">
        <f t="shared" si="17"/>
        <v>0</v>
      </c>
      <c r="Y68" s="61">
        <f t="shared" si="17"/>
        <v>0</v>
      </c>
      <c r="Z68" s="52"/>
      <c r="AE68" s="86"/>
    </row>
    <row r="69" spans="1:33" s="5" customFormat="1" hidden="1" x14ac:dyDescent="0.25">
      <c r="A69" s="38" t="str">
        <f>A$21</f>
        <v>lot7</v>
      </c>
      <c r="B69" s="61">
        <f t="shared" si="17"/>
        <v>0</v>
      </c>
      <c r="C69" s="61">
        <f t="shared" si="17"/>
        <v>0</v>
      </c>
      <c r="D69" s="61">
        <f t="shared" si="17"/>
        <v>0</v>
      </c>
      <c r="E69" s="61">
        <f t="shared" si="17"/>
        <v>0</v>
      </c>
      <c r="F69" s="61">
        <f t="shared" si="17"/>
        <v>0</v>
      </c>
      <c r="G69" s="61">
        <f t="shared" si="17"/>
        <v>0</v>
      </c>
      <c r="H69" s="61">
        <f t="shared" si="17"/>
        <v>0</v>
      </c>
      <c r="I69" s="61">
        <f t="shared" si="17"/>
        <v>0</v>
      </c>
      <c r="J69" s="61">
        <f t="shared" si="17"/>
        <v>0</v>
      </c>
      <c r="K69" s="61">
        <f t="shared" si="17"/>
        <v>0</v>
      </c>
      <c r="L69" s="61">
        <f t="shared" si="17"/>
        <v>0</v>
      </c>
      <c r="M69" s="61">
        <f t="shared" si="17"/>
        <v>0</v>
      </c>
      <c r="N69" s="61">
        <f t="shared" si="17"/>
        <v>0</v>
      </c>
      <c r="O69" s="61">
        <f t="shared" si="17"/>
        <v>0</v>
      </c>
      <c r="P69" s="61">
        <f t="shared" si="17"/>
        <v>0</v>
      </c>
      <c r="Q69" s="61">
        <f t="shared" si="17"/>
        <v>0</v>
      </c>
      <c r="R69" s="61">
        <f t="shared" si="17"/>
        <v>0</v>
      </c>
      <c r="S69" s="61">
        <f t="shared" si="17"/>
        <v>0</v>
      </c>
      <c r="T69" s="61">
        <f t="shared" si="17"/>
        <v>0</v>
      </c>
      <c r="U69" s="61">
        <f t="shared" si="17"/>
        <v>0</v>
      </c>
      <c r="V69" s="61">
        <f t="shared" si="17"/>
        <v>0</v>
      </c>
      <c r="W69" s="61">
        <f t="shared" si="17"/>
        <v>0</v>
      </c>
      <c r="X69" s="61">
        <f t="shared" si="17"/>
        <v>0</v>
      </c>
      <c r="Y69" s="61">
        <f t="shared" si="17"/>
        <v>0</v>
      </c>
      <c r="Z69" s="52"/>
      <c r="AE69" s="86"/>
    </row>
    <row r="70" spans="1:33" s="5" customFormat="1" hidden="1" x14ac:dyDescent="0.25">
      <c r="A70" s="38" t="str">
        <f>A$22</f>
        <v>lot8</v>
      </c>
      <c r="B70" s="61">
        <f t="shared" si="17"/>
        <v>0</v>
      </c>
      <c r="C70" s="61">
        <f t="shared" si="17"/>
        <v>0</v>
      </c>
      <c r="D70" s="61">
        <f t="shared" si="17"/>
        <v>0</v>
      </c>
      <c r="E70" s="61">
        <f t="shared" si="17"/>
        <v>0</v>
      </c>
      <c r="F70" s="61">
        <f t="shared" si="17"/>
        <v>0</v>
      </c>
      <c r="G70" s="61">
        <f t="shared" si="17"/>
        <v>0</v>
      </c>
      <c r="H70" s="61">
        <f t="shared" si="17"/>
        <v>0</v>
      </c>
      <c r="I70" s="61">
        <f t="shared" si="17"/>
        <v>0</v>
      </c>
      <c r="J70" s="61">
        <f t="shared" si="17"/>
        <v>0</v>
      </c>
      <c r="K70" s="61">
        <f t="shared" si="17"/>
        <v>0</v>
      </c>
      <c r="L70" s="61">
        <f t="shared" si="17"/>
        <v>0</v>
      </c>
      <c r="M70" s="61">
        <f t="shared" si="17"/>
        <v>0</v>
      </c>
      <c r="N70" s="61">
        <f t="shared" si="17"/>
        <v>0</v>
      </c>
      <c r="O70" s="61">
        <f t="shared" si="17"/>
        <v>0</v>
      </c>
      <c r="P70" s="61">
        <f t="shared" si="17"/>
        <v>0</v>
      </c>
      <c r="Q70" s="61">
        <f t="shared" si="17"/>
        <v>0</v>
      </c>
      <c r="R70" s="61">
        <f t="shared" si="17"/>
        <v>0</v>
      </c>
      <c r="S70" s="61">
        <f t="shared" si="17"/>
        <v>0</v>
      </c>
      <c r="T70" s="61">
        <f t="shared" si="17"/>
        <v>0</v>
      </c>
      <c r="U70" s="61">
        <f t="shared" si="17"/>
        <v>0</v>
      </c>
      <c r="V70" s="61">
        <f t="shared" si="17"/>
        <v>0</v>
      </c>
      <c r="W70" s="61">
        <f t="shared" si="17"/>
        <v>0</v>
      </c>
      <c r="X70" s="61">
        <f t="shared" si="17"/>
        <v>0</v>
      </c>
      <c r="Y70" s="61">
        <f t="shared" si="17"/>
        <v>0</v>
      </c>
      <c r="Z70" s="52"/>
      <c r="AE70" s="86"/>
    </row>
    <row r="71" spans="1:33" s="5" customFormat="1" hidden="1" x14ac:dyDescent="0.25">
      <c r="A71" s="38" t="str">
        <f>A$23</f>
        <v>lot9</v>
      </c>
      <c r="B71" s="61">
        <f t="shared" si="17"/>
        <v>0</v>
      </c>
      <c r="C71" s="61">
        <f t="shared" si="17"/>
        <v>0</v>
      </c>
      <c r="D71" s="61">
        <f t="shared" si="17"/>
        <v>0</v>
      </c>
      <c r="E71" s="61">
        <f t="shared" si="17"/>
        <v>0</v>
      </c>
      <c r="F71" s="61">
        <f t="shared" si="17"/>
        <v>0</v>
      </c>
      <c r="G71" s="61">
        <f t="shared" si="17"/>
        <v>0</v>
      </c>
      <c r="H71" s="61">
        <f t="shared" si="17"/>
        <v>0</v>
      </c>
      <c r="I71" s="61">
        <f t="shared" si="17"/>
        <v>0</v>
      </c>
      <c r="J71" s="61">
        <f t="shared" si="17"/>
        <v>0</v>
      </c>
      <c r="K71" s="61">
        <f t="shared" si="17"/>
        <v>0</v>
      </c>
      <c r="L71" s="61">
        <f t="shared" si="17"/>
        <v>0</v>
      </c>
      <c r="M71" s="61">
        <f t="shared" si="17"/>
        <v>0</v>
      </c>
      <c r="N71" s="61">
        <f t="shared" si="17"/>
        <v>0</v>
      </c>
      <c r="O71" s="61">
        <f t="shared" si="17"/>
        <v>0</v>
      </c>
      <c r="P71" s="61">
        <f t="shared" si="17"/>
        <v>0</v>
      </c>
      <c r="Q71" s="61">
        <f t="shared" si="17"/>
        <v>0</v>
      </c>
      <c r="R71" s="61">
        <f t="shared" si="17"/>
        <v>0</v>
      </c>
      <c r="S71" s="61">
        <f t="shared" si="17"/>
        <v>0</v>
      </c>
      <c r="T71" s="61">
        <f t="shared" si="17"/>
        <v>0</v>
      </c>
      <c r="U71" s="61">
        <f t="shared" si="17"/>
        <v>0</v>
      </c>
      <c r="V71" s="61">
        <f t="shared" si="17"/>
        <v>0</v>
      </c>
      <c r="W71" s="61">
        <f t="shared" si="17"/>
        <v>0</v>
      </c>
      <c r="X71" s="61">
        <f t="shared" si="17"/>
        <v>0</v>
      </c>
      <c r="Y71" s="61">
        <f t="shared" si="17"/>
        <v>0</v>
      </c>
      <c r="Z71" s="52"/>
      <c r="AE71" s="86"/>
    </row>
    <row r="72" spans="1:33" s="5" customFormat="1" hidden="1" x14ac:dyDescent="0.25">
      <c r="A72" s="38" t="str">
        <f>A$24</f>
        <v>lot10</v>
      </c>
      <c r="B72" s="61">
        <f t="shared" si="17"/>
        <v>0</v>
      </c>
      <c r="C72" s="61">
        <f t="shared" si="17"/>
        <v>0</v>
      </c>
      <c r="D72" s="61">
        <f t="shared" si="17"/>
        <v>0</v>
      </c>
      <c r="E72" s="61">
        <f t="shared" si="17"/>
        <v>0</v>
      </c>
      <c r="F72" s="61">
        <f t="shared" si="17"/>
        <v>0</v>
      </c>
      <c r="G72" s="61">
        <f t="shared" si="17"/>
        <v>0</v>
      </c>
      <c r="H72" s="61">
        <f t="shared" si="17"/>
        <v>0</v>
      </c>
      <c r="I72" s="61">
        <f t="shared" si="17"/>
        <v>0</v>
      </c>
      <c r="J72" s="61">
        <f t="shared" si="17"/>
        <v>0</v>
      </c>
      <c r="K72" s="61">
        <f t="shared" si="17"/>
        <v>0</v>
      </c>
      <c r="L72" s="61">
        <f t="shared" si="17"/>
        <v>0</v>
      </c>
      <c r="M72" s="61">
        <f t="shared" si="17"/>
        <v>0</v>
      </c>
      <c r="N72" s="61">
        <f t="shared" si="17"/>
        <v>0</v>
      </c>
      <c r="O72" s="61">
        <f t="shared" si="17"/>
        <v>0</v>
      </c>
      <c r="P72" s="61">
        <f t="shared" si="17"/>
        <v>0</v>
      </c>
      <c r="Q72" s="61">
        <f t="shared" si="17"/>
        <v>0</v>
      </c>
      <c r="R72" s="61">
        <f t="shared" si="17"/>
        <v>0</v>
      </c>
      <c r="S72" s="61">
        <f t="shared" si="17"/>
        <v>0</v>
      </c>
      <c r="T72" s="61">
        <f t="shared" si="17"/>
        <v>0</v>
      </c>
      <c r="U72" s="61">
        <f t="shared" si="17"/>
        <v>0</v>
      </c>
      <c r="V72" s="61">
        <f t="shared" si="17"/>
        <v>0</v>
      </c>
      <c r="W72" s="61">
        <f t="shared" si="17"/>
        <v>0</v>
      </c>
      <c r="X72" s="61">
        <f t="shared" si="17"/>
        <v>0</v>
      </c>
      <c r="Y72" s="61">
        <f t="shared" si="17"/>
        <v>0</v>
      </c>
      <c r="Z72" s="52"/>
      <c r="AE72" s="86"/>
    </row>
    <row r="73" spans="1:33" s="5" customFormat="1" x14ac:dyDescent="0.25">
      <c r="A73" s="52" t="s">
        <v>179</v>
      </c>
      <c r="B73" s="64">
        <f>ROUND(SUM(B63:B72),0)</f>
        <v>0</v>
      </c>
      <c r="C73" s="64">
        <f t="shared" ref="C73:Y73" si="18">ROUND(SUM(C63:C72),0)</f>
        <v>0</v>
      </c>
      <c r="D73" s="64">
        <f t="shared" si="18"/>
        <v>0</v>
      </c>
      <c r="E73" s="64">
        <f t="shared" si="18"/>
        <v>0</v>
      </c>
      <c r="F73" s="64">
        <f t="shared" si="18"/>
        <v>0</v>
      </c>
      <c r="G73" s="64">
        <f t="shared" si="18"/>
        <v>0</v>
      </c>
      <c r="H73" s="64">
        <f t="shared" si="18"/>
        <v>0</v>
      </c>
      <c r="I73" s="64">
        <f t="shared" si="18"/>
        <v>0</v>
      </c>
      <c r="J73" s="64">
        <f t="shared" si="18"/>
        <v>0</v>
      </c>
      <c r="K73" s="64">
        <f t="shared" si="18"/>
        <v>0</v>
      </c>
      <c r="L73" s="64">
        <f t="shared" si="18"/>
        <v>0</v>
      </c>
      <c r="M73" s="64">
        <f t="shared" si="18"/>
        <v>0</v>
      </c>
      <c r="N73" s="64">
        <f t="shared" si="18"/>
        <v>0</v>
      </c>
      <c r="O73" s="64">
        <f t="shared" si="18"/>
        <v>0</v>
      </c>
      <c r="P73" s="64">
        <f t="shared" si="18"/>
        <v>0</v>
      </c>
      <c r="Q73" s="64">
        <f t="shared" si="18"/>
        <v>0</v>
      </c>
      <c r="R73" s="64">
        <f t="shared" si="18"/>
        <v>0</v>
      </c>
      <c r="S73" s="64">
        <f t="shared" si="18"/>
        <v>0</v>
      </c>
      <c r="T73" s="64">
        <f t="shared" si="18"/>
        <v>0</v>
      </c>
      <c r="U73" s="64">
        <f t="shared" si="18"/>
        <v>0</v>
      </c>
      <c r="V73" s="64">
        <f t="shared" si="18"/>
        <v>0</v>
      </c>
      <c r="W73" s="64">
        <f t="shared" si="18"/>
        <v>0</v>
      </c>
      <c r="X73" s="64">
        <f t="shared" si="18"/>
        <v>0</v>
      </c>
      <c r="Y73" s="64">
        <f t="shared" si="18"/>
        <v>0</v>
      </c>
      <c r="Z73" s="52"/>
      <c r="AA73" s="56">
        <f>ROUND(SUM(B73:Y73),0)</f>
        <v>0</v>
      </c>
      <c r="AB73" s="52" t="s">
        <v>178</v>
      </c>
      <c r="AE73" s="86"/>
    </row>
    <row r="74" spans="1:33" s="5" customFormat="1" x14ac:dyDescent="0.25">
      <c r="A74" s="52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52"/>
      <c r="AA74" s="55"/>
      <c r="AB74" s="52"/>
      <c r="AE74" s="86"/>
    </row>
    <row r="75" spans="1:33" x14ac:dyDescent="0.25">
      <c r="A75" s="2" t="s">
        <v>209</v>
      </c>
      <c r="AG75" s="5"/>
    </row>
    <row r="76" spans="1:33" x14ac:dyDescent="0.25">
      <c r="A76" s="127" t="str">
        <f>A$15</f>
        <v>lot1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/>
      <c r="AG76" s="5"/>
    </row>
    <row r="77" spans="1:33" x14ac:dyDescent="0.25">
      <c r="A77" s="128" t="str">
        <f>A$16</f>
        <v>lot2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AG77" s="5"/>
    </row>
    <row r="78" spans="1:33" x14ac:dyDescent="0.25">
      <c r="A78" s="128" t="str">
        <f>A$17</f>
        <v>lot3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AG78" s="5"/>
    </row>
    <row r="79" spans="1:33" x14ac:dyDescent="0.25">
      <c r="A79" s="127" t="str">
        <f>A$18</f>
        <v>lot4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AG79" s="5"/>
    </row>
    <row r="80" spans="1:33" x14ac:dyDescent="0.25">
      <c r="A80" s="128" t="str">
        <f>A$19</f>
        <v>lot5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AG80" s="5"/>
    </row>
    <row r="81" spans="1:33" x14ac:dyDescent="0.25">
      <c r="A81" s="127" t="str">
        <f>A$20</f>
        <v>lot6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AG81" s="5"/>
    </row>
    <row r="82" spans="1:33" x14ac:dyDescent="0.25">
      <c r="A82" s="128" t="str">
        <f>A$21</f>
        <v>lot7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</row>
    <row r="83" spans="1:33" x14ac:dyDescent="0.25">
      <c r="A83" s="128" t="str">
        <f>A$22</f>
        <v>lot8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</row>
    <row r="84" spans="1:33" x14ac:dyDescent="0.25">
      <c r="A84" s="127" t="str">
        <f>A$23</f>
        <v>lot9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1:33" x14ac:dyDescent="0.25">
      <c r="A85" s="128" t="str">
        <f>A$24</f>
        <v>lot10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1:33" s="5" customFormat="1" x14ac:dyDescent="0.25">
      <c r="A86" s="52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52"/>
      <c r="AA86" s="55"/>
      <c r="AB86" s="52"/>
      <c r="AE86" s="86"/>
      <c r="AG86"/>
    </row>
    <row r="87" spans="1:33" x14ac:dyDescent="0.25">
      <c r="A87" s="2" t="s">
        <v>192</v>
      </c>
    </row>
    <row r="88" spans="1:33" x14ac:dyDescent="0.25">
      <c r="A88" s="127" t="str">
        <f>A$15</f>
        <v>lot1</v>
      </c>
      <c r="B88" s="60">
        <v>1</v>
      </c>
      <c r="C88" s="60">
        <v>1</v>
      </c>
      <c r="D88" s="60">
        <v>1</v>
      </c>
      <c r="E88" s="60">
        <v>1</v>
      </c>
      <c r="F88" s="60">
        <v>1</v>
      </c>
      <c r="G88" s="60">
        <v>1</v>
      </c>
      <c r="H88" s="60">
        <v>1</v>
      </c>
      <c r="I88" s="60">
        <v>1</v>
      </c>
      <c r="J88" s="60">
        <v>1</v>
      </c>
      <c r="K88" s="60">
        <v>1</v>
      </c>
      <c r="L88" s="60">
        <v>1</v>
      </c>
      <c r="M88" s="60">
        <v>1</v>
      </c>
      <c r="N88" s="60">
        <v>1</v>
      </c>
      <c r="O88" s="60">
        <v>1</v>
      </c>
      <c r="P88" s="60">
        <v>1</v>
      </c>
      <c r="Q88" s="60">
        <v>1</v>
      </c>
      <c r="R88" s="60">
        <v>1</v>
      </c>
      <c r="S88" s="60">
        <v>1</v>
      </c>
      <c r="T88" s="60">
        <v>1</v>
      </c>
      <c r="U88" s="60">
        <v>1</v>
      </c>
      <c r="V88" s="60">
        <v>1</v>
      </c>
      <c r="W88" s="60">
        <v>1</v>
      </c>
      <c r="X88" s="60">
        <v>1</v>
      </c>
      <c r="Y88" s="60">
        <v>1</v>
      </c>
    </row>
    <row r="89" spans="1:33" x14ac:dyDescent="0.25">
      <c r="A89" s="128" t="str">
        <f>A$16</f>
        <v>lot2</v>
      </c>
      <c r="B89" s="60">
        <v>1</v>
      </c>
      <c r="C89" s="60">
        <v>1</v>
      </c>
      <c r="D89" s="60">
        <v>1</v>
      </c>
      <c r="E89" s="60">
        <v>1</v>
      </c>
      <c r="F89" s="60">
        <v>1</v>
      </c>
      <c r="G89" s="60">
        <v>1</v>
      </c>
      <c r="H89" s="60">
        <v>1</v>
      </c>
      <c r="I89" s="60">
        <v>1</v>
      </c>
      <c r="J89" s="60">
        <v>1</v>
      </c>
      <c r="K89" s="60">
        <v>1</v>
      </c>
      <c r="L89" s="60">
        <v>1</v>
      </c>
      <c r="M89" s="60">
        <v>1</v>
      </c>
      <c r="N89" s="60">
        <v>1</v>
      </c>
      <c r="O89" s="60">
        <v>1</v>
      </c>
      <c r="P89" s="60">
        <v>1</v>
      </c>
      <c r="Q89" s="60">
        <v>1</v>
      </c>
      <c r="R89" s="60">
        <v>1</v>
      </c>
      <c r="S89" s="60">
        <v>1</v>
      </c>
      <c r="T89" s="60">
        <v>1</v>
      </c>
      <c r="U89" s="60">
        <v>1</v>
      </c>
      <c r="V89" s="60">
        <v>1</v>
      </c>
      <c r="W89" s="60">
        <v>1</v>
      </c>
      <c r="X89" s="60">
        <v>1</v>
      </c>
      <c r="Y89" s="60">
        <v>1</v>
      </c>
    </row>
    <row r="90" spans="1:33" x14ac:dyDescent="0.25">
      <c r="A90" s="128" t="str">
        <f>A$17</f>
        <v>lot3</v>
      </c>
      <c r="B90" s="60">
        <v>1</v>
      </c>
      <c r="C90" s="60">
        <v>1</v>
      </c>
      <c r="D90" s="60">
        <v>1</v>
      </c>
      <c r="E90" s="60">
        <v>1</v>
      </c>
      <c r="F90" s="60">
        <v>1</v>
      </c>
      <c r="G90" s="60">
        <v>1</v>
      </c>
      <c r="H90" s="60">
        <v>1</v>
      </c>
      <c r="I90" s="60">
        <v>1</v>
      </c>
      <c r="J90" s="60">
        <v>1</v>
      </c>
      <c r="K90" s="60">
        <v>1</v>
      </c>
      <c r="L90" s="60">
        <v>1</v>
      </c>
      <c r="M90" s="60">
        <v>1</v>
      </c>
      <c r="N90" s="60">
        <v>1</v>
      </c>
      <c r="O90" s="60">
        <v>1</v>
      </c>
      <c r="P90" s="60">
        <v>1</v>
      </c>
      <c r="Q90" s="60">
        <v>1</v>
      </c>
      <c r="R90" s="60">
        <v>1</v>
      </c>
      <c r="S90" s="60">
        <v>1</v>
      </c>
      <c r="T90" s="60">
        <v>1</v>
      </c>
      <c r="U90" s="60">
        <v>1</v>
      </c>
      <c r="V90" s="60">
        <v>1</v>
      </c>
      <c r="W90" s="60">
        <v>1</v>
      </c>
      <c r="X90" s="60">
        <v>1</v>
      </c>
      <c r="Y90" s="60">
        <v>1</v>
      </c>
    </row>
    <row r="91" spans="1:33" x14ac:dyDescent="0.25">
      <c r="A91" s="127" t="str">
        <f>A$18</f>
        <v>lot4</v>
      </c>
      <c r="B91" s="60">
        <v>1</v>
      </c>
      <c r="C91" s="60">
        <v>1</v>
      </c>
      <c r="D91" s="60">
        <v>1</v>
      </c>
      <c r="E91" s="60">
        <v>1</v>
      </c>
      <c r="F91" s="60">
        <v>1</v>
      </c>
      <c r="G91" s="60">
        <v>1</v>
      </c>
      <c r="H91" s="60">
        <v>1</v>
      </c>
      <c r="I91" s="60">
        <v>1</v>
      </c>
      <c r="J91" s="60">
        <v>1</v>
      </c>
      <c r="K91" s="60">
        <v>1</v>
      </c>
      <c r="L91" s="60">
        <v>1</v>
      </c>
      <c r="M91" s="60">
        <v>1</v>
      </c>
      <c r="N91" s="60">
        <v>1</v>
      </c>
      <c r="O91" s="60">
        <v>1</v>
      </c>
      <c r="P91" s="60">
        <v>1</v>
      </c>
      <c r="Q91" s="60">
        <v>1</v>
      </c>
      <c r="R91" s="60">
        <v>1</v>
      </c>
      <c r="S91" s="60">
        <v>1</v>
      </c>
      <c r="T91" s="60">
        <v>1</v>
      </c>
      <c r="U91" s="60">
        <v>1</v>
      </c>
      <c r="V91" s="60">
        <v>1</v>
      </c>
      <c r="W91" s="60">
        <v>1</v>
      </c>
      <c r="X91" s="60">
        <v>1</v>
      </c>
      <c r="Y91" s="60">
        <v>1</v>
      </c>
    </row>
    <row r="92" spans="1:33" x14ac:dyDescent="0.25">
      <c r="A92" s="128" t="str">
        <f>A$19</f>
        <v>lot5</v>
      </c>
      <c r="B92" s="60">
        <v>1</v>
      </c>
      <c r="C92" s="60">
        <v>1</v>
      </c>
      <c r="D92" s="60">
        <v>1</v>
      </c>
      <c r="E92" s="60">
        <v>1</v>
      </c>
      <c r="F92" s="60">
        <v>1</v>
      </c>
      <c r="G92" s="60">
        <v>1</v>
      </c>
      <c r="H92" s="60">
        <v>1</v>
      </c>
      <c r="I92" s="60">
        <v>1</v>
      </c>
      <c r="J92" s="60">
        <v>1</v>
      </c>
      <c r="K92" s="60">
        <v>1</v>
      </c>
      <c r="L92" s="60">
        <v>1</v>
      </c>
      <c r="M92" s="60">
        <v>1</v>
      </c>
      <c r="N92" s="60">
        <v>1</v>
      </c>
      <c r="O92" s="60">
        <v>1</v>
      </c>
      <c r="P92" s="60">
        <v>1</v>
      </c>
      <c r="Q92" s="60">
        <v>1</v>
      </c>
      <c r="R92" s="60">
        <v>1</v>
      </c>
      <c r="S92" s="60">
        <v>1</v>
      </c>
      <c r="T92" s="60">
        <v>1</v>
      </c>
      <c r="U92" s="60">
        <v>1</v>
      </c>
      <c r="V92" s="60">
        <v>1</v>
      </c>
      <c r="W92" s="60">
        <v>1</v>
      </c>
      <c r="X92" s="60">
        <v>1</v>
      </c>
      <c r="Y92" s="60">
        <v>1</v>
      </c>
    </row>
    <row r="93" spans="1:33" x14ac:dyDescent="0.25">
      <c r="A93" s="127" t="str">
        <f>A$20</f>
        <v>lot6</v>
      </c>
      <c r="B93" s="60">
        <v>1</v>
      </c>
      <c r="C93" s="60">
        <v>1</v>
      </c>
      <c r="D93" s="60">
        <v>1</v>
      </c>
      <c r="E93" s="60">
        <v>1</v>
      </c>
      <c r="F93" s="60">
        <v>1</v>
      </c>
      <c r="G93" s="60">
        <v>1</v>
      </c>
      <c r="H93" s="60">
        <v>1</v>
      </c>
      <c r="I93" s="60">
        <v>1</v>
      </c>
      <c r="J93" s="60">
        <v>1</v>
      </c>
      <c r="K93" s="60">
        <v>1</v>
      </c>
      <c r="L93" s="60">
        <v>1</v>
      </c>
      <c r="M93" s="60">
        <v>1</v>
      </c>
      <c r="N93" s="60">
        <v>1</v>
      </c>
      <c r="O93" s="60">
        <v>1</v>
      </c>
      <c r="P93" s="60">
        <v>1</v>
      </c>
      <c r="Q93" s="60">
        <v>1</v>
      </c>
      <c r="R93" s="60">
        <v>1</v>
      </c>
      <c r="S93" s="60">
        <v>1</v>
      </c>
      <c r="T93" s="60">
        <v>1</v>
      </c>
      <c r="U93" s="60">
        <v>1</v>
      </c>
      <c r="V93" s="60">
        <v>1</v>
      </c>
      <c r="W93" s="60">
        <v>1</v>
      </c>
      <c r="X93" s="60">
        <v>1</v>
      </c>
      <c r="Y93" s="60">
        <v>1</v>
      </c>
    </row>
    <row r="94" spans="1:33" x14ac:dyDescent="0.25">
      <c r="A94" s="128" t="str">
        <f>A$21</f>
        <v>lot7</v>
      </c>
      <c r="B94" s="60">
        <v>1</v>
      </c>
      <c r="C94" s="60">
        <v>1</v>
      </c>
      <c r="D94" s="60">
        <v>1</v>
      </c>
      <c r="E94" s="60">
        <v>1</v>
      </c>
      <c r="F94" s="60">
        <v>1</v>
      </c>
      <c r="G94" s="60">
        <v>1</v>
      </c>
      <c r="H94" s="60">
        <v>1</v>
      </c>
      <c r="I94" s="60">
        <v>1</v>
      </c>
      <c r="J94" s="60">
        <v>1</v>
      </c>
      <c r="K94" s="60">
        <v>1</v>
      </c>
      <c r="L94" s="60">
        <v>1</v>
      </c>
      <c r="M94" s="60">
        <v>1</v>
      </c>
      <c r="N94" s="60">
        <v>1</v>
      </c>
      <c r="O94" s="60">
        <v>1</v>
      </c>
      <c r="P94" s="60">
        <v>1</v>
      </c>
      <c r="Q94" s="60">
        <v>1</v>
      </c>
      <c r="R94" s="60">
        <v>1</v>
      </c>
      <c r="S94" s="60">
        <v>1</v>
      </c>
      <c r="T94" s="60">
        <v>1</v>
      </c>
      <c r="U94" s="60">
        <v>1</v>
      </c>
      <c r="V94" s="60">
        <v>1</v>
      </c>
      <c r="W94" s="60">
        <v>1</v>
      </c>
      <c r="X94" s="60">
        <v>1</v>
      </c>
      <c r="Y94" s="60">
        <v>1</v>
      </c>
    </row>
    <row r="95" spans="1:33" x14ac:dyDescent="0.25">
      <c r="A95" s="128" t="str">
        <f>A$22</f>
        <v>lot8</v>
      </c>
      <c r="B95" s="60">
        <v>1</v>
      </c>
      <c r="C95" s="60">
        <v>1</v>
      </c>
      <c r="D95" s="60">
        <v>1</v>
      </c>
      <c r="E95" s="60">
        <v>1</v>
      </c>
      <c r="F95" s="60">
        <v>1</v>
      </c>
      <c r="G95" s="60">
        <v>1</v>
      </c>
      <c r="H95" s="60">
        <v>1</v>
      </c>
      <c r="I95" s="60">
        <v>1</v>
      </c>
      <c r="J95" s="60">
        <v>1</v>
      </c>
      <c r="K95" s="60">
        <v>1</v>
      </c>
      <c r="L95" s="60">
        <v>1</v>
      </c>
      <c r="M95" s="60">
        <v>1</v>
      </c>
      <c r="N95" s="60">
        <v>1</v>
      </c>
      <c r="O95" s="60">
        <v>1</v>
      </c>
      <c r="P95" s="60">
        <v>1</v>
      </c>
      <c r="Q95" s="60">
        <v>1</v>
      </c>
      <c r="R95" s="60">
        <v>1</v>
      </c>
      <c r="S95" s="60">
        <v>1</v>
      </c>
      <c r="T95" s="60">
        <v>1</v>
      </c>
      <c r="U95" s="60">
        <v>1</v>
      </c>
      <c r="V95" s="60">
        <v>1</v>
      </c>
      <c r="W95" s="60">
        <v>1</v>
      </c>
      <c r="X95" s="60">
        <v>1</v>
      </c>
      <c r="Y95" s="60">
        <v>1</v>
      </c>
    </row>
    <row r="96" spans="1:33" x14ac:dyDescent="0.25">
      <c r="A96" s="127" t="str">
        <f>A$23</f>
        <v>lot9</v>
      </c>
      <c r="B96" s="60">
        <v>1</v>
      </c>
      <c r="C96" s="60">
        <v>1</v>
      </c>
      <c r="D96" s="60">
        <v>1</v>
      </c>
      <c r="E96" s="60">
        <v>1</v>
      </c>
      <c r="F96" s="60">
        <v>1</v>
      </c>
      <c r="G96" s="60">
        <v>1</v>
      </c>
      <c r="H96" s="60">
        <v>1</v>
      </c>
      <c r="I96" s="60">
        <v>1</v>
      </c>
      <c r="J96" s="60">
        <v>1</v>
      </c>
      <c r="K96" s="60">
        <v>1</v>
      </c>
      <c r="L96" s="60">
        <v>1</v>
      </c>
      <c r="M96" s="60">
        <v>1</v>
      </c>
      <c r="N96" s="60">
        <v>1</v>
      </c>
      <c r="O96" s="60">
        <v>1</v>
      </c>
      <c r="P96" s="60">
        <v>1</v>
      </c>
      <c r="Q96" s="60">
        <v>1</v>
      </c>
      <c r="R96" s="60">
        <v>1</v>
      </c>
      <c r="S96" s="60">
        <v>1</v>
      </c>
      <c r="T96" s="60">
        <v>1</v>
      </c>
      <c r="U96" s="60">
        <v>1</v>
      </c>
      <c r="V96" s="60">
        <v>1</v>
      </c>
      <c r="W96" s="60">
        <v>1</v>
      </c>
      <c r="X96" s="60">
        <v>1</v>
      </c>
      <c r="Y96" s="60">
        <v>1</v>
      </c>
    </row>
    <row r="97" spans="1:33" x14ac:dyDescent="0.25">
      <c r="A97" s="128" t="str">
        <f>A$24</f>
        <v>lot10</v>
      </c>
      <c r="B97" s="60">
        <v>1</v>
      </c>
      <c r="C97" s="60">
        <v>1</v>
      </c>
      <c r="D97" s="60">
        <v>1</v>
      </c>
      <c r="E97" s="60">
        <v>1</v>
      </c>
      <c r="F97" s="60">
        <v>1</v>
      </c>
      <c r="G97" s="60">
        <v>1</v>
      </c>
      <c r="H97" s="60">
        <v>1</v>
      </c>
      <c r="I97" s="60">
        <v>1</v>
      </c>
      <c r="J97" s="60">
        <v>1</v>
      </c>
      <c r="K97" s="60">
        <v>1</v>
      </c>
      <c r="L97" s="60">
        <v>1</v>
      </c>
      <c r="M97" s="60">
        <v>1</v>
      </c>
      <c r="N97" s="60">
        <v>1</v>
      </c>
      <c r="O97" s="60">
        <v>1</v>
      </c>
      <c r="P97" s="60">
        <v>1</v>
      </c>
      <c r="Q97" s="60">
        <v>1</v>
      </c>
      <c r="R97" s="60">
        <v>1</v>
      </c>
      <c r="S97" s="60">
        <v>1</v>
      </c>
      <c r="T97" s="60">
        <v>1</v>
      </c>
      <c r="U97" s="60">
        <v>1</v>
      </c>
      <c r="V97" s="60">
        <v>1</v>
      </c>
      <c r="W97" s="60">
        <v>1</v>
      </c>
      <c r="X97" s="60">
        <v>1</v>
      </c>
      <c r="Y97" s="60">
        <v>1</v>
      </c>
    </row>
    <row r="98" spans="1:33" s="5" customFormat="1" x14ac:dyDescent="0.25">
      <c r="A98" s="23" t="s">
        <v>204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AE98" s="86"/>
      <c r="AG98"/>
    </row>
    <row r="99" spans="1:33" x14ac:dyDescent="0.25">
      <c r="A99" s="127" t="str">
        <f>A$15</f>
        <v>lot1</v>
      </c>
      <c r="B99" s="61">
        <f>VLOOKUP(B88,$AD$6:$AF$10,3)</f>
        <v>0</v>
      </c>
      <c r="C99" s="61">
        <f t="shared" ref="C99:Y99" si="19">VLOOKUP(C88,$AD$6:$AF$10,3)</f>
        <v>0</v>
      </c>
      <c r="D99" s="61">
        <f t="shared" si="19"/>
        <v>0</v>
      </c>
      <c r="E99" s="61">
        <f t="shared" si="19"/>
        <v>0</v>
      </c>
      <c r="F99" s="61">
        <f t="shared" si="19"/>
        <v>0</v>
      </c>
      <c r="G99" s="61">
        <f t="shared" si="19"/>
        <v>0</v>
      </c>
      <c r="H99" s="61">
        <f t="shared" si="19"/>
        <v>0</v>
      </c>
      <c r="I99" s="61">
        <f t="shared" si="19"/>
        <v>0</v>
      </c>
      <c r="J99" s="61">
        <f t="shared" si="19"/>
        <v>0</v>
      </c>
      <c r="K99" s="61">
        <f t="shared" si="19"/>
        <v>0</v>
      </c>
      <c r="L99" s="61">
        <f t="shared" si="19"/>
        <v>0</v>
      </c>
      <c r="M99" s="61">
        <f t="shared" si="19"/>
        <v>0</v>
      </c>
      <c r="N99" s="61">
        <f t="shared" si="19"/>
        <v>0</v>
      </c>
      <c r="O99" s="61">
        <f t="shared" si="19"/>
        <v>0</v>
      </c>
      <c r="P99" s="61">
        <f t="shared" si="19"/>
        <v>0</v>
      </c>
      <c r="Q99" s="61">
        <f t="shared" si="19"/>
        <v>0</v>
      </c>
      <c r="R99" s="61">
        <f t="shared" si="19"/>
        <v>0</v>
      </c>
      <c r="S99" s="61">
        <f t="shared" si="19"/>
        <v>0</v>
      </c>
      <c r="T99" s="61">
        <f t="shared" si="19"/>
        <v>0</v>
      </c>
      <c r="U99" s="61">
        <f t="shared" si="19"/>
        <v>0</v>
      </c>
      <c r="V99" s="61">
        <f t="shared" si="19"/>
        <v>0</v>
      </c>
      <c r="W99" s="61">
        <f t="shared" si="19"/>
        <v>0</v>
      </c>
      <c r="X99" s="61">
        <f t="shared" si="19"/>
        <v>0</v>
      </c>
      <c r="Y99" s="61">
        <f t="shared" si="19"/>
        <v>0</v>
      </c>
    </row>
    <row r="100" spans="1:33" x14ac:dyDescent="0.25">
      <c r="A100" s="128" t="str">
        <f>A$16</f>
        <v>lot2</v>
      </c>
      <c r="B100" s="61">
        <f t="shared" ref="B100:Y100" si="20">VLOOKUP(B89,$AD$6:$AF$10,3)</f>
        <v>0</v>
      </c>
      <c r="C100" s="61">
        <f t="shared" si="20"/>
        <v>0</v>
      </c>
      <c r="D100" s="61">
        <f t="shared" si="20"/>
        <v>0</v>
      </c>
      <c r="E100" s="61">
        <f t="shared" si="20"/>
        <v>0</v>
      </c>
      <c r="F100" s="61">
        <f t="shared" si="20"/>
        <v>0</v>
      </c>
      <c r="G100" s="61">
        <f t="shared" si="20"/>
        <v>0</v>
      </c>
      <c r="H100" s="61">
        <f t="shared" si="20"/>
        <v>0</v>
      </c>
      <c r="I100" s="61">
        <f t="shared" si="20"/>
        <v>0</v>
      </c>
      <c r="J100" s="61">
        <f t="shared" si="20"/>
        <v>0</v>
      </c>
      <c r="K100" s="61">
        <f t="shared" si="20"/>
        <v>0</v>
      </c>
      <c r="L100" s="61">
        <f t="shared" si="20"/>
        <v>0</v>
      </c>
      <c r="M100" s="61">
        <f t="shared" si="20"/>
        <v>0</v>
      </c>
      <c r="N100" s="61">
        <f t="shared" si="20"/>
        <v>0</v>
      </c>
      <c r="O100" s="61">
        <f t="shared" si="20"/>
        <v>0</v>
      </c>
      <c r="P100" s="61">
        <f t="shared" si="20"/>
        <v>0</v>
      </c>
      <c r="Q100" s="61">
        <f t="shared" si="20"/>
        <v>0</v>
      </c>
      <c r="R100" s="61">
        <f t="shared" si="20"/>
        <v>0</v>
      </c>
      <c r="S100" s="61">
        <f t="shared" si="20"/>
        <v>0</v>
      </c>
      <c r="T100" s="61">
        <f t="shared" si="20"/>
        <v>0</v>
      </c>
      <c r="U100" s="61">
        <f t="shared" si="20"/>
        <v>0</v>
      </c>
      <c r="V100" s="61">
        <f t="shared" si="20"/>
        <v>0</v>
      </c>
      <c r="W100" s="61">
        <f t="shared" si="20"/>
        <v>0</v>
      </c>
      <c r="X100" s="61">
        <f t="shared" si="20"/>
        <v>0</v>
      </c>
      <c r="Y100" s="61">
        <f t="shared" si="20"/>
        <v>0</v>
      </c>
    </row>
    <row r="101" spans="1:33" x14ac:dyDescent="0.25">
      <c r="A101" s="128" t="str">
        <f>A$17</f>
        <v>lot3</v>
      </c>
      <c r="B101" s="61">
        <f t="shared" ref="B101:Y101" si="21">VLOOKUP(B90,$AD$6:$AF$10,3)</f>
        <v>0</v>
      </c>
      <c r="C101" s="61">
        <f t="shared" si="21"/>
        <v>0</v>
      </c>
      <c r="D101" s="61">
        <f t="shared" si="21"/>
        <v>0</v>
      </c>
      <c r="E101" s="61">
        <f t="shared" si="21"/>
        <v>0</v>
      </c>
      <c r="F101" s="61">
        <f t="shared" si="21"/>
        <v>0</v>
      </c>
      <c r="G101" s="61">
        <f t="shared" si="21"/>
        <v>0</v>
      </c>
      <c r="H101" s="61">
        <f t="shared" si="21"/>
        <v>0</v>
      </c>
      <c r="I101" s="61">
        <f t="shared" si="21"/>
        <v>0</v>
      </c>
      <c r="J101" s="61">
        <f t="shared" si="21"/>
        <v>0</v>
      </c>
      <c r="K101" s="61">
        <f t="shared" si="21"/>
        <v>0</v>
      </c>
      <c r="L101" s="61">
        <f t="shared" si="21"/>
        <v>0</v>
      </c>
      <c r="M101" s="61">
        <f t="shared" si="21"/>
        <v>0</v>
      </c>
      <c r="N101" s="61">
        <f t="shared" si="21"/>
        <v>0</v>
      </c>
      <c r="O101" s="61">
        <f t="shared" si="21"/>
        <v>0</v>
      </c>
      <c r="P101" s="61">
        <f t="shared" si="21"/>
        <v>0</v>
      </c>
      <c r="Q101" s="61">
        <f t="shared" si="21"/>
        <v>0</v>
      </c>
      <c r="R101" s="61">
        <f t="shared" si="21"/>
        <v>0</v>
      </c>
      <c r="S101" s="61">
        <f t="shared" si="21"/>
        <v>0</v>
      </c>
      <c r="T101" s="61">
        <f t="shared" si="21"/>
        <v>0</v>
      </c>
      <c r="U101" s="61">
        <f t="shared" si="21"/>
        <v>0</v>
      </c>
      <c r="V101" s="61">
        <f t="shared" si="21"/>
        <v>0</v>
      </c>
      <c r="W101" s="61">
        <f t="shared" si="21"/>
        <v>0</v>
      </c>
      <c r="X101" s="61">
        <f t="shared" si="21"/>
        <v>0</v>
      </c>
      <c r="Y101" s="61">
        <f t="shared" si="21"/>
        <v>0</v>
      </c>
    </row>
    <row r="102" spans="1:33" x14ac:dyDescent="0.25">
      <c r="A102" s="127" t="str">
        <f>A$18</f>
        <v>lot4</v>
      </c>
      <c r="B102" s="61">
        <f t="shared" ref="B102:Y102" si="22">VLOOKUP(B91,$AD$6:$AF$10,3)</f>
        <v>0</v>
      </c>
      <c r="C102" s="61">
        <f t="shared" si="22"/>
        <v>0</v>
      </c>
      <c r="D102" s="61">
        <f t="shared" si="22"/>
        <v>0</v>
      </c>
      <c r="E102" s="61">
        <f t="shared" si="22"/>
        <v>0</v>
      </c>
      <c r="F102" s="61">
        <f t="shared" si="22"/>
        <v>0</v>
      </c>
      <c r="G102" s="61">
        <f t="shared" si="22"/>
        <v>0</v>
      </c>
      <c r="H102" s="61">
        <f t="shared" si="22"/>
        <v>0</v>
      </c>
      <c r="I102" s="61">
        <f t="shared" si="22"/>
        <v>0</v>
      </c>
      <c r="J102" s="61">
        <f t="shared" si="22"/>
        <v>0</v>
      </c>
      <c r="K102" s="61">
        <f t="shared" si="22"/>
        <v>0</v>
      </c>
      <c r="L102" s="61">
        <f t="shared" si="22"/>
        <v>0</v>
      </c>
      <c r="M102" s="61">
        <f t="shared" si="22"/>
        <v>0</v>
      </c>
      <c r="N102" s="61">
        <f t="shared" si="22"/>
        <v>0</v>
      </c>
      <c r="O102" s="61">
        <f t="shared" si="22"/>
        <v>0</v>
      </c>
      <c r="P102" s="61">
        <f t="shared" si="22"/>
        <v>0</v>
      </c>
      <c r="Q102" s="61">
        <f t="shared" si="22"/>
        <v>0</v>
      </c>
      <c r="R102" s="61">
        <f t="shared" si="22"/>
        <v>0</v>
      </c>
      <c r="S102" s="61">
        <f t="shared" si="22"/>
        <v>0</v>
      </c>
      <c r="T102" s="61">
        <f t="shared" si="22"/>
        <v>0</v>
      </c>
      <c r="U102" s="61">
        <f t="shared" si="22"/>
        <v>0</v>
      </c>
      <c r="V102" s="61">
        <f t="shared" si="22"/>
        <v>0</v>
      </c>
      <c r="W102" s="61">
        <f t="shared" si="22"/>
        <v>0</v>
      </c>
      <c r="X102" s="61">
        <f t="shared" si="22"/>
        <v>0</v>
      </c>
      <c r="Y102" s="61">
        <f t="shared" si="22"/>
        <v>0</v>
      </c>
    </row>
    <row r="103" spans="1:33" x14ac:dyDescent="0.25">
      <c r="A103" s="128" t="str">
        <f>A$19</f>
        <v>lot5</v>
      </c>
      <c r="B103" s="61">
        <f t="shared" ref="B103:Y103" si="23">VLOOKUP(B92,$AD$6:$AF$10,3)</f>
        <v>0</v>
      </c>
      <c r="C103" s="61">
        <f t="shared" si="23"/>
        <v>0</v>
      </c>
      <c r="D103" s="61">
        <f t="shared" si="23"/>
        <v>0</v>
      </c>
      <c r="E103" s="61">
        <f t="shared" si="23"/>
        <v>0</v>
      </c>
      <c r="F103" s="61">
        <f t="shared" si="23"/>
        <v>0</v>
      </c>
      <c r="G103" s="61">
        <f t="shared" si="23"/>
        <v>0</v>
      </c>
      <c r="H103" s="61">
        <f t="shared" si="23"/>
        <v>0</v>
      </c>
      <c r="I103" s="61">
        <f t="shared" si="23"/>
        <v>0</v>
      </c>
      <c r="J103" s="61">
        <f t="shared" si="23"/>
        <v>0</v>
      </c>
      <c r="K103" s="61">
        <f t="shared" si="23"/>
        <v>0</v>
      </c>
      <c r="L103" s="61">
        <f t="shared" si="23"/>
        <v>0</v>
      </c>
      <c r="M103" s="61">
        <f t="shared" si="23"/>
        <v>0</v>
      </c>
      <c r="N103" s="61">
        <f t="shared" si="23"/>
        <v>0</v>
      </c>
      <c r="O103" s="61">
        <f t="shared" si="23"/>
        <v>0</v>
      </c>
      <c r="P103" s="61">
        <f t="shared" si="23"/>
        <v>0</v>
      </c>
      <c r="Q103" s="61">
        <f t="shared" si="23"/>
        <v>0</v>
      </c>
      <c r="R103" s="61">
        <f t="shared" si="23"/>
        <v>0</v>
      </c>
      <c r="S103" s="61">
        <f t="shared" si="23"/>
        <v>0</v>
      </c>
      <c r="T103" s="61">
        <f t="shared" si="23"/>
        <v>0</v>
      </c>
      <c r="U103" s="61">
        <f t="shared" si="23"/>
        <v>0</v>
      </c>
      <c r="V103" s="61">
        <f t="shared" si="23"/>
        <v>0</v>
      </c>
      <c r="W103" s="61">
        <f t="shared" si="23"/>
        <v>0</v>
      </c>
      <c r="X103" s="61">
        <f t="shared" si="23"/>
        <v>0</v>
      </c>
      <c r="Y103" s="61">
        <f t="shared" si="23"/>
        <v>0</v>
      </c>
    </row>
    <row r="104" spans="1:33" x14ac:dyDescent="0.25">
      <c r="A104" s="127" t="str">
        <f>A$20</f>
        <v>lot6</v>
      </c>
      <c r="B104" s="61">
        <f t="shared" ref="B104:Y104" si="24">VLOOKUP(B93,$AD$6:$AF$10,3)</f>
        <v>0</v>
      </c>
      <c r="C104" s="61">
        <f t="shared" si="24"/>
        <v>0</v>
      </c>
      <c r="D104" s="61">
        <f t="shared" si="24"/>
        <v>0</v>
      </c>
      <c r="E104" s="61">
        <f t="shared" si="24"/>
        <v>0</v>
      </c>
      <c r="F104" s="61">
        <f t="shared" si="24"/>
        <v>0</v>
      </c>
      <c r="G104" s="61">
        <f t="shared" si="24"/>
        <v>0</v>
      </c>
      <c r="H104" s="61">
        <f t="shared" si="24"/>
        <v>0</v>
      </c>
      <c r="I104" s="61">
        <f t="shared" si="24"/>
        <v>0</v>
      </c>
      <c r="J104" s="61">
        <f t="shared" si="24"/>
        <v>0</v>
      </c>
      <c r="K104" s="61">
        <f t="shared" si="24"/>
        <v>0</v>
      </c>
      <c r="L104" s="61">
        <f t="shared" si="24"/>
        <v>0</v>
      </c>
      <c r="M104" s="61">
        <f t="shared" si="24"/>
        <v>0</v>
      </c>
      <c r="N104" s="61">
        <f t="shared" si="24"/>
        <v>0</v>
      </c>
      <c r="O104" s="61">
        <f t="shared" si="24"/>
        <v>0</v>
      </c>
      <c r="P104" s="61">
        <f t="shared" si="24"/>
        <v>0</v>
      </c>
      <c r="Q104" s="61">
        <f t="shared" si="24"/>
        <v>0</v>
      </c>
      <c r="R104" s="61">
        <f t="shared" si="24"/>
        <v>0</v>
      </c>
      <c r="S104" s="61">
        <f t="shared" si="24"/>
        <v>0</v>
      </c>
      <c r="T104" s="61">
        <f t="shared" si="24"/>
        <v>0</v>
      </c>
      <c r="U104" s="61">
        <f t="shared" si="24"/>
        <v>0</v>
      </c>
      <c r="V104" s="61">
        <f t="shared" si="24"/>
        <v>0</v>
      </c>
      <c r="W104" s="61">
        <f t="shared" si="24"/>
        <v>0</v>
      </c>
      <c r="X104" s="61">
        <f t="shared" si="24"/>
        <v>0</v>
      </c>
      <c r="Y104" s="61">
        <f t="shared" si="24"/>
        <v>0</v>
      </c>
    </row>
    <row r="105" spans="1:33" x14ac:dyDescent="0.25">
      <c r="A105" s="128" t="str">
        <f>A$21</f>
        <v>lot7</v>
      </c>
      <c r="B105" s="61">
        <f t="shared" ref="B105:Y105" si="25">VLOOKUP(B94,$AD$6:$AF$10,3)</f>
        <v>0</v>
      </c>
      <c r="C105" s="61">
        <f t="shared" si="25"/>
        <v>0</v>
      </c>
      <c r="D105" s="61">
        <f t="shared" si="25"/>
        <v>0</v>
      </c>
      <c r="E105" s="61">
        <f t="shared" si="25"/>
        <v>0</v>
      </c>
      <c r="F105" s="61">
        <f t="shared" si="25"/>
        <v>0</v>
      </c>
      <c r="G105" s="61">
        <f t="shared" si="25"/>
        <v>0</v>
      </c>
      <c r="H105" s="61">
        <f t="shared" si="25"/>
        <v>0</v>
      </c>
      <c r="I105" s="61">
        <f t="shared" si="25"/>
        <v>0</v>
      </c>
      <c r="J105" s="61">
        <f t="shared" si="25"/>
        <v>0</v>
      </c>
      <c r="K105" s="61">
        <f t="shared" si="25"/>
        <v>0</v>
      </c>
      <c r="L105" s="61">
        <f t="shared" si="25"/>
        <v>0</v>
      </c>
      <c r="M105" s="61">
        <f t="shared" si="25"/>
        <v>0</v>
      </c>
      <c r="N105" s="61">
        <f t="shared" si="25"/>
        <v>0</v>
      </c>
      <c r="O105" s="61">
        <f t="shared" si="25"/>
        <v>0</v>
      </c>
      <c r="P105" s="61">
        <f t="shared" si="25"/>
        <v>0</v>
      </c>
      <c r="Q105" s="61">
        <f t="shared" si="25"/>
        <v>0</v>
      </c>
      <c r="R105" s="61">
        <f t="shared" si="25"/>
        <v>0</v>
      </c>
      <c r="S105" s="61">
        <f t="shared" si="25"/>
        <v>0</v>
      </c>
      <c r="T105" s="61">
        <f t="shared" si="25"/>
        <v>0</v>
      </c>
      <c r="U105" s="61">
        <f t="shared" si="25"/>
        <v>0</v>
      </c>
      <c r="V105" s="61">
        <f t="shared" si="25"/>
        <v>0</v>
      </c>
      <c r="W105" s="61">
        <f t="shared" si="25"/>
        <v>0</v>
      </c>
      <c r="X105" s="61">
        <f t="shared" si="25"/>
        <v>0</v>
      </c>
      <c r="Y105" s="61">
        <f t="shared" si="25"/>
        <v>0</v>
      </c>
    </row>
    <row r="106" spans="1:33" x14ac:dyDescent="0.25">
      <c r="A106" s="128" t="str">
        <f>A$22</f>
        <v>lot8</v>
      </c>
      <c r="B106" s="61">
        <f t="shared" ref="B106:Y106" si="26">VLOOKUP(B95,$AD$6:$AF$10,3)</f>
        <v>0</v>
      </c>
      <c r="C106" s="61">
        <f t="shared" si="26"/>
        <v>0</v>
      </c>
      <c r="D106" s="61">
        <f t="shared" si="26"/>
        <v>0</v>
      </c>
      <c r="E106" s="61">
        <f t="shared" si="26"/>
        <v>0</v>
      </c>
      <c r="F106" s="61">
        <f t="shared" si="26"/>
        <v>0</v>
      </c>
      <c r="G106" s="61">
        <f t="shared" si="26"/>
        <v>0</v>
      </c>
      <c r="H106" s="61">
        <f t="shared" si="26"/>
        <v>0</v>
      </c>
      <c r="I106" s="61">
        <f t="shared" si="26"/>
        <v>0</v>
      </c>
      <c r="J106" s="61">
        <f t="shared" si="26"/>
        <v>0</v>
      </c>
      <c r="K106" s="61">
        <f t="shared" si="26"/>
        <v>0</v>
      </c>
      <c r="L106" s="61">
        <f t="shared" si="26"/>
        <v>0</v>
      </c>
      <c r="M106" s="61">
        <f t="shared" si="26"/>
        <v>0</v>
      </c>
      <c r="N106" s="61">
        <f t="shared" si="26"/>
        <v>0</v>
      </c>
      <c r="O106" s="61">
        <f t="shared" si="26"/>
        <v>0</v>
      </c>
      <c r="P106" s="61">
        <f t="shared" si="26"/>
        <v>0</v>
      </c>
      <c r="Q106" s="61">
        <f t="shared" si="26"/>
        <v>0</v>
      </c>
      <c r="R106" s="61">
        <f t="shared" si="26"/>
        <v>0</v>
      </c>
      <c r="S106" s="61">
        <f t="shared" si="26"/>
        <v>0</v>
      </c>
      <c r="T106" s="61">
        <f t="shared" si="26"/>
        <v>0</v>
      </c>
      <c r="U106" s="61">
        <f t="shared" si="26"/>
        <v>0</v>
      </c>
      <c r="V106" s="61">
        <f t="shared" si="26"/>
        <v>0</v>
      </c>
      <c r="W106" s="61">
        <f t="shared" si="26"/>
        <v>0</v>
      </c>
      <c r="X106" s="61">
        <f t="shared" si="26"/>
        <v>0</v>
      </c>
      <c r="Y106" s="61">
        <f t="shared" si="26"/>
        <v>0</v>
      </c>
    </row>
    <row r="107" spans="1:33" x14ac:dyDescent="0.25">
      <c r="A107" s="127" t="str">
        <f>A$23</f>
        <v>lot9</v>
      </c>
      <c r="B107" s="61">
        <f t="shared" ref="B107:Y107" si="27">VLOOKUP(B96,$AD$6:$AF$10,3)</f>
        <v>0</v>
      </c>
      <c r="C107" s="61">
        <f t="shared" si="27"/>
        <v>0</v>
      </c>
      <c r="D107" s="61">
        <f t="shared" si="27"/>
        <v>0</v>
      </c>
      <c r="E107" s="61">
        <f t="shared" si="27"/>
        <v>0</v>
      </c>
      <c r="F107" s="61">
        <f t="shared" si="27"/>
        <v>0</v>
      </c>
      <c r="G107" s="61">
        <f t="shared" si="27"/>
        <v>0</v>
      </c>
      <c r="H107" s="61">
        <f t="shared" si="27"/>
        <v>0</v>
      </c>
      <c r="I107" s="61">
        <f t="shared" si="27"/>
        <v>0</v>
      </c>
      <c r="J107" s="61">
        <f t="shared" si="27"/>
        <v>0</v>
      </c>
      <c r="K107" s="61">
        <f t="shared" si="27"/>
        <v>0</v>
      </c>
      <c r="L107" s="61">
        <f t="shared" si="27"/>
        <v>0</v>
      </c>
      <c r="M107" s="61">
        <f t="shared" si="27"/>
        <v>0</v>
      </c>
      <c r="N107" s="61">
        <f t="shared" si="27"/>
        <v>0</v>
      </c>
      <c r="O107" s="61">
        <f t="shared" si="27"/>
        <v>0</v>
      </c>
      <c r="P107" s="61">
        <f t="shared" si="27"/>
        <v>0</v>
      </c>
      <c r="Q107" s="61">
        <f t="shared" si="27"/>
        <v>0</v>
      </c>
      <c r="R107" s="61">
        <f t="shared" si="27"/>
        <v>0</v>
      </c>
      <c r="S107" s="61">
        <f t="shared" si="27"/>
        <v>0</v>
      </c>
      <c r="T107" s="61">
        <f t="shared" si="27"/>
        <v>0</v>
      </c>
      <c r="U107" s="61">
        <f t="shared" si="27"/>
        <v>0</v>
      </c>
      <c r="V107" s="61">
        <f t="shared" si="27"/>
        <v>0</v>
      </c>
      <c r="W107" s="61">
        <f t="shared" si="27"/>
        <v>0</v>
      </c>
      <c r="X107" s="61">
        <f t="shared" si="27"/>
        <v>0</v>
      </c>
      <c r="Y107" s="61">
        <f t="shared" si="27"/>
        <v>0</v>
      </c>
    </row>
    <row r="108" spans="1:33" x14ac:dyDescent="0.25">
      <c r="A108" s="128" t="str">
        <f>A$24</f>
        <v>lot10</v>
      </c>
      <c r="B108" s="61">
        <f t="shared" ref="B108:X108" si="28">VLOOKUP(B97,$AD$6:$AF$10,3)</f>
        <v>0</v>
      </c>
      <c r="C108" s="61">
        <f t="shared" si="28"/>
        <v>0</v>
      </c>
      <c r="D108" s="61">
        <f t="shared" si="28"/>
        <v>0</v>
      </c>
      <c r="E108" s="61">
        <f t="shared" si="28"/>
        <v>0</v>
      </c>
      <c r="F108" s="61">
        <f t="shared" si="28"/>
        <v>0</v>
      </c>
      <c r="G108" s="61">
        <f t="shared" si="28"/>
        <v>0</v>
      </c>
      <c r="H108" s="61">
        <f t="shared" si="28"/>
        <v>0</v>
      </c>
      <c r="I108" s="61">
        <f t="shared" si="28"/>
        <v>0</v>
      </c>
      <c r="J108" s="61">
        <f t="shared" si="28"/>
        <v>0</v>
      </c>
      <c r="K108" s="61">
        <f t="shared" si="28"/>
        <v>0</v>
      </c>
      <c r="L108" s="61">
        <f t="shared" si="28"/>
        <v>0</v>
      </c>
      <c r="M108" s="61">
        <f t="shared" si="28"/>
        <v>0</v>
      </c>
      <c r="N108" s="61">
        <f t="shared" si="28"/>
        <v>0</v>
      </c>
      <c r="O108" s="61">
        <f t="shared" si="28"/>
        <v>0</v>
      </c>
      <c r="P108" s="61">
        <f t="shared" si="28"/>
        <v>0</v>
      </c>
      <c r="Q108" s="61">
        <f t="shared" si="28"/>
        <v>0</v>
      </c>
      <c r="R108" s="61">
        <f t="shared" si="28"/>
        <v>0</v>
      </c>
      <c r="S108" s="61">
        <f t="shared" si="28"/>
        <v>0</v>
      </c>
      <c r="T108" s="61">
        <f t="shared" si="28"/>
        <v>0</v>
      </c>
      <c r="U108" s="61">
        <f t="shared" si="28"/>
        <v>0</v>
      </c>
      <c r="V108" s="61">
        <f t="shared" si="28"/>
        <v>0</v>
      </c>
      <c r="W108" s="61">
        <f t="shared" si="28"/>
        <v>0</v>
      </c>
      <c r="X108" s="61">
        <f t="shared" si="28"/>
        <v>0</v>
      </c>
      <c r="Y108" s="61">
        <f>VLOOKUP(Y97,$AD$6:$AF$10,3)</f>
        <v>0</v>
      </c>
    </row>
    <row r="109" spans="1:33" s="5" customFormat="1" x14ac:dyDescent="0.25">
      <c r="A109" s="55" t="s">
        <v>205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AE109" s="86"/>
      <c r="AG109"/>
    </row>
    <row r="110" spans="1:33" x14ac:dyDescent="0.25">
      <c r="A110" s="127" t="str">
        <f>A$15</f>
        <v>lot1</v>
      </c>
      <c r="B110" s="61">
        <f t="shared" ref="B110:Y119" si="29">(B39*B$3*B99)/1000</f>
        <v>0</v>
      </c>
      <c r="C110" s="61">
        <f t="shared" si="29"/>
        <v>0</v>
      </c>
      <c r="D110" s="61">
        <f t="shared" si="29"/>
        <v>0</v>
      </c>
      <c r="E110" s="61">
        <f t="shared" si="29"/>
        <v>0</v>
      </c>
      <c r="F110" s="61">
        <f t="shared" si="29"/>
        <v>0</v>
      </c>
      <c r="G110" s="61">
        <f t="shared" si="29"/>
        <v>0</v>
      </c>
      <c r="H110" s="61">
        <f t="shared" si="29"/>
        <v>0</v>
      </c>
      <c r="I110" s="61">
        <f t="shared" si="29"/>
        <v>0</v>
      </c>
      <c r="J110" s="61">
        <f t="shared" si="29"/>
        <v>0</v>
      </c>
      <c r="K110" s="61">
        <f t="shared" si="29"/>
        <v>0</v>
      </c>
      <c r="L110" s="61">
        <f t="shared" si="29"/>
        <v>0</v>
      </c>
      <c r="M110" s="61">
        <f t="shared" si="29"/>
        <v>0</v>
      </c>
      <c r="N110" s="61">
        <f t="shared" si="29"/>
        <v>0</v>
      </c>
      <c r="O110" s="61">
        <f t="shared" si="29"/>
        <v>0</v>
      </c>
      <c r="P110" s="61">
        <f t="shared" si="29"/>
        <v>0</v>
      </c>
      <c r="Q110" s="61">
        <f t="shared" si="29"/>
        <v>0</v>
      </c>
      <c r="R110" s="61">
        <f t="shared" si="29"/>
        <v>0</v>
      </c>
      <c r="S110" s="61">
        <f t="shared" si="29"/>
        <v>0</v>
      </c>
      <c r="T110" s="61">
        <f t="shared" si="29"/>
        <v>0</v>
      </c>
      <c r="U110" s="61">
        <f t="shared" si="29"/>
        <v>0</v>
      </c>
      <c r="V110" s="61">
        <f t="shared" si="29"/>
        <v>0</v>
      </c>
      <c r="W110" s="61">
        <f t="shared" si="29"/>
        <v>0</v>
      </c>
      <c r="X110" s="61">
        <f t="shared" si="29"/>
        <v>0</v>
      </c>
      <c r="Y110" s="61">
        <f t="shared" si="29"/>
        <v>0</v>
      </c>
    </row>
    <row r="111" spans="1:33" x14ac:dyDescent="0.25">
      <c r="A111" s="128" t="str">
        <f>A$16</f>
        <v>lot2</v>
      </c>
      <c r="B111" s="61">
        <f t="shared" si="29"/>
        <v>0</v>
      </c>
      <c r="C111" s="61">
        <f t="shared" si="29"/>
        <v>0</v>
      </c>
      <c r="D111" s="61">
        <f t="shared" si="29"/>
        <v>0</v>
      </c>
      <c r="E111" s="61">
        <f t="shared" si="29"/>
        <v>0</v>
      </c>
      <c r="F111" s="61">
        <f t="shared" si="29"/>
        <v>0</v>
      </c>
      <c r="G111" s="61">
        <f t="shared" si="29"/>
        <v>0</v>
      </c>
      <c r="H111" s="61">
        <f t="shared" si="29"/>
        <v>0</v>
      </c>
      <c r="I111" s="61">
        <f t="shared" si="29"/>
        <v>0</v>
      </c>
      <c r="J111" s="61">
        <f t="shared" si="29"/>
        <v>0</v>
      </c>
      <c r="K111" s="61">
        <f t="shared" si="29"/>
        <v>0</v>
      </c>
      <c r="L111" s="61">
        <f t="shared" si="29"/>
        <v>0</v>
      </c>
      <c r="M111" s="61">
        <f t="shared" si="29"/>
        <v>0</v>
      </c>
      <c r="N111" s="61">
        <f t="shared" si="29"/>
        <v>0</v>
      </c>
      <c r="O111" s="61">
        <f t="shared" si="29"/>
        <v>0</v>
      </c>
      <c r="P111" s="61">
        <f t="shared" si="29"/>
        <v>0</v>
      </c>
      <c r="Q111" s="61">
        <f t="shared" si="29"/>
        <v>0</v>
      </c>
      <c r="R111" s="61">
        <f t="shared" si="29"/>
        <v>0</v>
      </c>
      <c r="S111" s="61">
        <f t="shared" si="29"/>
        <v>0</v>
      </c>
      <c r="T111" s="61">
        <f t="shared" si="29"/>
        <v>0</v>
      </c>
      <c r="U111" s="61">
        <f t="shared" si="29"/>
        <v>0</v>
      </c>
      <c r="V111" s="61">
        <f t="shared" si="29"/>
        <v>0</v>
      </c>
      <c r="W111" s="61">
        <f t="shared" si="29"/>
        <v>0</v>
      </c>
      <c r="X111" s="61">
        <f t="shared" si="29"/>
        <v>0</v>
      </c>
      <c r="Y111" s="61">
        <f t="shared" si="29"/>
        <v>0</v>
      </c>
    </row>
    <row r="112" spans="1:33" x14ac:dyDescent="0.25">
      <c r="A112" s="128" t="str">
        <f>A$17</f>
        <v>lot3</v>
      </c>
      <c r="B112" s="61">
        <f t="shared" si="29"/>
        <v>0</v>
      </c>
      <c r="C112" s="61">
        <f t="shared" si="29"/>
        <v>0</v>
      </c>
      <c r="D112" s="61">
        <f t="shared" si="29"/>
        <v>0</v>
      </c>
      <c r="E112" s="61">
        <f t="shared" si="29"/>
        <v>0</v>
      </c>
      <c r="F112" s="61">
        <f t="shared" si="29"/>
        <v>0</v>
      </c>
      <c r="G112" s="61">
        <f t="shared" si="29"/>
        <v>0</v>
      </c>
      <c r="H112" s="61">
        <f t="shared" si="29"/>
        <v>0</v>
      </c>
      <c r="I112" s="61">
        <f t="shared" si="29"/>
        <v>0</v>
      </c>
      <c r="J112" s="61">
        <f t="shared" si="29"/>
        <v>0</v>
      </c>
      <c r="K112" s="61">
        <f t="shared" si="29"/>
        <v>0</v>
      </c>
      <c r="L112" s="61">
        <f t="shared" si="29"/>
        <v>0</v>
      </c>
      <c r="M112" s="61">
        <f t="shared" si="29"/>
        <v>0</v>
      </c>
      <c r="N112" s="61">
        <f t="shared" si="29"/>
        <v>0</v>
      </c>
      <c r="O112" s="61">
        <f t="shared" si="29"/>
        <v>0</v>
      </c>
      <c r="P112" s="61">
        <f t="shared" si="29"/>
        <v>0</v>
      </c>
      <c r="Q112" s="61">
        <f t="shared" si="29"/>
        <v>0</v>
      </c>
      <c r="R112" s="61">
        <f t="shared" si="29"/>
        <v>0</v>
      </c>
      <c r="S112" s="61">
        <f t="shared" si="29"/>
        <v>0</v>
      </c>
      <c r="T112" s="61">
        <f t="shared" si="29"/>
        <v>0</v>
      </c>
      <c r="U112" s="61">
        <f t="shared" si="29"/>
        <v>0</v>
      </c>
      <c r="V112" s="61">
        <f t="shared" si="29"/>
        <v>0</v>
      </c>
      <c r="W112" s="61">
        <f t="shared" si="29"/>
        <v>0</v>
      </c>
      <c r="X112" s="61">
        <f t="shared" si="29"/>
        <v>0</v>
      </c>
      <c r="Y112" s="61">
        <f t="shared" si="29"/>
        <v>0</v>
      </c>
    </row>
    <row r="113" spans="1:29" x14ac:dyDescent="0.25">
      <c r="A113" s="127" t="str">
        <f>A$18</f>
        <v>lot4</v>
      </c>
      <c r="B113" s="61">
        <f t="shared" si="29"/>
        <v>0</v>
      </c>
      <c r="C113" s="61">
        <f t="shared" si="29"/>
        <v>0</v>
      </c>
      <c r="D113" s="61">
        <f t="shared" si="29"/>
        <v>0</v>
      </c>
      <c r="E113" s="61">
        <f t="shared" si="29"/>
        <v>0</v>
      </c>
      <c r="F113" s="61">
        <f t="shared" si="29"/>
        <v>0</v>
      </c>
      <c r="G113" s="61">
        <f t="shared" si="29"/>
        <v>0</v>
      </c>
      <c r="H113" s="61">
        <f t="shared" si="29"/>
        <v>0</v>
      </c>
      <c r="I113" s="61">
        <f t="shared" si="29"/>
        <v>0</v>
      </c>
      <c r="J113" s="61">
        <f t="shared" si="29"/>
        <v>0</v>
      </c>
      <c r="K113" s="61">
        <f t="shared" si="29"/>
        <v>0</v>
      </c>
      <c r="L113" s="61">
        <f t="shared" si="29"/>
        <v>0</v>
      </c>
      <c r="M113" s="61">
        <f t="shared" si="29"/>
        <v>0</v>
      </c>
      <c r="N113" s="61">
        <f t="shared" si="29"/>
        <v>0</v>
      </c>
      <c r="O113" s="61">
        <f t="shared" si="29"/>
        <v>0</v>
      </c>
      <c r="P113" s="61">
        <f t="shared" si="29"/>
        <v>0</v>
      </c>
      <c r="Q113" s="61">
        <f t="shared" si="29"/>
        <v>0</v>
      </c>
      <c r="R113" s="61">
        <f t="shared" si="29"/>
        <v>0</v>
      </c>
      <c r="S113" s="61">
        <f t="shared" si="29"/>
        <v>0</v>
      </c>
      <c r="T113" s="61">
        <f t="shared" si="29"/>
        <v>0</v>
      </c>
      <c r="U113" s="61">
        <f t="shared" si="29"/>
        <v>0</v>
      </c>
      <c r="V113" s="61">
        <f t="shared" si="29"/>
        <v>0</v>
      </c>
      <c r="W113" s="61">
        <f t="shared" si="29"/>
        <v>0</v>
      </c>
      <c r="X113" s="61">
        <f t="shared" si="29"/>
        <v>0</v>
      </c>
      <c r="Y113" s="61">
        <f t="shared" si="29"/>
        <v>0</v>
      </c>
    </row>
    <row r="114" spans="1:29" x14ac:dyDescent="0.25">
      <c r="A114" s="128" t="str">
        <f>A$19</f>
        <v>lot5</v>
      </c>
      <c r="B114" s="61">
        <f t="shared" si="29"/>
        <v>0</v>
      </c>
      <c r="C114" s="61">
        <f t="shared" si="29"/>
        <v>0</v>
      </c>
      <c r="D114" s="61">
        <f t="shared" si="29"/>
        <v>0</v>
      </c>
      <c r="E114" s="61">
        <f t="shared" si="29"/>
        <v>0</v>
      </c>
      <c r="F114" s="61">
        <f t="shared" si="29"/>
        <v>0</v>
      </c>
      <c r="G114" s="61">
        <f t="shared" si="29"/>
        <v>0</v>
      </c>
      <c r="H114" s="61">
        <f t="shared" si="29"/>
        <v>0</v>
      </c>
      <c r="I114" s="61">
        <f t="shared" si="29"/>
        <v>0</v>
      </c>
      <c r="J114" s="61">
        <f t="shared" si="29"/>
        <v>0</v>
      </c>
      <c r="K114" s="61">
        <f t="shared" si="29"/>
        <v>0</v>
      </c>
      <c r="L114" s="61">
        <f t="shared" si="29"/>
        <v>0</v>
      </c>
      <c r="M114" s="61">
        <f t="shared" si="29"/>
        <v>0</v>
      </c>
      <c r="N114" s="61">
        <f t="shared" si="29"/>
        <v>0</v>
      </c>
      <c r="O114" s="61">
        <f t="shared" si="29"/>
        <v>0</v>
      </c>
      <c r="P114" s="61">
        <f t="shared" si="29"/>
        <v>0</v>
      </c>
      <c r="Q114" s="61">
        <f t="shared" si="29"/>
        <v>0</v>
      </c>
      <c r="R114" s="61">
        <f t="shared" si="29"/>
        <v>0</v>
      </c>
      <c r="S114" s="61">
        <f t="shared" si="29"/>
        <v>0</v>
      </c>
      <c r="T114" s="61">
        <f t="shared" si="29"/>
        <v>0</v>
      </c>
      <c r="U114" s="61">
        <f t="shared" si="29"/>
        <v>0</v>
      </c>
      <c r="V114" s="61">
        <f t="shared" si="29"/>
        <v>0</v>
      </c>
      <c r="W114" s="61">
        <f t="shared" si="29"/>
        <v>0</v>
      </c>
      <c r="X114" s="61">
        <f t="shared" si="29"/>
        <v>0</v>
      </c>
      <c r="Y114" s="61">
        <f t="shared" si="29"/>
        <v>0</v>
      </c>
    </row>
    <row r="115" spans="1:29" x14ac:dyDescent="0.25">
      <c r="A115" s="127" t="str">
        <f>A$20</f>
        <v>lot6</v>
      </c>
      <c r="B115" s="61">
        <f t="shared" si="29"/>
        <v>0</v>
      </c>
      <c r="C115" s="61">
        <f t="shared" si="29"/>
        <v>0</v>
      </c>
      <c r="D115" s="61">
        <f t="shared" si="29"/>
        <v>0</v>
      </c>
      <c r="E115" s="61">
        <f t="shared" si="29"/>
        <v>0</v>
      </c>
      <c r="F115" s="61">
        <f t="shared" si="29"/>
        <v>0</v>
      </c>
      <c r="G115" s="61">
        <f t="shared" si="29"/>
        <v>0</v>
      </c>
      <c r="H115" s="61">
        <f t="shared" si="29"/>
        <v>0</v>
      </c>
      <c r="I115" s="61">
        <f t="shared" si="29"/>
        <v>0</v>
      </c>
      <c r="J115" s="61">
        <f t="shared" si="29"/>
        <v>0</v>
      </c>
      <c r="K115" s="61">
        <f t="shared" si="29"/>
        <v>0</v>
      </c>
      <c r="L115" s="61">
        <f t="shared" si="29"/>
        <v>0</v>
      </c>
      <c r="M115" s="61">
        <f t="shared" si="29"/>
        <v>0</v>
      </c>
      <c r="N115" s="61">
        <f t="shared" si="29"/>
        <v>0</v>
      </c>
      <c r="O115" s="61">
        <f t="shared" si="29"/>
        <v>0</v>
      </c>
      <c r="P115" s="61">
        <f t="shared" si="29"/>
        <v>0</v>
      </c>
      <c r="Q115" s="61">
        <f t="shared" si="29"/>
        <v>0</v>
      </c>
      <c r="R115" s="61">
        <f t="shared" si="29"/>
        <v>0</v>
      </c>
      <c r="S115" s="61">
        <f t="shared" si="29"/>
        <v>0</v>
      </c>
      <c r="T115" s="61">
        <f t="shared" si="29"/>
        <v>0</v>
      </c>
      <c r="U115" s="61">
        <f t="shared" si="29"/>
        <v>0</v>
      </c>
      <c r="V115" s="61">
        <f t="shared" si="29"/>
        <v>0</v>
      </c>
      <c r="W115" s="61">
        <f t="shared" si="29"/>
        <v>0</v>
      </c>
      <c r="X115" s="61">
        <f t="shared" si="29"/>
        <v>0</v>
      </c>
      <c r="Y115" s="61">
        <f t="shared" si="29"/>
        <v>0</v>
      </c>
    </row>
    <row r="116" spans="1:29" x14ac:dyDescent="0.25">
      <c r="A116" s="128" t="str">
        <f>A$21</f>
        <v>lot7</v>
      </c>
      <c r="B116" s="61">
        <f t="shared" si="29"/>
        <v>0</v>
      </c>
      <c r="C116" s="61">
        <f t="shared" si="29"/>
        <v>0</v>
      </c>
      <c r="D116" s="61">
        <f t="shared" si="29"/>
        <v>0</v>
      </c>
      <c r="E116" s="61">
        <f t="shared" si="29"/>
        <v>0</v>
      </c>
      <c r="F116" s="61">
        <f t="shared" si="29"/>
        <v>0</v>
      </c>
      <c r="G116" s="61">
        <f t="shared" si="29"/>
        <v>0</v>
      </c>
      <c r="H116" s="61">
        <f t="shared" si="29"/>
        <v>0</v>
      </c>
      <c r="I116" s="61">
        <f t="shared" si="29"/>
        <v>0</v>
      </c>
      <c r="J116" s="61">
        <f t="shared" si="29"/>
        <v>0</v>
      </c>
      <c r="K116" s="61">
        <f t="shared" si="29"/>
        <v>0</v>
      </c>
      <c r="L116" s="61">
        <f t="shared" si="29"/>
        <v>0</v>
      </c>
      <c r="M116" s="61">
        <f t="shared" si="29"/>
        <v>0</v>
      </c>
      <c r="N116" s="61">
        <f t="shared" si="29"/>
        <v>0</v>
      </c>
      <c r="O116" s="61">
        <f t="shared" si="29"/>
        <v>0</v>
      </c>
      <c r="P116" s="61">
        <f t="shared" si="29"/>
        <v>0</v>
      </c>
      <c r="Q116" s="61">
        <f t="shared" si="29"/>
        <v>0</v>
      </c>
      <c r="R116" s="61">
        <f t="shared" si="29"/>
        <v>0</v>
      </c>
      <c r="S116" s="61">
        <f t="shared" si="29"/>
        <v>0</v>
      </c>
      <c r="T116" s="61">
        <f t="shared" si="29"/>
        <v>0</v>
      </c>
      <c r="U116" s="61">
        <f t="shared" si="29"/>
        <v>0</v>
      </c>
      <c r="V116" s="61">
        <f t="shared" si="29"/>
        <v>0</v>
      </c>
      <c r="W116" s="61">
        <f t="shared" si="29"/>
        <v>0</v>
      </c>
      <c r="X116" s="61">
        <f t="shared" si="29"/>
        <v>0</v>
      </c>
      <c r="Y116" s="61">
        <f t="shared" si="29"/>
        <v>0</v>
      </c>
    </row>
    <row r="117" spans="1:29" x14ac:dyDescent="0.25">
      <c r="A117" s="128" t="str">
        <f>A$22</f>
        <v>lot8</v>
      </c>
      <c r="B117" s="61">
        <f t="shared" si="29"/>
        <v>0</v>
      </c>
      <c r="C117" s="61">
        <f t="shared" si="29"/>
        <v>0</v>
      </c>
      <c r="D117" s="61">
        <f t="shared" si="29"/>
        <v>0</v>
      </c>
      <c r="E117" s="61">
        <f t="shared" si="29"/>
        <v>0</v>
      </c>
      <c r="F117" s="61">
        <f t="shared" si="29"/>
        <v>0</v>
      </c>
      <c r="G117" s="61">
        <f t="shared" si="29"/>
        <v>0</v>
      </c>
      <c r="H117" s="61">
        <f t="shared" si="29"/>
        <v>0</v>
      </c>
      <c r="I117" s="61">
        <f t="shared" si="29"/>
        <v>0</v>
      </c>
      <c r="J117" s="61">
        <f t="shared" si="29"/>
        <v>0</v>
      </c>
      <c r="K117" s="61">
        <f t="shared" si="29"/>
        <v>0</v>
      </c>
      <c r="L117" s="61">
        <f t="shared" si="29"/>
        <v>0</v>
      </c>
      <c r="M117" s="61">
        <f t="shared" si="29"/>
        <v>0</v>
      </c>
      <c r="N117" s="61">
        <f t="shared" si="29"/>
        <v>0</v>
      </c>
      <c r="O117" s="61">
        <f t="shared" si="29"/>
        <v>0</v>
      </c>
      <c r="P117" s="61">
        <f t="shared" si="29"/>
        <v>0</v>
      </c>
      <c r="Q117" s="61">
        <f t="shared" si="29"/>
        <v>0</v>
      </c>
      <c r="R117" s="61">
        <f t="shared" si="29"/>
        <v>0</v>
      </c>
      <c r="S117" s="61">
        <f t="shared" si="29"/>
        <v>0</v>
      </c>
      <c r="T117" s="61">
        <f t="shared" si="29"/>
        <v>0</v>
      </c>
      <c r="U117" s="61">
        <f t="shared" si="29"/>
        <v>0</v>
      </c>
      <c r="V117" s="61">
        <f t="shared" si="29"/>
        <v>0</v>
      </c>
      <c r="W117" s="61">
        <f t="shared" si="29"/>
        <v>0</v>
      </c>
      <c r="X117" s="61">
        <f t="shared" si="29"/>
        <v>0</v>
      </c>
      <c r="Y117" s="61">
        <f t="shared" si="29"/>
        <v>0</v>
      </c>
    </row>
    <row r="118" spans="1:29" x14ac:dyDescent="0.25">
      <c r="A118" s="127" t="str">
        <f>A$23</f>
        <v>lot9</v>
      </c>
      <c r="B118" s="61">
        <f t="shared" si="29"/>
        <v>0</v>
      </c>
      <c r="C118" s="61">
        <f t="shared" si="29"/>
        <v>0</v>
      </c>
      <c r="D118" s="61">
        <f t="shared" si="29"/>
        <v>0</v>
      </c>
      <c r="E118" s="61">
        <f t="shared" si="29"/>
        <v>0</v>
      </c>
      <c r="F118" s="61">
        <f t="shared" si="29"/>
        <v>0</v>
      </c>
      <c r="G118" s="61">
        <f t="shared" si="29"/>
        <v>0</v>
      </c>
      <c r="H118" s="61">
        <f t="shared" si="29"/>
        <v>0</v>
      </c>
      <c r="I118" s="61">
        <f t="shared" si="29"/>
        <v>0</v>
      </c>
      <c r="J118" s="61">
        <f t="shared" si="29"/>
        <v>0</v>
      </c>
      <c r="K118" s="61">
        <f t="shared" si="29"/>
        <v>0</v>
      </c>
      <c r="L118" s="61">
        <f t="shared" si="29"/>
        <v>0</v>
      </c>
      <c r="M118" s="61">
        <f t="shared" si="29"/>
        <v>0</v>
      </c>
      <c r="N118" s="61">
        <f t="shared" si="29"/>
        <v>0</v>
      </c>
      <c r="O118" s="61">
        <f t="shared" si="29"/>
        <v>0</v>
      </c>
      <c r="P118" s="61">
        <f t="shared" si="29"/>
        <v>0</v>
      </c>
      <c r="Q118" s="61">
        <f t="shared" si="29"/>
        <v>0</v>
      </c>
      <c r="R118" s="61">
        <f t="shared" si="29"/>
        <v>0</v>
      </c>
      <c r="S118" s="61">
        <f t="shared" si="29"/>
        <v>0</v>
      </c>
      <c r="T118" s="61">
        <f t="shared" si="29"/>
        <v>0</v>
      </c>
      <c r="U118" s="61">
        <f t="shared" si="29"/>
        <v>0</v>
      </c>
      <c r="V118" s="61">
        <f t="shared" si="29"/>
        <v>0</v>
      </c>
      <c r="W118" s="61">
        <f t="shared" si="29"/>
        <v>0</v>
      </c>
      <c r="X118" s="61">
        <f t="shared" si="29"/>
        <v>0</v>
      </c>
      <c r="Y118" s="61">
        <f t="shared" si="29"/>
        <v>0</v>
      </c>
    </row>
    <row r="119" spans="1:29" x14ac:dyDescent="0.25">
      <c r="A119" s="128" t="str">
        <f>A$24</f>
        <v>lot10</v>
      </c>
      <c r="B119" s="61">
        <f t="shared" si="29"/>
        <v>0</v>
      </c>
      <c r="C119" s="61">
        <f t="shared" si="29"/>
        <v>0</v>
      </c>
      <c r="D119" s="61">
        <f t="shared" si="29"/>
        <v>0</v>
      </c>
      <c r="E119" s="61">
        <f t="shared" si="29"/>
        <v>0</v>
      </c>
      <c r="F119" s="61">
        <f t="shared" si="29"/>
        <v>0</v>
      </c>
      <c r="G119" s="61">
        <f t="shared" si="29"/>
        <v>0</v>
      </c>
      <c r="H119" s="61">
        <f t="shared" si="29"/>
        <v>0</v>
      </c>
      <c r="I119" s="61">
        <f t="shared" si="29"/>
        <v>0</v>
      </c>
      <c r="J119" s="61">
        <f t="shared" si="29"/>
        <v>0</v>
      </c>
      <c r="K119" s="61">
        <f t="shared" si="29"/>
        <v>0</v>
      </c>
      <c r="L119" s="61">
        <f t="shared" si="29"/>
        <v>0</v>
      </c>
      <c r="M119" s="61">
        <f t="shared" si="29"/>
        <v>0</v>
      </c>
      <c r="N119" s="61">
        <f t="shared" si="29"/>
        <v>0</v>
      </c>
      <c r="O119" s="61">
        <f t="shared" si="29"/>
        <v>0</v>
      </c>
      <c r="P119" s="61">
        <f t="shared" si="29"/>
        <v>0</v>
      </c>
      <c r="Q119" s="61">
        <f t="shared" si="29"/>
        <v>0</v>
      </c>
      <c r="R119" s="61">
        <f t="shared" si="29"/>
        <v>0</v>
      </c>
      <c r="S119" s="61">
        <f t="shared" si="29"/>
        <v>0</v>
      </c>
      <c r="T119" s="61">
        <f t="shared" si="29"/>
        <v>0</v>
      </c>
      <c r="U119" s="61">
        <f t="shared" si="29"/>
        <v>0</v>
      </c>
      <c r="V119" s="61">
        <f t="shared" si="29"/>
        <v>0</v>
      </c>
      <c r="W119" s="61">
        <f t="shared" si="29"/>
        <v>0</v>
      </c>
      <c r="X119" s="61">
        <f t="shared" si="29"/>
        <v>0</v>
      </c>
      <c r="Y119" s="61">
        <f t="shared" si="29"/>
        <v>0</v>
      </c>
    </row>
    <row r="120" spans="1:29" x14ac:dyDescent="0.25">
      <c r="A120" s="38" t="s">
        <v>203</v>
      </c>
      <c r="B120" s="61">
        <f>ROUNDUP(SUM(B110:B119),1)</f>
        <v>0</v>
      </c>
      <c r="C120" s="61">
        <f t="shared" ref="C120:Y120" si="30">SUM(C110:C119)</f>
        <v>0</v>
      </c>
      <c r="D120" s="61">
        <f t="shared" si="30"/>
        <v>0</v>
      </c>
      <c r="E120" s="61">
        <f t="shared" si="30"/>
        <v>0</v>
      </c>
      <c r="F120" s="61">
        <f t="shared" si="30"/>
        <v>0</v>
      </c>
      <c r="G120" s="61">
        <f t="shared" si="30"/>
        <v>0</v>
      </c>
      <c r="H120" s="61">
        <f t="shared" si="30"/>
        <v>0</v>
      </c>
      <c r="I120" s="61">
        <f t="shared" si="30"/>
        <v>0</v>
      </c>
      <c r="J120" s="61">
        <f t="shared" si="30"/>
        <v>0</v>
      </c>
      <c r="K120" s="61">
        <f t="shared" si="30"/>
        <v>0</v>
      </c>
      <c r="L120" s="61">
        <f t="shared" si="30"/>
        <v>0</v>
      </c>
      <c r="M120" s="61">
        <f t="shared" si="30"/>
        <v>0</v>
      </c>
      <c r="N120" s="61">
        <f t="shared" si="30"/>
        <v>0</v>
      </c>
      <c r="O120" s="61">
        <f t="shared" si="30"/>
        <v>0</v>
      </c>
      <c r="P120" s="61">
        <f t="shared" si="30"/>
        <v>0</v>
      </c>
      <c r="Q120" s="61">
        <f t="shared" si="30"/>
        <v>0</v>
      </c>
      <c r="R120" s="61">
        <f t="shared" si="30"/>
        <v>0</v>
      </c>
      <c r="S120" s="61">
        <f t="shared" si="30"/>
        <v>0</v>
      </c>
      <c r="T120" s="61">
        <f t="shared" si="30"/>
        <v>0</v>
      </c>
      <c r="U120" s="61">
        <f t="shared" si="30"/>
        <v>0</v>
      </c>
      <c r="V120" s="61">
        <f t="shared" si="30"/>
        <v>0</v>
      </c>
      <c r="W120" s="61">
        <f t="shared" si="30"/>
        <v>0</v>
      </c>
      <c r="X120" s="61">
        <f t="shared" si="30"/>
        <v>0</v>
      </c>
      <c r="Y120" s="61">
        <f t="shared" si="30"/>
        <v>0</v>
      </c>
      <c r="AA120" s="57">
        <f>SUM(B120:Y120)</f>
        <v>0</v>
      </c>
      <c r="AB120" t="s">
        <v>38</v>
      </c>
      <c r="AC120" t="s">
        <v>207</v>
      </c>
    </row>
    <row r="122" spans="1:29" x14ac:dyDescent="0.25">
      <c r="A122" s="2" t="s">
        <v>14</v>
      </c>
      <c r="B122" s="15" t="s">
        <v>206</v>
      </c>
    </row>
    <row r="123" spans="1:29" x14ac:dyDescent="0.25">
      <c r="A123" s="127" t="str">
        <f>A$15</f>
        <v>lot1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9" x14ac:dyDescent="0.25">
      <c r="A124" s="128" t="str">
        <f>A$16</f>
        <v>lot2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9" x14ac:dyDescent="0.25">
      <c r="A125" s="128" t="str">
        <f>A$17</f>
        <v>lot3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</row>
    <row r="126" spans="1:29" x14ac:dyDescent="0.25">
      <c r="A126" s="127" t="str">
        <f>A$18</f>
        <v>lot4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9" x14ac:dyDescent="0.25">
      <c r="A127" s="128" t="str">
        <f>A$19</f>
        <v>lot5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9" x14ac:dyDescent="0.25">
      <c r="A128" s="127" t="str">
        <f>A$20</f>
        <v>lot6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31" x14ac:dyDescent="0.25">
      <c r="A129" s="128" t="str">
        <f>A$21</f>
        <v>lot7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</row>
    <row r="130" spans="1:31" x14ac:dyDescent="0.25">
      <c r="A130" s="128" t="str">
        <f>A$22</f>
        <v>lot8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31" x14ac:dyDescent="0.25">
      <c r="A131" s="127" t="str">
        <f>A$23</f>
        <v>lot9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31" x14ac:dyDescent="0.25">
      <c r="A132" s="128" t="str">
        <f>A$24</f>
        <v>lot10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31" s="5" customFormat="1" x14ac:dyDescent="0.25"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AE133" s="86"/>
    </row>
    <row r="134" spans="1:31" s="5" customFormat="1" x14ac:dyDescent="0.25"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AE134" s="86"/>
    </row>
    <row r="135" spans="1:31" x14ac:dyDescent="0.25">
      <c r="A135" s="2" t="s">
        <v>15</v>
      </c>
    </row>
    <row r="136" spans="1:31" x14ac:dyDescent="0.25">
      <c r="A136" s="127" t="str">
        <f>A$15</f>
        <v>lot1</v>
      </c>
      <c r="B136" s="61">
        <f>B110*(1-B123)</f>
        <v>0</v>
      </c>
      <c r="C136" s="61">
        <f t="shared" ref="C136:Y136" si="31">C110*(1-C123)</f>
        <v>0</v>
      </c>
      <c r="D136" s="61">
        <f t="shared" si="31"/>
        <v>0</v>
      </c>
      <c r="E136" s="61">
        <f t="shared" si="31"/>
        <v>0</v>
      </c>
      <c r="F136" s="61">
        <f t="shared" si="31"/>
        <v>0</v>
      </c>
      <c r="G136" s="61">
        <f t="shared" si="31"/>
        <v>0</v>
      </c>
      <c r="H136" s="61">
        <f t="shared" si="31"/>
        <v>0</v>
      </c>
      <c r="I136" s="61">
        <f t="shared" si="31"/>
        <v>0</v>
      </c>
      <c r="J136" s="61">
        <f t="shared" si="31"/>
        <v>0</v>
      </c>
      <c r="K136" s="61">
        <f t="shared" si="31"/>
        <v>0</v>
      </c>
      <c r="L136" s="61">
        <f t="shared" si="31"/>
        <v>0</v>
      </c>
      <c r="M136" s="61">
        <f t="shared" si="31"/>
        <v>0</v>
      </c>
      <c r="N136" s="61">
        <f t="shared" si="31"/>
        <v>0</v>
      </c>
      <c r="O136" s="61">
        <f t="shared" si="31"/>
        <v>0</v>
      </c>
      <c r="P136" s="61">
        <f t="shared" si="31"/>
        <v>0</v>
      </c>
      <c r="Q136" s="61">
        <f t="shared" si="31"/>
        <v>0</v>
      </c>
      <c r="R136" s="61">
        <f t="shared" si="31"/>
        <v>0</v>
      </c>
      <c r="S136" s="61">
        <f t="shared" si="31"/>
        <v>0</v>
      </c>
      <c r="T136" s="61">
        <f t="shared" si="31"/>
        <v>0</v>
      </c>
      <c r="U136" s="61">
        <f t="shared" si="31"/>
        <v>0</v>
      </c>
      <c r="V136" s="61">
        <f t="shared" si="31"/>
        <v>0</v>
      </c>
      <c r="W136" s="61">
        <f t="shared" si="31"/>
        <v>0</v>
      </c>
      <c r="X136" s="61">
        <f t="shared" si="31"/>
        <v>0</v>
      </c>
      <c r="Y136" s="61">
        <f t="shared" si="31"/>
        <v>0</v>
      </c>
      <c r="AA136" s="61">
        <f>SUM(B136:Y136)</f>
        <v>0</v>
      </c>
    </row>
    <row r="137" spans="1:31" x14ac:dyDescent="0.25">
      <c r="A137" s="128" t="str">
        <f>A$16</f>
        <v>lot2</v>
      </c>
      <c r="B137" s="61">
        <f t="shared" ref="B137:Y144" si="32">B111*(1-B124)</f>
        <v>0</v>
      </c>
      <c r="C137" s="61">
        <f t="shared" si="32"/>
        <v>0</v>
      </c>
      <c r="D137" s="61">
        <f t="shared" si="32"/>
        <v>0</v>
      </c>
      <c r="E137" s="61">
        <f t="shared" si="32"/>
        <v>0</v>
      </c>
      <c r="F137" s="61">
        <f t="shared" si="32"/>
        <v>0</v>
      </c>
      <c r="G137" s="61">
        <f t="shared" si="32"/>
        <v>0</v>
      </c>
      <c r="H137" s="61">
        <f t="shared" si="32"/>
        <v>0</v>
      </c>
      <c r="I137" s="61">
        <f t="shared" si="32"/>
        <v>0</v>
      </c>
      <c r="J137" s="61">
        <f t="shared" si="32"/>
        <v>0</v>
      </c>
      <c r="K137" s="61">
        <f t="shared" si="32"/>
        <v>0</v>
      </c>
      <c r="L137" s="61">
        <f t="shared" si="32"/>
        <v>0</v>
      </c>
      <c r="M137" s="61">
        <f t="shared" si="32"/>
        <v>0</v>
      </c>
      <c r="N137" s="61">
        <f t="shared" si="32"/>
        <v>0</v>
      </c>
      <c r="O137" s="61">
        <f t="shared" si="32"/>
        <v>0</v>
      </c>
      <c r="P137" s="61">
        <f t="shared" si="32"/>
        <v>0</v>
      </c>
      <c r="Q137" s="61">
        <f t="shared" si="32"/>
        <v>0</v>
      </c>
      <c r="R137" s="61">
        <f t="shared" si="32"/>
        <v>0</v>
      </c>
      <c r="S137" s="61">
        <f t="shared" si="32"/>
        <v>0</v>
      </c>
      <c r="T137" s="61">
        <f t="shared" si="32"/>
        <v>0</v>
      </c>
      <c r="U137" s="61">
        <f t="shared" si="32"/>
        <v>0</v>
      </c>
      <c r="V137" s="61">
        <f t="shared" si="32"/>
        <v>0</v>
      </c>
      <c r="W137" s="61">
        <f t="shared" si="32"/>
        <v>0</v>
      </c>
      <c r="X137" s="61">
        <f t="shared" si="32"/>
        <v>0</v>
      </c>
      <c r="Y137" s="61">
        <f t="shared" si="32"/>
        <v>0</v>
      </c>
      <c r="AA137" s="61">
        <f>SUM(B137:Y137)</f>
        <v>0</v>
      </c>
    </row>
    <row r="138" spans="1:31" x14ac:dyDescent="0.25">
      <c r="A138" s="128" t="str">
        <f>A$17</f>
        <v>lot3</v>
      </c>
      <c r="B138" s="61">
        <f t="shared" si="32"/>
        <v>0</v>
      </c>
      <c r="C138" s="61">
        <f t="shared" si="32"/>
        <v>0</v>
      </c>
      <c r="D138" s="61">
        <f t="shared" si="32"/>
        <v>0</v>
      </c>
      <c r="E138" s="61">
        <f t="shared" si="32"/>
        <v>0</v>
      </c>
      <c r="F138" s="61">
        <f t="shared" si="32"/>
        <v>0</v>
      </c>
      <c r="G138" s="61">
        <f t="shared" si="32"/>
        <v>0</v>
      </c>
      <c r="H138" s="61">
        <f t="shared" si="32"/>
        <v>0</v>
      </c>
      <c r="I138" s="61">
        <f t="shared" si="32"/>
        <v>0</v>
      </c>
      <c r="J138" s="61">
        <f t="shared" si="32"/>
        <v>0</v>
      </c>
      <c r="K138" s="61">
        <f t="shared" si="32"/>
        <v>0</v>
      </c>
      <c r="L138" s="61">
        <f t="shared" si="32"/>
        <v>0</v>
      </c>
      <c r="M138" s="61">
        <f t="shared" si="32"/>
        <v>0</v>
      </c>
      <c r="N138" s="61">
        <f t="shared" si="32"/>
        <v>0</v>
      </c>
      <c r="O138" s="61">
        <f t="shared" si="32"/>
        <v>0</v>
      </c>
      <c r="P138" s="61">
        <f t="shared" si="32"/>
        <v>0</v>
      </c>
      <c r="Q138" s="61">
        <f t="shared" si="32"/>
        <v>0</v>
      </c>
      <c r="R138" s="61">
        <f t="shared" si="32"/>
        <v>0</v>
      </c>
      <c r="S138" s="61">
        <f t="shared" si="32"/>
        <v>0</v>
      </c>
      <c r="T138" s="61">
        <f t="shared" si="32"/>
        <v>0</v>
      </c>
      <c r="U138" s="61">
        <f t="shared" si="32"/>
        <v>0</v>
      </c>
      <c r="V138" s="61">
        <f t="shared" si="32"/>
        <v>0</v>
      </c>
      <c r="W138" s="61">
        <f t="shared" si="32"/>
        <v>0</v>
      </c>
      <c r="X138" s="61">
        <f t="shared" si="32"/>
        <v>0</v>
      </c>
      <c r="Y138" s="61">
        <f t="shared" si="32"/>
        <v>0</v>
      </c>
      <c r="AA138" s="61">
        <f t="shared" ref="AA138:AA144" si="33">SUM(B138:Y138)</f>
        <v>0</v>
      </c>
    </row>
    <row r="139" spans="1:31" x14ac:dyDescent="0.25">
      <c r="A139" s="127" t="str">
        <f>A$18</f>
        <v>lot4</v>
      </c>
      <c r="B139" s="61">
        <f t="shared" si="32"/>
        <v>0</v>
      </c>
      <c r="C139" s="61">
        <f t="shared" si="32"/>
        <v>0</v>
      </c>
      <c r="D139" s="61">
        <f t="shared" si="32"/>
        <v>0</v>
      </c>
      <c r="E139" s="61">
        <f t="shared" si="32"/>
        <v>0</v>
      </c>
      <c r="F139" s="61">
        <f t="shared" si="32"/>
        <v>0</v>
      </c>
      <c r="G139" s="61">
        <f t="shared" si="32"/>
        <v>0</v>
      </c>
      <c r="H139" s="61">
        <f t="shared" si="32"/>
        <v>0</v>
      </c>
      <c r="I139" s="61">
        <f t="shared" si="32"/>
        <v>0</v>
      </c>
      <c r="J139" s="61">
        <f t="shared" si="32"/>
        <v>0</v>
      </c>
      <c r="K139" s="61">
        <f t="shared" si="32"/>
        <v>0</v>
      </c>
      <c r="L139" s="61">
        <f t="shared" si="32"/>
        <v>0</v>
      </c>
      <c r="M139" s="61">
        <f t="shared" si="32"/>
        <v>0</v>
      </c>
      <c r="N139" s="61">
        <f t="shared" si="32"/>
        <v>0</v>
      </c>
      <c r="O139" s="61">
        <f t="shared" si="32"/>
        <v>0</v>
      </c>
      <c r="P139" s="61">
        <f t="shared" si="32"/>
        <v>0</v>
      </c>
      <c r="Q139" s="61">
        <f t="shared" si="32"/>
        <v>0</v>
      </c>
      <c r="R139" s="61">
        <f t="shared" si="32"/>
        <v>0</v>
      </c>
      <c r="S139" s="61">
        <f t="shared" si="32"/>
        <v>0</v>
      </c>
      <c r="T139" s="61">
        <f t="shared" si="32"/>
        <v>0</v>
      </c>
      <c r="U139" s="61">
        <f t="shared" si="32"/>
        <v>0</v>
      </c>
      <c r="V139" s="61">
        <f t="shared" si="32"/>
        <v>0</v>
      </c>
      <c r="W139" s="61">
        <f t="shared" si="32"/>
        <v>0</v>
      </c>
      <c r="X139" s="61">
        <f t="shared" si="32"/>
        <v>0</v>
      </c>
      <c r="Y139" s="61">
        <f t="shared" si="32"/>
        <v>0</v>
      </c>
      <c r="AA139" s="61">
        <f t="shared" si="33"/>
        <v>0</v>
      </c>
    </row>
    <row r="140" spans="1:31" x14ac:dyDescent="0.25">
      <c r="A140" s="128" t="str">
        <f>A$19</f>
        <v>lot5</v>
      </c>
      <c r="B140" s="61">
        <f t="shared" si="32"/>
        <v>0</v>
      </c>
      <c r="C140" s="61">
        <f t="shared" si="32"/>
        <v>0</v>
      </c>
      <c r="D140" s="61">
        <f t="shared" si="32"/>
        <v>0</v>
      </c>
      <c r="E140" s="61">
        <f t="shared" si="32"/>
        <v>0</v>
      </c>
      <c r="F140" s="61">
        <f t="shared" si="32"/>
        <v>0</v>
      </c>
      <c r="G140" s="61">
        <f t="shared" si="32"/>
        <v>0</v>
      </c>
      <c r="H140" s="61">
        <f t="shared" si="32"/>
        <v>0</v>
      </c>
      <c r="I140" s="61">
        <f t="shared" si="32"/>
        <v>0</v>
      </c>
      <c r="J140" s="61">
        <f t="shared" si="32"/>
        <v>0</v>
      </c>
      <c r="K140" s="61">
        <f t="shared" si="32"/>
        <v>0</v>
      </c>
      <c r="L140" s="61">
        <f t="shared" si="32"/>
        <v>0</v>
      </c>
      <c r="M140" s="61">
        <f t="shared" si="32"/>
        <v>0</v>
      </c>
      <c r="N140" s="61">
        <f t="shared" si="32"/>
        <v>0</v>
      </c>
      <c r="O140" s="61">
        <f t="shared" si="32"/>
        <v>0</v>
      </c>
      <c r="P140" s="61">
        <f t="shared" si="32"/>
        <v>0</v>
      </c>
      <c r="Q140" s="61">
        <f t="shared" si="32"/>
        <v>0</v>
      </c>
      <c r="R140" s="61">
        <f t="shared" si="32"/>
        <v>0</v>
      </c>
      <c r="S140" s="61">
        <f t="shared" si="32"/>
        <v>0</v>
      </c>
      <c r="T140" s="61">
        <f t="shared" si="32"/>
        <v>0</v>
      </c>
      <c r="U140" s="61">
        <f t="shared" si="32"/>
        <v>0</v>
      </c>
      <c r="V140" s="61">
        <f t="shared" si="32"/>
        <v>0</v>
      </c>
      <c r="W140" s="61">
        <f t="shared" si="32"/>
        <v>0</v>
      </c>
      <c r="X140" s="61">
        <f t="shared" si="32"/>
        <v>0</v>
      </c>
      <c r="Y140" s="61">
        <f t="shared" si="32"/>
        <v>0</v>
      </c>
      <c r="AA140" s="61">
        <f t="shared" si="33"/>
        <v>0</v>
      </c>
    </row>
    <row r="141" spans="1:31" x14ac:dyDescent="0.25">
      <c r="A141" s="127" t="str">
        <f>A$20</f>
        <v>lot6</v>
      </c>
      <c r="B141" s="61">
        <f t="shared" si="32"/>
        <v>0</v>
      </c>
      <c r="C141" s="61">
        <f t="shared" si="32"/>
        <v>0</v>
      </c>
      <c r="D141" s="61">
        <f t="shared" si="32"/>
        <v>0</v>
      </c>
      <c r="E141" s="61">
        <f t="shared" si="32"/>
        <v>0</v>
      </c>
      <c r="F141" s="61">
        <f t="shared" si="32"/>
        <v>0</v>
      </c>
      <c r="G141" s="61">
        <f t="shared" si="32"/>
        <v>0</v>
      </c>
      <c r="H141" s="61">
        <f t="shared" si="32"/>
        <v>0</v>
      </c>
      <c r="I141" s="61">
        <f t="shared" si="32"/>
        <v>0</v>
      </c>
      <c r="J141" s="61">
        <f t="shared" si="32"/>
        <v>0</v>
      </c>
      <c r="K141" s="61">
        <f t="shared" si="32"/>
        <v>0</v>
      </c>
      <c r="L141" s="61">
        <f t="shared" si="32"/>
        <v>0</v>
      </c>
      <c r="M141" s="61">
        <f t="shared" si="32"/>
        <v>0</v>
      </c>
      <c r="N141" s="61">
        <f t="shared" si="32"/>
        <v>0</v>
      </c>
      <c r="O141" s="61">
        <f t="shared" si="32"/>
        <v>0</v>
      </c>
      <c r="P141" s="61">
        <f t="shared" si="32"/>
        <v>0</v>
      </c>
      <c r="Q141" s="61">
        <f t="shared" si="32"/>
        <v>0</v>
      </c>
      <c r="R141" s="61">
        <f t="shared" si="32"/>
        <v>0</v>
      </c>
      <c r="S141" s="61">
        <f t="shared" si="32"/>
        <v>0</v>
      </c>
      <c r="T141" s="61">
        <f t="shared" si="32"/>
        <v>0</v>
      </c>
      <c r="U141" s="61">
        <f t="shared" si="32"/>
        <v>0</v>
      </c>
      <c r="V141" s="61">
        <f t="shared" si="32"/>
        <v>0</v>
      </c>
      <c r="W141" s="61">
        <f t="shared" si="32"/>
        <v>0</v>
      </c>
      <c r="X141" s="61">
        <f t="shared" si="32"/>
        <v>0</v>
      </c>
      <c r="Y141" s="61">
        <f t="shared" si="32"/>
        <v>0</v>
      </c>
      <c r="AA141" s="61">
        <f t="shared" si="33"/>
        <v>0</v>
      </c>
    </row>
    <row r="142" spans="1:31" x14ac:dyDescent="0.25">
      <c r="A142" s="128" t="str">
        <f>A$21</f>
        <v>lot7</v>
      </c>
      <c r="B142" s="61">
        <f t="shared" si="32"/>
        <v>0</v>
      </c>
      <c r="C142" s="61">
        <f t="shared" si="32"/>
        <v>0</v>
      </c>
      <c r="D142" s="61">
        <f t="shared" si="32"/>
        <v>0</v>
      </c>
      <c r="E142" s="61">
        <f t="shared" si="32"/>
        <v>0</v>
      </c>
      <c r="F142" s="61">
        <f t="shared" si="32"/>
        <v>0</v>
      </c>
      <c r="G142" s="61">
        <f t="shared" si="32"/>
        <v>0</v>
      </c>
      <c r="H142" s="61">
        <f t="shared" si="32"/>
        <v>0</v>
      </c>
      <c r="I142" s="61">
        <f t="shared" si="32"/>
        <v>0</v>
      </c>
      <c r="J142" s="61">
        <f t="shared" si="32"/>
        <v>0</v>
      </c>
      <c r="K142" s="61">
        <f t="shared" si="32"/>
        <v>0</v>
      </c>
      <c r="L142" s="61">
        <f t="shared" si="32"/>
        <v>0</v>
      </c>
      <c r="M142" s="61">
        <f t="shared" si="32"/>
        <v>0</v>
      </c>
      <c r="N142" s="61">
        <f t="shared" si="32"/>
        <v>0</v>
      </c>
      <c r="O142" s="61">
        <f t="shared" si="32"/>
        <v>0</v>
      </c>
      <c r="P142" s="61">
        <f t="shared" si="32"/>
        <v>0</v>
      </c>
      <c r="Q142" s="61">
        <f t="shared" si="32"/>
        <v>0</v>
      </c>
      <c r="R142" s="61">
        <f t="shared" si="32"/>
        <v>0</v>
      </c>
      <c r="S142" s="61">
        <f t="shared" si="32"/>
        <v>0</v>
      </c>
      <c r="T142" s="61">
        <f t="shared" si="32"/>
        <v>0</v>
      </c>
      <c r="U142" s="61">
        <f t="shared" si="32"/>
        <v>0</v>
      </c>
      <c r="V142" s="61">
        <f t="shared" si="32"/>
        <v>0</v>
      </c>
      <c r="W142" s="61">
        <f t="shared" si="32"/>
        <v>0</v>
      </c>
      <c r="X142" s="61">
        <f t="shared" si="32"/>
        <v>0</v>
      </c>
      <c r="Y142" s="61">
        <f t="shared" si="32"/>
        <v>0</v>
      </c>
      <c r="AA142" s="61">
        <f t="shared" si="33"/>
        <v>0</v>
      </c>
    </row>
    <row r="143" spans="1:31" x14ac:dyDescent="0.25">
      <c r="A143" s="128" t="str">
        <f>A$22</f>
        <v>lot8</v>
      </c>
      <c r="B143" s="61">
        <f t="shared" si="32"/>
        <v>0</v>
      </c>
      <c r="C143" s="61">
        <f t="shared" si="32"/>
        <v>0</v>
      </c>
      <c r="D143" s="61">
        <f t="shared" si="32"/>
        <v>0</v>
      </c>
      <c r="E143" s="61">
        <f t="shared" si="32"/>
        <v>0</v>
      </c>
      <c r="F143" s="61">
        <f t="shared" si="32"/>
        <v>0</v>
      </c>
      <c r="G143" s="61">
        <f t="shared" si="32"/>
        <v>0</v>
      </c>
      <c r="H143" s="61">
        <f t="shared" si="32"/>
        <v>0</v>
      </c>
      <c r="I143" s="61">
        <f t="shared" si="32"/>
        <v>0</v>
      </c>
      <c r="J143" s="61">
        <f t="shared" si="32"/>
        <v>0</v>
      </c>
      <c r="K143" s="61">
        <f t="shared" si="32"/>
        <v>0</v>
      </c>
      <c r="L143" s="61">
        <f t="shared" si="32"/>
        <v>0</v>
      </c>
      <c r="M143" s="61">
        <f t="shared" si="32"/>
        <v>0</v>
      </c>
      <c r="N143" s="61">
        <f t="shared" si="32"/>
        <v>0</v>
      </c>
      <c r="O143" s="61">
        <f t="shared" si="32"/>
        <v>0</v>
      </c>
      <c r="P143" s="61">
        <f t="shared" si="32"/>
        <v>0</v>
      </c>
      <c r="Q143" s="61">
        <f t="shared" si="32"/>
        <v>0</v>
      </c>
      <c r="R143" s="61">
        <f t="shared" si="32"/>
        <v>0</v>
      </c>
      <c r="S143" s="61">
        <f t="shared" si="32"/>
        <v>0</v>
      </c>
      <c r="T143" s="61">
        <f t="shared" si="32"/>
        <v>0</v>
      </c>
      <c r="U143" s="61">
        <f t="shared" si="32"/>
        <v>0</v>
      </c>
      <c r="V143" s="61">
        <f t="shared" si="32"/>
        <v>0</v>
      </c>
      <c r="W143" s="61">
        <f t="shared" si="32"/>
        <v>0</v>
      </c>
      <c r="X143" s="61">
        <f t="shared" si="32"/>
        <v>0</v>
      </c>
      <c r="Y143" s="61">
        <f t="shared" si="32"/>
        <v>0</v>
      </c>
      <c r="AA143" s="61">
        <f t="shared" si="33"/>
        <v>0</v>
      </c>
    </row>
    <row r="144" spans="1:31" x14ac:dyDescent="0.25">
      <c r="A144" s="127" t="str">
        <f>A$23</f>
        <v>lot9</v>
      </c>
      <c r="B144" s="61">
        <f>B118*(1-B131)</f>
        <v>0</v>
      </c>
      <c r="C144" s="61">
        <f t="shared" si="32"/>
        <v>0</v>
      </c>
      <c r="D144" s="61">
        <f t="shared" si="32"/>
        <v>0</v>
      </c>
      <c r="E144" s="61">
        <f t="shared" si="32"/>
        <v>0</v>
      </c>
      <c r="F144" s="61">
        <f t="shared" si="32"/>
        <v>0</v>
      </c>
      <c r="G144" s="61">
        <f t="shared" si="32"/>
        <v>0</v>
      </c>
      <c r="H144" s="61">
        <f t="shared" si="32"/>
        <v>0</v>
      </c>
      <c r="I144" s="61">
        <f t="shared" si="32"/>
        <v>0</v>
      </c>
      <c r="J144" s="61">
        <f t="shared" si="32"/>
        <v>0</v>
      </c>
      <c r="K144" s="61">
        <f t="shared" si="32"/>
        <v>0</v>
      </c>
      <c r="L144" s="61">
        <f t="shared" si="32"/>
        <v>0</v>
      </c>
      <c r="M144" s="61">
        <f t="shared" si="32"/>
        <v>0</v>
      </c>
      <c r="N144" s="61">
        <f t="shared" si="32"/>
        <v>0</v>
      </c>
      <c r="O144" s="61">
        <f t="shared" si="32"/>
        <v>0</v>
      </c>
      <c r="P144" s="61">
        <f t="shared" si="32"/>
        <v>0</v>
      </c>
      <c r="Q144" s="61">
        <f t="shared" si="32"/>
        <v>0</v>
      </c>
      <c r="R144" s="61">
        <f t="shared" si="32"/>
        <v>0</v>
      </c>
      <c r="S144" s="61">
        <f t="shared" si="32"/>
        <v>0</v>
      </c>
      <c r="T144" s="61">
        <f t="shared" si="32"/>
        <v>0</v>
      </c>
      <c r="U144" s="61">
        <f t="shared" si="32"/>
        <v>0</v>
      </c>
      <c r="V144" s="61">
        <f t="shared" si="32"/>
        <v>0</v>
      </c>
      <c r="W144" s="61">
        <f t="shared" si="32"/>
        <v>0</v>
      </c>
      <c r="X144" s="61">
        <f t="shared" si="32"/>
        <v>0</v>
      </c>
      <c r="Y144" s="61">
        <f>Y118*(1-Y131)</f>
        <v>0</v>
      </c>
      <c r="AA144" s="61">
        <f t="shared" si="33"/>
        <v>0</v>
      </c>
    </row>
    <row r="145" spans="1:28" x14ac:dyDescent="0.25">
      <c r="A145" s="128" t="str">
        <f>A$24</f>
        <v>lot10</v>
      </c>
      <c r="B145" s="61">
        <f t="shared" ref="B145:Y145" si="34">B119*(1-B132)</f>
        <v>0</v>
      </c>
      <c r="C145" s="61">
        <f t="shared" si="34"/>
        <v>0</v>
      </c>
      <c r="D145" s="61">
        <f t="shared" si="34"/>
        <v>0</v>
      </c>
      <c r="E145" s="61">
        <f t="shared" si="34"/>
        <v>0</v>
      </c>
      <c r="F145" s="61">
        <f t="shared" si="34"/>
        <v>0</v>
      </c>
      <c r="G145" s="61">
        <f t="shared" si="34"/>
        <v>0</v>
      </c>
      <c r="H145" s="61">
        <f t="shared" si="34"/>
        <v>0</v>
      </c>
      <c r="I145" s="61">
        <f t="shared" si="34"/>
        <v>0</v>
      </c>
      <c r="J145" s="61">
        <f t="shared" si="34"/>
        <v>0</v>
      </c>
      <c r="K145" s="61">
        <f t="shared" si="34"/>
        <v>0</v>
      </c>
      <c r="L145" s="61">
        <f t="shared" si="34"/>
        <v>0</v>
      </c>
      <c r="M145" s="61">
        <f t="shared" si="34"/>
        <v>0</v>
      </c>
      <c r="N145" s="61">
        <f t="shared" si="34"/>
        <v>0</v>
      </c>
      <c r="O145" s="61">
        <f t="shared" si="34"/>
        <v>0</v>
      </c>
      <c r="P145" s="61">
        <f t="shared" si="34"/>
        <v>0</v>
      </c>
      <c r="Q145" s="61">
        <f t="shared" si="34"/>
        <v>0</v>
      </c>
      <c r="R145" s="61">
        <f t="shared" si="34"/>
        <v>0</v>
      </c>
      <c r="S145" s="61">
        <f t="shared" si="34"/>
        <v>0</v>
      </c>
      <c r="T145" s="61">
        <f t="shared" si="34"/>
        <v>0</v>
      </c>
      <c r="U145" s="61">
        <f t="shared" si="34"/>
        <v>0</v>
      </c>
      <c r="V145" s="61">
        <f t="shared" si="34"/>
        <v>0</v>
      </c>
      <c r="W145" s="61">
        <f t="shared" si="34"/>
        <v>0</v>
      </c>
      <c r="X145" s="61">
        <f t="shared" si="34"/>
        <v>0</v>
      </c>
      <c r="Y145" s="61">
        <f t="shared" si="34"/>
        <v>0</v>
      </c>
      <c r="AA145" s="61">
        <f>SUM(B145:Y145)</f>
        <v>0</v>
      </c>
    </row>
    <row r="146" spans="1:28" x14ac:dyDescent="0.25">
      <c r="A146" s="81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AA146" s="90">
        <f>SUM(AA136:AA145)</f>
        <v>0</v>
      </c>
      <c r="AB146" t="s">
        <v>283</v>
      </c>
    </row>
    <row r="147" spans="1:28" x14ac:dyDescent="0.25">
      <c r="A147" s="81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AA147" s="90">
        <f>AA146*(1+AF11/100)</f>
        <v>0</v>
      </c>
      <c r="AB147" t="s">
        <v>298</v>
      </c>
    </row>
    <row r="148" spans="1:28" x14ac:dyDescent="0.25">
      <c r="A148" s="2" t="s">
        <v>208</v>
      </c>
    </row>
    <row r="149" spans="1:28" x14ac:dyDescent="0.25">
      <c r="A149" s="127" t="str">
        <f>A$15</f>
        <v>lot1</v>
      </c>
      <c r="B149" s="61">
        <f t="shared" ref="B149:Y149" si="35">B110-B136</f>
        <v>0</v>
      </c>
      <c r="C149" s="61">
        <f t="shared" si="35"/>
        <v>0</v>
      </c>
      <c r="D149" s="61">
        <f t="shared" si="35"/>
        <v>0</v>
      </c>
      <c r="E149" s="61">
        <f t="shared" si="35"/>
        <v>0</v>
      </c>
      <c r="F149" s="61">
        <f t="shared" si="35"/>
        <v>0</v>
      </c>
      <c r="G149" s="61">
        <f t="shared" si="35"/>
        <v>0</v>
      </c>
      <c r="H149" s="61">
        <f t="shared" si="35"/>
        <v>0</v>
      </c>
      <c r="I149" s="61">
        <f t="shared" si="35"/>
        <v>0</v>
      </c>
      <c r="J149" s="61">
        <f t="shared" si="35"/>
        <v>0</v>
      </c>
      <c r="K149" s="61">
        <f t="shared" si="35"/>
        <v>0</v>
      </c>
      <c r="L149" s="61">
        <f t="shared" si="35"/>
        <v>0</v>
      </c>
      <c r="M149" s="61">
        <f t="shared" si="35"/>
        <v>0</v>
      </c>
      <c r="N149" s="61">
        <f t="shared" si="35"/>
        <v>0</v>
      </c>
      <c r="O149" s="61">
        <f t="shared" si="35"/>
        <v>0</v>
      </c>
      <c r="P149" s="61">
        <f t="shared" si="35"/>
        <v>0</v>
      </c>
      <c r="Q149" s="61">
        <f t="shared" si="35"/>
        <v>0</v>
      </c>
      <c r="R149" s="61">
        <f t="shared" si="35"/>
        <v>0</v>
      </c>
      <c r="S149" s="61">
        <f t="shared" si="35"/>
        <v>0</v>
      </c>
      <c r="T149" s="61">
        <f t="shared" si="35"/>
        <v>0</v>
      </c>
      <c r="U149" s="61">
        <f t="shared" si="35"/>
        <v>0</v>
      </c>
      <c r="V149" s="61">
        <f t="shared" si="35"/>
        <v>0</v>
      </c>
      <c r="W149" s="61">
        <f t="shared" si="35"/>
        <v>0</v>
      </c>
      <c r="X149" s="61">
        <f t="shared" si="35"/>
        <v>0</v>
      </c>
      <c r="Y149" s="61">
        <f t="shared" si="35"/>
        <v>0</v>
      </c>
    </row>
    <row r="150" spans="1:28" x14ac:dyDescent="0.25">
      <c r="A150" s="128" t="str">
        <f>A$16</f>
        <v>lot2</v>
      </c>
      <c r="B150" s="61">
        <f t="shared" ref="B150:Y150" si="36">B111-B137</f>
        <v>0</v>
      </c>
      <c r="C150" s="61">
        <f t="shared" si="36"/>
        <v>0</v>
      </c>
      <c r="D150" s="61">
        <f t="shared" si="36"/>
        <v>0</v>
      </c>
      <c r="E150" s="61">
        <f t="shared" si="36"/>
        <v>0</v>
      </c>
      <c r="F150" s="61">
        <f t="shared" si="36"/>
        <v>0</v>
      </c>
      <c r="G150" s="61">
        <f t="shared" si="36"/>
        <v>0</v>
      </c>
      <c r="H150" s="61">
        <f t="shared" si="36"/>
        <v>0</v>
      </c>
      <c r="I150" s="61">
        <f t="shared" si="36"/>
        <v>0</v>
      </c>
      <c r="J150" s="61">
        <f t="shared" si="36"/>
        <v>0</v>
      </c>
      <c r="K150" s="61">
        <f t="shared" si="36"/>
        <v>0</v>
      </c>
      <c r="L150" s="61">
        <f t="shared" si="36"/>
        <v>0</v>
      </c>
      <c r="M150" s="61">
        <f t="shared" si="36"/>
        <v>0</v>
      </c>
      <c r="N150" s="61">
        <f t="shared" si="36"/>
        <v>0</v>
      </c>
      <c r="O150" s="61">
        <f t="shared" si="36"/>
        <v>0</v>
      </c>
      <c r="P150" s="61">
        <f t="shared" si="36"/>
        <v>0</v>
      </c>
      <c r="Q150" s="61">
        <f t="shared" si="36"/>
        <v>0</v>
      </c>
      <c r="R150" s="61">
        <f t="shared" si="36"/>
        <v>0</v>
      </c>
      <c r="S150" s="61">
        <f t="shared" si="36"/>
        <v>0</v>
      </c>
      <c r="T150" s="61">
        <f t="shared" si="36"/>
        <v>0</v>
      </c>
      <c r="U150" s="61">
        <f t="shared" si="36"/>
        <v>0</v>
      </c>
      <c r="V150" s="61">
        <f t="shared" si="36"/>
        <v>0</v>
      </c>
      <c r="W150" s="61">
        <f t="shared" si="36"/>
        <v>0</v>
      </c>
      <c r="X150" s="61">
        <f t="shared" si="36"/>
        <v>0</v>
      </c>
      <c r="Y150" s="61">
        <f t="shared" si="36"/>
        <v>0</v>
      </c>
    </row>
    <row r="151" spans="1:28" x14ac:dyDescent="0.25">
      <c r="A151" s="128" t="str">
        <f>A$17</f>
        <v>lot3</v>
      </c>
      <c r="B151" s="61">
        <f t="shared" ref="B151:Y151" si="37">B112-B138</f>
        <v>0</v>
      </c>
      <c r="C151" s="61">
        <f t="shared" si="37"/>
        <v>0</v>
      </c>
      <c r="D151" s="61">
        <f t="shared" si="37"/>
        <v>0</v>
      </c>
      <c r="E151" s="61">
        <f t="shared" si="37"/>
        <v>0</v>
      </c>
      <c r="F151" s="61">
        <f t="shared" si="37"/>
        <v>0</v>
      </c>
      <c r="G151" s="61">
        <f t="shared" si="37"/>
        <v>0</v>
      </c>
      <c r="H151" s="61">
        <f t="shared" si="37"/>
        <v>0</v>
      </c>
      <c r="I151" s="61">
        <f t="shared" si="37"/>
        <v>0</v>
      </c>
      <c r="J151" s="61">
        <f t="shared" si="37"/>
        <v>0</v>
      </c>
      <c r="K151" s="61">
        <f t="shared" si="37"/>
        <v>0</v>
      </c>
      <c r="L151" s="61">
        <f t="shared" si="37"/>
        <v>0</v>
      </c>
      <c r="M151" s="61">
        <f t="shared" si="37"/>
        <v>0</v>
      </c>
      <c r="N151" s="61">
        <f t="shared" si="37"/>
        <v>0</v>
      </c>
      <c r="O151" s="61">
        <f t="shared" si="37"/>
        <v>0</v>
      </c>
      <c r="P151" s="61">
        <f t="shared" si="37"/>
        <v>0</v>
      </c>
      <c r="Q151" s="61">
        <f t="shared" si="37"/>
        <v>0</v>
      </c>
      <c r="R151" s="61">
        <f t="shared" si="37"/>
        <v>0</v>
      </c>
      <c r="S151" s="61">
        <f t="shared" si="37"/>
        <v>0</v>
      </c>
      <c r="T151" s="61">
        <f t="shared" si="37"/>
        <v>0</v>
      </c>
      <c r="U151" s="61">
        <f t="shared" si="37"/>
        <v>0</v>
      </c>
      <c r="V151" s="61">
        <f t="shared" si="37"/>
        <v>0</v>
      </c>
      <c r="W151" s="61">
        <f t="shared" si="37"/>
        <v>0</v>
      </c>
      <c r="X151" s="61">
        <f t="shared" si="37"/>
        <v>0</v>
      </c>
      <c r="Y151" s="61">
        <f t="shared" si="37"/>
        <v>0</v>
      </c>
    </row>
    <row r="152" spans="1:28" x14ac:dyDescent="0.25">
      <c r="A152" s="127" t="str">
        <f>A$18</f>
        <v>lot4</v>
      </c>
      <c r="B152" s="61">
        <f t="shared" ref="B152:Y152" si="38">B113-B139</f>
        <v>0</v>
      </c>
      <c r="C152" s="61">
        <f t="shared" si="38"/>
        <v>0</v>
      </c>
      <c r="D152" s="61">
        <f t="shared" si="38"/>
        <v>0</v>
      </c>
      <c r="E152" s="61">
        <f t="shared" si="38"/>
        <v>0</v>
      </c>
      <c r="F152" s="61">
        <f t="shared" si="38"/>
        <v>0</v>
      </c>
      <c r="G152" s="61">
        <f t="shared" si="38"/>
        <v>0</v>
      </c>
      <c r="H152" s="61">
        <f t="shared" si="38"/>
        <v>0</v>
      </c>
      <c r="I152" s="61">
        <f t="shared" si="38"/>
        <v>0</v>
      </c>
      <c r="J152" s="61">
        <f t="shared" si="38"/>
        <v>0</v>
      </c>
      <c r="K152" s="61">
        <f t="shared" si="38"/>
        <v>0</v>
      </c>
      <c r="L152" s="61">
        <f t="shared" si="38"/>
        <v>0</v>
      </c>
      <c r="M152" s="61">
        <f t="shared" si="38"/>
        <v>0</v>
      </c>
      <c r="N152" s="61">
        <f t="shared" si="38"/>
        <v>0</v>
      </c>
      <c r="O152" s="61">
        <f t="shared" si="38"/>
        <v>0</v>
      </c>
      <c r="P152" s="61">
        <f t="shared" si="38"/>
        <v>0</v>
      </c>
      <c r="Q152" s="61">
        <f t="shared" si="38"/>
        <v>0</v>
      </c>
      <c r="R152" s="61">
        <f t="shared" si="38"/>
        <v>0</v>
      </c>
      <c r="S152" s="61">
        <f t="shared" si="38"/>
        <v>0</v>
      </c>
      <c r="T152" s="61">
        <f t="shared" si="38"/>
        <v>0</v>
      </c>
      <c r="U152" s="61">
        <f t="shared" si="38"/>
        <v>0</v>
      </c>
      <c r="V152" s="61">
        <f t="shared" si="38"/>
        <v>0</v>
      </c>
      <c r="W152" s="61">
        <f t="shared" si="38"/>
        <v>0</v>
      </c>
      <c r="X152" s="61">
        <f t="shared" si="38"/>
        <v>0</v>
      </c>
      <c r="Y152" s="61">
        <f t="shared" si="38"/>
        <v>0</v>
      </c>
    </row>
    <row r="153" spans="1:28" x14ac:dyDescent="0.25">
      <c r="A153" s="128" t="str">
        <f>A$19</f>
        <v>lot5</v>
      </c>
      <c r="B153" s="61">
        <f t="shared" ref="B153:Y153" si="39">B114-B140</f>
        <v>0</v>
      </c>
      <c r="C153" s="61">
        <f t="shared" si="39"/>
        <v>0</v>
      </c>
      <c r="D153" s="61">
        <f t="shared" si="39"/>
        <v>0</v>
      </c>
      <c r="E153" s="61">
        <f t="shared" si="39"/>
        <v>0</v>
      </c>
      <c r="F153" s="61">
        <f t="shared" si="39"/>
        <v>0</v>
      </c>
      <c r="G153" s="61">
        <f t="shared" si="39"/>
        <v>0</v>
      </c>
      <c r="H153" s="61">
        <f t="shared" si="39"/>
        <v>0</v>
      </c>
      <c r="I153" s="61">
        <f t="shared" si="39"/>
        <v>0</v>
      </c>
      <c r="J153" s="61">
        <f t="shared" si="39"/>
        <v>0</v>
      </c>
      <c r="K153" s="61">
        <f t="shared" si="39"/>
        <v>0</v>
      </c>
      <c r="L153" s="61">
        <f t="shared" si="39"/>
        <v>0</v>
      </c>
      <c r="M153" s="61">
        <f t="shared" si="39"/>
        <v>0</v>
      </c>
      <c r="N153" s="61">
        <f t="shared" si="39"/>
        <v>0</v>
      </c>
      <c r="O153" s="61">
        <f t="shared" si="39"/>
        <v>0</v>
      </c>
      <c r="P153" s="61">
        <f t="shared" si="39"/>
        <v>0</v>
      </c>
      <c r="Q153" s="61">
        <f t="shared" si="39"/>
        <v>0</v>
      </c>
      <c r="R153" s="61">
        <f t="shared" si="39"/>
        <v>0</v>
      </c>
      <c r="S153" s="61">
        <f t="shared" si="39"/>
        <v>0</v>
      </c>
      <c r="T153" s="61">
        <f t="shared" si="39"/>
        <v>0</v>
      </c>
      <c r="U153" s="61">
        <f t="shared" si="39"/>
        <v>0</v>
      </c>
      <c r="V153" s="61">
        <f t="shared" si="39"/>
        <v>0</v>
      </c>
      <c r="W153" s="61">
        <f t="shared" si="39"/>
        <v>0</v>
      </c>
      <c r="X153" s="61">
        <f t="shared" si="39"/>
        <v>0</v>
      </c>
      <c r="Y153" s="61">
        <f t="shared" si="39"/>
        <v>0</v>
      </c>
    </row>
    <row r="154" spans="1:28" x14ac:dyDescent="0.25">
      <c r="A154" s="127" t="str">
        <f>A$20</f>
        <v>lot6</v>
      </c>
      <c r="B154" s="61">
        <f t="shared" ref="B154:Y154" si="40">B115-B141</f>
        <v>0</v>
      </c>
      <c r="C154" s="61">
        <f t="shared" si="40"/>
        <v>0</v>
      </c>
      <c r="D154" s="61">
        <f t="shared" si="40"/>
        <v>0</v>
      </c>
      <c r="E154" s="61">
        <f t="shared" si="40"/>
        <v>0</v>
      </c>
      <c r="F154" s="61">
        <f t="shared" si="40"/>
        <v>0</v>
      </c>
      <c r="G154" s="61">
        <f t="shared" si="40"/>
        <v>0</v>
      </c>
      <c r="H154" s="61">
        <f t="shared" si="40"/>
        <v>0</v>
      </c>
      <c r="I154" s="61">
        <f t="shared" si="40"/>
        <v>0</v>
      </c>
      <c r="J154" s="61">
        <f t="shared" si="40"/>
        <v>0</v>
      </c>
      <c r="K154" s="61">
        <f t="shared" si="40"/>
        <v>0</v>
      </c>
      <c r="L154" s="61">
        <f t="shared" si="40"/>
        <v>0</v>
      </c>
      <c r="M154" s="61">
        <f t="shared" si="40"/>
        <v>0</v>
      </c>
      <c r="N154" s="61">
        <f t="shared" si="40"/>
        <v>0</v>
      </c>
      <c r="O154" s="61">
        <f t="shared" si="40"/>
        <v>0</v>
      </c>
      <c r="P154" s="61">
        <f t="shared" si="40"/>
        <v>0</v>
      </c>
      <c r="Q154" s="61">
        <f t="shared" si="40"/>
        <v>0</v>
      </c>
      <c r="R154" s="61">
        <f t="shared" si="40"/>
        <v>0</v>
      </c>
      <c r="S154" s="61">
        <f t="shared" si="40"/>
        <v>0</v>
      </c>
      <c r="T154" s="61">
        <f t="shared" si="40"/>
        <v>0</v>
      </c>
      <c r="U154" s="61">
        <f t="shared" si="40"/>
        <v>0</v>
      </c>
      <c r="V154" s="61">
        <f t="shared" si="40"/>
        <v>0</v>
      </c>
      <c r="W154" s="61">
        <f t="shared" si="40"/>
        <v>0</v>
      </c>
      <c r="X154" s="61">
        <f t="shared" si="40"/>
        <v>0</v>
      </c>
      <c r="Y154" s="61">
        <f t="shared" si="40"/>
        <v>0</v>
      </c>
    </row>
    <row r="155" spans="1:28" x14ac:dyDescent="0.25">
      <c r="A155" s="128" t="str">
        <f>A$21</f>
        <v>lot7</v>
      </c>
      <c r="B155" s="61">
        <f t="shared" ref="B155:Y155" si="41">B116-B142</f>
        <v>0</v>
      </c>
      <c r="C155" s="61">
        <f t="shared" si="41"/>
        <v>0</v>
      </c>
      <c r="D155" s="61">
        <f t="shared" si="41"/>
        <v>0</v>
      </c>
      <c r="E155" s="61">
        <f t="shared" si="41"/>
        <v>0</v>
      </c>
      <c r="F155" s="61">
        <f t="shared" si="41"/>
        <v>0</v>
      </c>
      <c r="G155" s="61">
        <f t="shared" si="41"/>
        <v>0</v>
      </c>
      <c r="H155" s="61">
        <f t="shared" si="41"/>
        <v>0</v>
      </c>
      <c r="I155" s="61">
        <f t="shared" si="41"/>
        <v>0</v>
      </c>
      <c r="J155" s="61">
        <f t="shared" si="41"/>
        <v>0</v>
      </c>
      <c r="K155" s="61">
        <f t="shared" si="41"/>
        <v>0</v>
      </c>
      <c r="L155" s="61">
        <f t="shared" si="41"/>
        <v>0</v>
      </c>
      <c r="M155" s="61">
        <f t="shared" si="41"/>
        <v>0</v>
      </c>
      <c r="N155" s="61">
        <f t="shared" si="41"/>
        <v>0</v>
      </c>
      <c r="O155" s="61">
        <f t="shared" si="41"/>
        <v>0</v>
      </c>
      <c r="P155" s="61">
        <f t="shared" si="41"/>
        <v>0</v>
      </c>
      <c r="Q155" s="61">
        <f t="shared" si="41"/>
        <v>0</v>
      </c>
      <c r="R155" s="61">
        <f t="shared" si="41"/>
        <v>0</v>
      </c>
      <c r="S155" s="61">
        <f t="shared" si="41"/>
        <v>0</v>
      </c>
      <c r="T155" s="61">
        <f t="shared" si="41"/>
        <v>0</v>
      </c>
      <c r="U155" s="61">
        <f t="shared" si="41"/>
        <v>0</v>
      </c>
      <c r="V155" s="61">
        <f t="shared" si="41"/>
        <v>0</v>
      </c>
      <c r="W155" s="61">
        <f t="shared" si="41"/>
        <v>0</v>
      </c>
      <c r="X155" s="61">
        <f t="shared" si="41"/>
        <v>0</v>
      </c>
      <c r="Y155" s="61">
        <f t="shared" si="41"/>
        <v>0</v>
      </c>
    </row>
    <row r="156" spans="1:28" x14ac:dyDescent="0.25">
      <c r="A156" s="128" t="str">
        <f>A$22</f>
        <v>lot8</v>
      </c>
      <c r="B156" s="61">
        <f t="shared" ref="B156:Y156" si="42">B117-B143</f>
        <v>0</v>
      </c>
      <c r="C156" s="61">
        <f t="shared" si="42"/>
        <v>0</v>
      </c>
      <c r="D156" s="61">
        <f t="shared" si="42"/>
        <v>0</v>
      </c>
      <c r="E156" s="61">
        <f t="shared" si="42"/>
        <v>0</v>
      </c>
      <c r="F156" s="61">
        <f t="shared" si="42"/>
        <v>0</v>
      </c>
      <c r="G156" s="61">
        <f t="shared" si="42"/>
        <v>0</v>
      </c>
      <c r="H156" s="61">
        <f t="shared" si="42"/>
        <v>0</v>
      </c>
      <c r="I156" s="61">
        <f t="shared" si="42"/>
        <v>0</v>
      </c>
      <c r="J156" s="61">
        <f t="shared" si="42"/>
        <v>0</v>
      </c>
      <c r="K156" s="61">
        <f t="shared" si="42"/>
        <v>0</v>
      </c>
      <c r="L156" s="61">
        <f t="shared" si="42"/>
        <v>0</v>
      </c>
      <c r="M156" s="61">
        <f t="shared" si="42"/>
        <v>0</v>
      </c>
      <c r="N156" s="61">
        <f t="shared" si="42"/>
        <v>0</v>
      </c>
      <c r="O156" s="61">
        <f t="shared" si="42"/>
        <v>0</v>
      </c>
      <c r="P156" s="61">
        <f t="shared" si="42"/>
        <v>0</v>
      </c>
      <c r="Q156" s="61">
        <f t="shared" si="42"/>
        <v>0</v>
      </c>
      <c r="R156" s="61">
        <f t="shared" si="42"/>
        <v>0</v>
      </c>
      <c r="S156" s="61">
        <f t="shared" si="42"/>
        <v>0</v>
      </c>
      <c r="T156" s="61">
        <f t="shared" si="42"/>
        <v>0</v>
      </c>
      <c r="U156" s="61">
        <f t="shared" si="42"/>
        <v>0</v>
      </c>
      <c r="V156" s="61">
        <f t="shared" si="42"/>
        <v>0</v>
      </c>
      <c r="W156" s="61">
        <f t="shared" si="42"/>
        <v>0</v>
      </c>
      <c r="X156" s="61">
        <f t="shared" si="42"/>
        <v>0</v>
      </c>
      <c r="Y156" s="61">
        <f t="shared" si="42"/>
        <v>0</v>
      </c>
    </row>
    <row r="157" spans="1:28" x14ac:dyDescent="0.25">
      <c r="A157" s="127" t="str">
        <f>A$23</f>
        <v>lot9</v>
      </c>
      <c r="B157" s="61">
        <f t="shared" ref="B157:Y157" si="43">B118-B144</f>
        <v>0</v>
      </c>
      <c r="C157" s="61">
        <f t="shared" si="43"/>
        <v>0</v>
      </c>
      <c r="D157" s="61">
        <f t="shared" si="43"/>
        <v>0</v>
      </c>
      <c r="E157" s="61">
        <f t="shared" si="43"/>
        <v>0</v>
      </c>
      <c r="F157" s="61">
        <f t="shared" si="43"/>
        <v>0</v>
      </c>
      <c r="G157" s="61">
        <f t="shared" si="43"/>
        <v>0</v>
      </c>
      <c r="H157" s="61">
        <f t="shared" si="43"/>
        <v>0</v>
      </c>
      <c r="I157" s="61">
        <f t="shared" si="43"/>
        <v>0</v>
      </c>
      <c r="J157" s="61">
        <f t="shared" si="43"/>
        <v>0</v>
      </c>
      <c r="K157" s="61">
        <f t="shared" si="43"/>
        <v>0</v>
      </c>
      <c r="L157" s="61">
        <f t="shared" si="43"/>
        <v>0</v>
      </c>
      <c r="M157" s="61">
        <f t="shared" si="43"/>
        <v>0</v>
      </c>
      <c r="N157" s="61">
        <f t="shared" si="43"/>
        <v>0</v>
      </c>
      <c r="O157" s="61">
        <f t="shared" si="43"/>
        <v>0</v>
      </c>
      <c r="P157" s="61">
        <f t="shared" si="43"/>
        <v>0</v>
      </c>
      <c r="Q157" s="61">
        <f t="shared" si="43"/>
        <v>0</v>
      </c>
      <c r="R157" s="61">
        <f t="shared" si="43"/>
        <v>0</v>
      </c>
      <c r="S157" s="61">
        <f t="shared" si="43"/>
        <v>0</v>
      </c>
      <c r="T157" s="61">
        <f t="shared" si="43"/>
        <v>0</v>
      </c>
      <c r="U157" s="61">
        <f t="shared" si="43"/>
        <v>0</v>
      </c>
      <c r="V157" s="61">
        <f t="shared" si="43"/>
        <v>0</v>
      </c>
      <c r="W157" s="61">
        <f t="shared" si="43"/>
        <v>0</v>
      </c>
      <c r="X157" s="61">
        <f t="shared" si="43"/>
        <v>0</v>
      </c>
      <c r="Y157" s="61">
        <f t="shared" si="43"/>
        <v>0</v>
      </c>
    </row>
    <row r="158" spans="1:28" x14ac:dyDescent="0.25">
      <c r="A158" s="128" t="str">
        <f>A$24</f>
        <v>lot10</v>
      </c>
      <c r="B158" s="61">
        <f t="shared" ref="B158:Y158" si="44">B119-B145</f>
        <v>0</v>
      </c>
      <c r="C158" s="61">
        <f t="shared" si="44"/>
        <v>0</v>
      </c>
      <c r="D158" s="61">
        <f t="shared" si="44"/>
        <v>0</v>
      </c>
      <c r="E158" s="61">
        <f t="shared" si="44"/>
        <v>0</v>
      </c>
      <c r="F158" s="61">
        <f t="shared" si="44"/>
        <v>0</v>
      </c>
      <c r="G158" s="61">
        <f t="shared" si="44"/>
        <v>0</v>
      </c>
      <c r="H158" s="61">
        <f t="shared" si="44"/>
        <v>0</v>
      </c>
      <c r="I158" s="61">
        <f t="shared" si="44"/>
        <v>0</v>
      </c>
      <c r="J158" s="61">
        <f t="shared" si="44"/>
        <v>0</v>
      </c>
      <c r="K158" s="61">
        <f t="shared" si="44"/>
        <v>0</v>
      </c>
      <c r="L158" s="61">
        <f t="shared" si="44"/>
        <v>0</v>
      </c>
      <c r="M158" s="61">
        <f t="shared" si="44"/>
        <v>0</v>
      </c>
      <c r="N158" s="61">
        <f t="shared" si="44"/>
        <v>0</v>
      </c>
      <c r="O158" s="61">
        <f t="shared" si="44"/>
        <v>0</v>
      </c>
      <c r="P158" s="61">
        <f t="shared" si="44"/>
        <v>0</v>
      </c>
      <c r="Q158" s="61">
        <f t="shared" si="44"/>
        <v>0</v>
      </c>
      <c r="R158" s="61">
        <f t="shared" si="44"/>
        <v>0</v>
      </c>
      <c r="S158" s="61">
        <f t="shared" si="44"/>
        <v>0</v>
      </c>
      <c r="T158" s="61">
        <f t="shared" si="44"/>
        <v>0</v>
      </c>
      <c r="U158" s="61">
        <f t="shared" si="44"/>
        <v>0</v>
      </c>
      <c r="V158" s="61">
        <f t="shared" si="44"/>
        <v>0</v>
      </c>
      <c r="W158" s="61">
        <f t="shared" si="44"/>
        <v>0</v>
      </c>
      <c r="X158" s="61">
        <f t="shared" si="44"/>
        <v>0</v>
      </c>
      <c r="Y158" s="61">
        <f t="shared" si="44"/>
        <v>0</v>
      </c>
    </row>
    <row r="159" spans="1:28" x14ac:dyDescent="0.25">
      <c r="AA159" s="30">
        <f>SUM(B149:Y158)</f>
        <v>0</v>
      </c>
      <c r="AB159" t="s">
        <v>222</v>
      </c>
    </row>
    <row r="161" spans="1:28" x14ac:dyDescent="0.25">
      <c r="A161" s="2" t="s">
        <v>210</v>
      </c>
    </row>
    <row r="162" spans="1:28" x14ac:dyDescent="0.25">
      <c r="A162" s="127" t="str">
        <f>A$15</f>
        <v>lot1</v>
      </c>
      <c r="B162" s="61">
        <f t="shared" ref="B162:Y162" si="45">IF(B76=1,B149,0)</f>
        <v>0</v>
      </c>
      <c r="C162" s="61">
        <f t="shared" si="45"/>
        <v>0</v>
      </c>
      <c r="D162" s="61">
        <f t="shared" si="45"/>
        <v>0</v>
      </c>
      <c r="E162" s="61">
        <f t="shared" si="45"/>
        <v>0</v>
      </c>
      <c r="F162" s="61">
        <f t="shared" si="45"/>
        <v>0</v>
      </c>
      <c r="G162" s="61">
        <f t="shared" si="45"/>
        <v>0</v>
      </c>
      <c r="H162" s="61">
        <f t="shared" si="45"/>
        <v>0</v>
      </c>
      <c r="I162" s="61">
        <f t="shared" si="45"/>
        <v>0</v>
      </c>
      <c r="J162" s="61">
        <f t="shared" si="45"/>
        <v>0</v>
      </c>
      <c r="K162" s="61">
        <f t="shared" si="45"/>
        <v>0</v>
      </c>
      <c r="L162" s="61">
        <f t="shared" si="45"/>
        <v>0</v>
      </c>
      <c r="M162" s="61">
        <f t="shared" si="45"/>
        <v>0</v>
      </c>
      <c r="N162" s="61">
        <f t="shared" si="45"/>
        <v>0</v>
      </c>
      <c r="O162" s="61">
        <f t="shared" si="45"/>
        <v>0</v>
      </c>
      <c r="P162" s="61">
        <f t="shared" si="45"/>
        <v>0</v>
      </c>
      <c r="Q162" s="61">
        <f t="shared" si="45"/>
        <v>0</v>
      </c>
      <c r="R162" s="61">
        <f t="shared" si="45"/>
        <v>0</v>
      </c>
      <c r="S162" s="61">
        <f t="shared" si="45"/>
        <v>0</v>
      </c>
      <c r="T162" s="61">
        <f t="shared" si="45"/>
        <v>0</v>
      </c>
      <c r="U162" s="61">
        <f t="shared" si="45"/>
        <v>0</v>
      </c>
      <c r="V162" s="61">
        <f t="shared" si="45"/>
        <v>0</v>
      </c>
      <c r="W162" s="61">
        <f t="shared" si="45"/>
        <v>0</v>
      </c>
      <c r="X162" s="61">
        <f t="shared" si="45"/>
        <v>0</v>
      </c>
      <c r="Y162" s="61">
        <f t="shared" si="45"/>
        <v>0</v>
      </c>
    </row>
    <row r="163" spans="1:28" x14ac:dyDescent="0.25">
      <c r="A163" s="128" t="str">
        <f>A$16</f>
        <v>lot2</v>
      </c>
      <c r="B163" s="61">
        <f t="shared" ref="B163:Y163" si="46">IF(B77=1,B150,0)</f>
        <v>0</v>
      </c>
      <c r="C163" s="61">
        <f t="shared" si="46"/>
        <v>0</v>
      </c>
      <c r="D163" s="61">
        <f t="shared" si="46"/>
        <v>0</v>
      </c>
      <c r="E163" s="61">
        <f t="shared" si="46"/>
        <v>0</v>
      </c>
      <c r="F163" s="61">
        <f t="shared" si="46"/>
        <v>0</v>
      </c>
      <c r="G163" s="61">
        <f t="shared" si="46"/>
        <v>0</v>
      </c>
      <c r="H163" s="61">
        <f t="shared" si="46"/>
        <v>0</v>
      </c>
      <c r="I163" s="61">
        <f t="shared" si="46"/>
        <v>0</v>
      </c>
      <c r="J163" s="61">
        <f t="shared" si="46"/>
        <v>0</v>
      </c>
      <c r="K163" s="61">
        <f t="shared" si="46"/>
        <v>0</v>
      </c>
      <c r="L163" s="61">
        <f t="shared" si="46"/>
        <v>0</v>
      </c>
      <c r="M163" s="61">
        <f t="shared" si="46"/>
        <v>0</v>
      </c>
      <c r="N163" s="61">
        <f t="shared" si="46"/>
        <v>0</v>
      </c>
      <c r="O163" s="61">
        <f t="shared" si="46"/>
        <v>0</v>
      </c>
      <c r="P163" s="61">
        <f t="shared" si="46"/>
        <v>0</v>
      </c>
      <c r="Q163" s="61">
        <f t="shared" si="46"/>
        <v>0</v>
      </c>
      <c r="R163" s="61">
        <f t="shared" si="46"/>
        <v>0</v>
      </c>
      <c r="S163" s="61">
        <f t="shared" si="46"/>
        <v>0</v>
      </c>
      <c r="T163" s="61">
        <f t="shared" si="46"/>
        <v>0</v>
      </c>
      <c r="U163" s="61">
        <f t="shared" si="46"/>
        <v>0</v>
      </c>
      <c r="V163" s="61">
        <f t="shared" si="46"/>
        <v>0</v>
      </c>
      <c r="W163" s="61">
        <f t="shared" si="46"/>
        <v>0</v>
      </c>
      <c r="X163" s="61">
        <f t="shared" si="46"/>
        <v>0</v>
      </c>
      <c r="Y163" s="61">
        <f t="shared" si="46"/>
        <v>0</v>
      </c>
    </row>
    <row r="164" spans="1:28" x14ac:dyDescent="0.25">
      <c r="A164" s="128" t="str">
        <f>A$17</f>
        <v>lot3</v>
      </c>
      <c r="B164" s="61">
        <f t="shared" ref="B164:Y164" si="47">IF(B78=1,B151,0)</f>
        <v>0</v>
      </c>
      <c r="C164" s="61">
        <f t="shared" si="47"/>
        <v>0</v>
      </c>
      <c r="D164" s="61">
        <f t="shared" si="47"/>
        <v>0</v>
      </c>
      <c r="E164" s="61">
        <f t="shared" si="47"/>
        <v>0</v>
      </c>
      <c r="F164" s="61">
        <f t="shared" si="47"/>
        <v>0</v>
      </c>
      <c r="G164" s="61">
        <f t="shared" si="47"/>
        <v>0</v>
      </c>
      <c r="H164" s="61">
        <f t="shared" si="47"/>
        <v>0</v>
      </c>
      <c r="I164" s="61">
        <f t="shared" si="47"/>
        <v>0</v>
      </c>
      <c r="J164" s="61">
        <f t="shared" si="47"/>
        <v>0</v>
      </c>
      <c r="K164" s="61">
        <f t="shared" si="47"/>
        <v>0</v>
      </c>
      <c r="L164" s="61">
        <f t="shared" si="47"/>
        <v>0</v>
      </c>
      <c r="M164" s="61">
        <f t="shared" si="47"/>
        <v>0</v>
      </c>
      <c r="N164" s="61">
        <f t="shared" si="47"/>
        <v>0</v>
      </c>
      <c r="O164" s="61">
        <f t="shared" si="47"/>
        <v>0</v>
      </c>
      <c r="P164" s="61">
        <f t="shared" si="47"/>
        <v>0</v>
      </c>
      <c r="Q164" s="61">
        <f t="shared" si="47"/>
        <v>0</v>
      </c>
      <c r="R164" s="61">
        <f t="shared" si="47"/>
        <v>0</v>
      </c>
      <c r="S164" s="61">
        <f t="shared" si="47"/>
        <v>0</v>
      </c>
      <c r="T164" s="61">
        <f t="shared" si="47"/>
        <v>0</v>
      </c>
      <c r="U164" s="61">
        <f t="shared" si="47"/>
        <v>0</v>
      </c>
      <c r="V164" s="61">
        <f t="shared" si="47"/>
        <v>0</v>
      </c>
      <c r="W164" s="61">
        <f t="shared" si="47"/>
        <v>0</v>
      </c>
      <c r="X164" s="61">
        <f t="shared" si="47"/>
        <v>0</v>
      </c>
      <c r="Y164" s="61">
        <f t="shared" si="47"/>
        <v>0</v>
      </c>
    </row>
    <row r="165" spans="1:28" x14ac:dyDescent="0.25">
      <c r="A165" s="127" t="str">
        <f>A$18</f>
        <v>lot4</v>
      </c>
      <c r="B165" s="61">
        <f t="shared" ref="B165:Y165" si="48">IF(B79=1,B152,0)</f>
        <v>0</v>
      </c>
      <c r="C165" s="61">
        <f t="shared" si="48"/>
        <v>0</v>
      </c>
      <c r="D165" s="61">
        <f t="shared" si="48"/>
        <v>0</v>
      </c>
      <c r="E165" s="61">
        <f t="shared" si="48"/>
        <v>0</v>
      </c>
      <c r="F165" s="61">
        <f t="shared" si="48"/>
        <v>0</v>
      </c>
      <c r="G165" s="61">
        <f t="shared" si="48"/>
        <v>0</v>
      </c>
      <c r="H165" s="61">
        <f t="shared" si="48"/>
        <v>0</v>
      </c>
      <c r="I165" s="61">
        <f t="shared" si="48"/>
        <v>0</v>
      </c>
      <c r="J165" s="61">
        <f t="shared" si="48"/>
        <v>0</v>
      </c>
      <c r="K165" s="61">
        <f t="shared" si="48"/>
        <v>0</v>
      </c>
      <c r="L165" s="61">
        <f t="shared" si="48"/>
        <v>0</v>
      </c>
      <c r="M165" s="61">
        <f t="shared" si="48"/>
        <v>0</v>
      </c>
      <c r="N165" s="61">
        <f t="shared" si="48"/>
        <v>0</v>
      </c>
      <c r="O165" s="61">
        <f t="shared" si="48"/>
        <v>0</v>
      </c>
      <c r="P165" s="61">
        <f t="shared" si="48"/>
        <v>0</v>
      </c>
      <c r="Q165" s="61">
        <f t="shared" si="48"/>
        <v>0</v>
      </c>
      <c r="R165" s="61">
        <f t="shared" si="48"/>
        <v>0</v>
      </c>
      <c r="S165" s="61">
        <f t="shared" si="48"/>
        <v>0</v>
      </c>
      <c r="T165" s="61">
        <f t="shared" si="48"/>
        <v>0</v>
      </c>
      <c r="U165" s="61">
        <f t="shared" si="48"/>
        <v>0</v>
      </c>
      <c r="V165" s="61">
        <f t="shared" si="48"/>
        <v>0</v>
      </c>
      <c r="W165" s="61">
        <f t="shared" si="48"/>
        <v>0</v>
      </c>
      <c r="X165" s="61">
        <f t="shared" si="48"/>
        <v>0</v>
      </c>
      <c r="Y165" s="61">
        <f t="shared" si="48"/>
        <v>0</v>
      </c>
    </row>
    <row r="166" spans="1:28" x14ac:dyDescent="0.25">
      <c r="A166" s="128" t="str">
        <f>A$19</f>
        <v>lot5</v>
      </c>
      <c r="B166" s="61">
        <f t="shared" ref="B166:Y166" si="49">IF(B80=1,B153,0)</f>
        <v>0</v>
      </c>
      <c r="C166" s="61">
        <f t="shared" si="49"/>
        <v>0</v>
      </c>
      <c r="D166" s="61">
        <f t="shared" si="49"/>
        <v>0</v>
      </c>
      <c r="E166" s="61">
        <f t="shared" si="49"/>
        <v>0</v>
      </c>
      <c r="F166" s="61">
        <f t="shared" si="49"/>
        <v>0</v>
      </c>
      <c r="G166" s="61">
        <f t="shared" si="49"/>
        <v>0</v>
      </c>
      <c r="H166" s="61">
        <f t="shared" si="49"/>
        <v>0</v>
      </c>
      <c r="I166" s="61">
        <f t="shared" si="49"/>
        <v>0</v>
      </c>
      <c r="J166" s="61">
        <f t="shared" si="49"/>
        <v>0</v>
      </c>
      <c r="K166" s="61">
        <f t="shared" si="49"/>
        <v>0</v>
      </c>
      <c r="L166" s="61">
        <f t="shared" si="49"/>
        <v>0</v>
      </c>
      <c r="M166" s="61">
        <f t="shared" si="49"/>
        <v>0</v>
      </c>
      <c r="N166" s="61">
        <f t="shared" si="49"/>
        <v>0</v>
      </c>
      <c r="O166" s="61">
        <f t="shared" si="49"/>
        <v>0</v>
      </c>
      <c r="P166" s="61">
        <f t="shared" si="49"/>
        <v>0</v>
      </c>
      <c r="Q166" s="61">
        <f t="shared" si="49"/>
        <v>0</v>
      </c>
      <c r="R166" s="61">
        <f t="shared" si="49"/>
        <v>0</v>
      </c>
      <c r="S166" s="61">
        <f t="shared" si="49"/>
        <v>0</v>
      </c>
      <c r="T166" s="61">
        <f t="shared" si="49"/>
        <v>0</v>
      </c>
      <c r="U166" s="61">
        <f t="shared" si="49"/>
        <v>0</v>
      </c>
      <c r="V166" s="61">
        <f t="shared" si="49"/>
        <v>0</v>
      </c>
      <c r="W166" s="61">
        <f t="shared" si="49"/>
        <v>0</v>
      </c>
      <c r="X166" s="61">
        <f t="shared" si="49"/>
        <v>0</v>
      </c>
      <c r="Y166" s="61">
        <f t="shared" si="49"/>
        <v>0</v>
      </c>
    </row>
    <row r="167" spans="1:28" x14ac:dyDescent="0.25">
      <c r="A167" s="127" t="str">
        <f>A$20</f>
        <v>lot6</v>
      </c>
      <c r="B167" s="61">
        <f t="shared" ref="B167:Y167" si="50">IF(B81=1,B154,0)</f>
        <v>0</v>
      </c>
      <c r="C167" s="61">
        <f t="shared" si="50"/>
        <v>0</v>
      </c>
      <c r="D167" s="61">
        <f t="shared" si="50"/>
        <v>0</v>
      </c>
      <c r="E167" s="61">
        <f t="shared" si="50"/>
        <v>0</v>
      </c>
      <c r="F167" s="61">
        <f t="shared" si="50"/>
        <v>0</v>
      </c>
      <c r="G167" s="61">
        <f t="shared" si="50"/>
        <v>0</v>
      </c>
      <c r="H167" s="61">
        <f t="shared" si="50"/>
        <v>0</v>
      </c>
      <c r="I167" s="61">
        <f t="shared" si="50"/>
        <v>0</v>
      </c>
      <c r="J167" s="61">
        <f t="shared" si="50"/>
        <v>0</v>
      </c>
      <c r="K167" s="61">
        <f t="shared" si="50"/>
        <v>0</v>
      </c>
      <c r="L167" s="61">
        <f t="shared" si="50"/>
        <v>0</v>
      </c>
      <c r="M167" s="61">
        <f t="shared" si="50"/>
        <v>0</v>
      </c>
      <c r="N167" s="61">
        <f t="shared" si="50"/>
        <v>0</v>
      </c>
      <c r="O167" s="61">
        <f t="shared" si="50"/>
        <v>0</v>
      </c>
      <c r="P167" s="61">
        <f t="shared" si="50"/>
        <v>0</v>
      </c>
      <c r="Q167" s="61">
        <f t="shared" si="50"/>
        <v>0</v>
      </c>
      <c r="R167" s="61">
        <f t="shared" si="50"/>
        <v>0</v>
      </c>
      <c r="S167" s="61">
        <f t="shared" si="50"/>
        <v>0</v>
      </c>
      <c r="T167" s="61">
        <f t="shared" si="50"/>
        <v>0</v>
      </c>
      <c r="U167" s="61">
        <f t="shared" si="50"/>
        <v>0</v>
      </c>
      <c r="V167" s="61">
        <f t="shared" si="50"/>
        <v>0</v>
      </c>
      <c r="W167" s="61">
        <f t="shared" si="50"/>
        <v>0</v>
      </c>
      <c r="X167" s="61">
        <f t="shared" si="50"/>
        <v>0</v>
      </c>
      <c r="Y167" s="61">
        <f t="shared" si="50"/>
        <v>0</v>
      </c>
    </row>
    <row r="168" spans="1:28" x14ac:dyDescent="0.25">
      <c r="A168" s="128" t="str">
        <f>A$21</f>
        <v>lot7</v>
      </c>
      <c r="B168" s="61">
        <f t="shared" ref="B168:Y168" si="51">IF(B82=1,B155,0)</f>
        <v>0</v>
      </c>
      <c r="C168" s="61">
        <f t="shared" si="51"/>
        <v>0</v>
      </c>
      <c r="D168" s="61">
        <f t="shared" si="51"/>
        <v>0</v>
      </c>
      <c r="E168" s="61">
        <f t="shared" si="51"/>
        <v>0</v>
      </c>
      <c r="F168" s="61">
        <f t="shared" si="51"/>
        <v>0</v>
      </c>
      <c r="G168" s="61">
        <f t="shared" si="51"/>
        <v>0</v>
      </c>
      <c r="H168" s="61">
        <f t="shared" si="51"/>
        <v>0</v>
      </c>
      <c r="I168" s="61">
        <f t="shared" si="51"/>
        <v>0</v>
      </c>
      <c r="J168" s="61">
        <f t="shared" si="51"/>
        <v>0</v>
      </c>
      <c r="K168" s="61">
        <f t="shared" si="51"/>
        <v>0</v>
      </c>
      <c r="L168" s="61">
        <f t="shared" si="51"/>
        <v>0</v>
      </c>
      <c r="M168" s="61">
        <f t="shared" si="51"/>
        <v>0</v>
      </c>
      <c r="N168" s="61">
        <f t="shared" si="51"/>
        <v>0</v>
      </c>
      <c r="O168" s="61">
        <f t="shared" si="51"/>
        <v>0</v>
      </c>
      <c r="P168" s="61">
        <f t="shared" si="51"/>
        <v>0</v>
      </c>
      <c r="Q168" s="61">
        <f t="shared" si="51"/>
        <v>0</v>
      </c>
      <c r="R168" s="61">
        <f t="shared" si="51"/>
        <v>0</v>
      </c>
      <c r="S168" s="61">
        <f t="shared" si="51"/>
        <v>0</v>
      </c>
      <c r="T168" s="61">
        <f t="shared" si="51"/>
        <v>0</v>
      </c>
      <c r="U168" s="61">
        <f t="shared" si="51"/>
        <v>0</v>
      </c>
      <c r="V168" s="61">
        <f t="shared" si="51"/>
        <v>0</v>
      </c>
      <c r="W168" s="61">
        <f t="shared" si="51"/>
        <v>0</v>
      </c>
      <c r="X168" s="61">
        <f t="shared" si="51"/>
        <v>0</v>
      </c>
      <c r="Y168" s="61">
        <f t="shared" si="51"/>
        <v>0</v>
      </c>
    </row>
    <row r="169" spans="1:28" x14ac:dyDescent="0.25">
      <c r="A169" s="128" t="str">
        <f>A$22</f>
        <v>lot8</v>
      </c>
      <c r="B169" s="61">
        <f t="shared" ref="B169:Y169" si="52">IF(B83=1,B156,0)</f>
        <v>0</v>
      </c>
      <c r="C169" s="61">
        <f t="shared" si="52"/>
        <v>0</v>
      </c>
      <c r="D169" s="61">
        <f t="shared" si="52"/>
        <v>0</v>
      </c>
      <c r="E169" s="61">
        <f t="shared" si="52"/>
        <v>0</v>
      </c>
      <c r="F169" s="61">
        <f t="shared" si="52"/>
        <v>0</v>
      </c>
      <c r="G169" s="61">
        <f t="shared" si="52"/>
        <v>0</v>
      </c>
      <c r="H169" s="61">
        <f t="shared" si="52"/>
        <v>0</v>
      </c>
      <c r="I169" s="61">
        <f t="shared" si="52"/>
        <v>0</v>
      </c>
      <c r="J169" s="61">
        <f t="shared" si="52"/>
        <v>0</v>
      </c>
      <c r="K169" s="61">
        <f t="shared" si="52"/>
        <v>0</v>
      </c>
      <c r="L169" s="61">
        <f t="shared" si="52"/>
        <v>0</v>
      </c>
      <c r="M169" s="61">
        <f t="shared" si="52"/>
        <v>0</v>
      </c>
      <c r="N169" s="61">
        <f t="shared" si="52"/>
        <v>0</v>
      </c>
      <c r="O169" s="61">
        <f t="shared" si="52"/>
        <v>0</v>
      </c>
      <c r="P169" s="61">
        <f t="shared" si="52"/>
        <v>0</v>
      </c>
      <c r="Q169" s="61">
        <f t="shared" si="52"/>
        <v>0</v>
      </c>
      <c r="R169" s="61">
        <f t="shared" si="52"/>
        <v>0</v>
      </c>
      <c r="S169" s="61">
        <f t="shared" si="52"/>
        <v>0</v>
      </c>
      <c r="T169" s="61">
        <f t="shared" si="52"/>
        <v>0</v>
      </c>
      <c r="U169" s="61">
        <f t="shared" si="52"/>
        <v>0</v>
      </c>
      <c r="V169" s="61">
        <f t="shared" si="52"/>
        <v>0</v>
      </c>
      <c r="W169" s="61">
        <f t="shared" si="52"/>
        <v>0</v>
      </c>
      <c r="X169" s="61">
        <f t="shared" si="52"/>
        <v>0</v>
      </c>
      <c r="Y169" s="61">
        <f t="shared" si="52"/>
        <v>0</v>
      </c>
    </row>
    <row r="170" spans="1:28" x14ac:dyDescent="0.25">
      <c r="A170" s="127" t="str">
        <f>A$23</f>
        <v>lot9</v>
      </c>
      <c r="B170" s="61">
        <f t="shared" ref="B170:Y170" si="53">IF(B84=1,B157,0)</f>
        <v>0</v>
      </c>
      <c r="C170" s="61">
        <f t="shared" si="53"/>
        <v>0</v>
      </c>
      <c r="D170" s="61">
        <f t="shared" si="53"/>
        <v>0</v>
      </c>
      <c r="E170" s="61">
        <f t="shared" si="53"/>
        <v>0</v>
      </c>
      <c r="F170" s="61">
        <f t="shared" si="53"/>
        <v>0</v>
      </c>
      <c r="G170" s="61">
        <f t="shared" si="53"/>
        <v>0</v>
      </c>
      <c r="H170" s="61">
        <f t="shared" si="53"/>
        <v>0</v>
      </c>
      <c r="I170" s="61">
        <f t="shared" si="53"/>
        <v>0</v>
      </c>
      <c r="J170" s="61">
        <f t="shared" si="53"/>
        <v>0</v>
      </c>
      <c r="K170" s="61">
        <f t="shared" si="53"/>
        <v>0</v>
      </c>
      <c r="L170" s="61">
        <f t="shared" si="53"/>
        <v>0</v>
      </c>
      <c r="M170" s="61">
        <f t="shared" si="53"/>
        <v>0</v>
      </c>
      <c r="N170" s="61">
        <f t="shared" si="53"/>
        <v>0</v>
      </c>
      <c r="O170" s="61">
        <f t="shared" si="53"/>
        <v>0</v>
      </c>
      <c r="P170" s="61">
        <f t="shared" si="53"/>
        <v>0</v>
      </c>
      <c r="Q170" s="61">
        <f t="shared" si="53"/>
        <v>0</v>
      </c>
      <c r="R170" s="61">
        <f t="shared" si="53"/>
        <v>0</v>
      </c>
      <c r="S170" s="61">
        <f t="shared" si="53"/>
        <v>0</v>
      </c>
      <c r="T170" s="61">
        <f t="shared" si="53"/>
        <v>0</v>
      </c>
      <c r="U170" s="61">
        <f t="shared" si="53"/>
        <v>0</v>
      </c>
      <c r="V170" s="61">
        <f t="shared" si="53"/>
        <v>0</v>
      </c>
      <c r="W170" s="61">
        <f t="shared" si="53"/>
        <v>0</v>
      </c>
      <c r="X170" s="61">
        <f t="shared" si="53"/>
        <v>0</v>
      </c>
      <c r="Y170" s="61">
        <f t="shared" si="53"/>
        <v>0</v>
      </c>
    </row>
    <row r="171" spans="1:28" x14ac:dyDescent="0.25">
      <c r="A171" s="128" t="str">
        <f>A$24</f>
        <v>lot10</v>
      </c>
      <c r="B171" s="61">
        <f t="shared" ref="B171:Y171" si="54">IF(B85=1,B158,0)</f>
        <v>0</v>
      </c>
      <c r="C171" s="61">
        <f t="shared" si="54"/>
        <v>0</v>
      </c>
      <c r="D171" s="61">
        <f t="shared" si="54"/>
        <v>0</v>
      </c>
      <c r="E171" s="61">
        <f t="shared" si="54"/>
        <v>0</v>
      </c>
      <c r="F171" s="61">
        <f t="shared" si="54"/>
        <v>0</v>
      </c>
      <c r="G171" s="61">
        <f t="shared" si="54"/>
        <v>0</v>
      </c>
      <c r="H171" s="61">
        <f t="shared" si="54"/>
        <v>0</v>
      </c>
      <c r="I171" s="61">
        <f t="shared" si="54"/>
        <v>0</v>
      </c>
      <c r="J171" s="61">
        <f t="shared" si="54"/>
        <v>0</v>
      </c>
      <c r="K171" s="61">
        <f t="shared" si="54"/>
        <v>0</v>
      </c>
      <c r="L171" s="61">
        <f t="shared" si="54"/>
        <v>0</v>
      </c>
      <c r="M171" s="61">
        <f t="shared" si="54"/>
        <v>0</v>
      </c>
      <c r="N171" s="61">
        <f t="shared" si="54"/>
        <v>0</v>
      </c>
      <c r="O171" s="61">
        <f t="shared" si="54"/>
        <v>0</v>
      </c>
      <c r="P171" s="61">
        <f t="shared" si="54"/>
        <v>0</v>
      </c>
      <c r="Q171" s="61">
        <f t="shared" si="54"/>
        <v>0</v>
      </c>
      <c r="R171" s="61">
        <f t="shared" si="54"/>
        <v>0</v>
      </c>
      <c r="S171" s="61">
        <f t="shared" si="54"/>
        <v>0</v>
      </c>
      <c r="T171" s="61">
        <f t="shared" si="54"/>
        <v>0</v>
      </c>
      <c r="U171" s="61">
        <f t="shared" si="54"/>
        <v>0</v>
      </c>
      <c r="V171" s="61">
        <f t="shared" si="54"/>
        <v>0</v>
      </c>
      <c r="W171" s="61">
        <f t="shared" si="54"/>
        <v>0</v>
      </c>
      <c r="X171" s="61">
        <f t="shared" si="54"/>
        <v>0</v>
      </c>
      <c r="Y171" s="61">
        <f t="shared" si="54"/>
        <v>0</v>
      </c>
    </row>
    <row r="172" spans="1:28" x14ac:dyDescent="0.25">
      <c r="A172" s="38" t="s">
        <v>211</v>
      </c>
      <c r="B172" s="61">
        <f>SUM(B162:B171)</f>
        <v>0</v>
      </c>
      <c r="C172" s="61">
        <f t="shared" ref="C172:Y172" si="55">SUM(C162:C171)</f>
        <v>0</v>
      </c>
      <c r="D172" s="61">
        <f t="shared" si="55"/>
        <v>0</v>
      </c>
      <c r="E172" s="61">
        <f t="shared" si="55"/>
        <v>0</v>
      </c>
      <c r="F172" s="61">
        <f t="shared" si="55"/>
        <v>0</v>
      </c>
      <c r="G172" s="61">
        <f t="shared" si="55"/>
        <v>0</v>
      </c>
      <c r="H172" s="61">
        <f t="shared" si="55"/>
        <v>0</v>
      </c>
      <c r="I172" s="61">
        <f t="shared" si="55"/>
        <v>0</v>
      </c>
      <c r="J172" s="61">
        <f t="shared" si="55"/>
        <v>0</v>
      </c>
      <c r="K172" s="61">
        <f t="shared" si="55"/>
        <v>0</v>
      </c>
      <c r="L172" s="61">
        <f t="shared" si="55"/>
        <v>0</v>
      </c>
      <c r="M172" s="61">
        <f t="shared" si="55"/>
        <v>0</v>
      </c>
      <c r="N172" s="61">
        <f t="shared" si="55"/>
        <v>0</v>
      </c>
      <c r="O172" s="61">
        <f t="shared" si="55"/>
        <v>0</v>
      </c>
      <c r="P172" s="61">
        <f t="shared" si="55"/>
        <v>0</v>
      </c>
      <c r="Q172" s="61">
        <f t="shared" si="55"/>
        <v>0</v>
      </c>
      <c r="R172" s="61">
        <f t="shared" si="55"/>
        <v>0</v>
      </c>
      <c r="S172" s="61">
        <f t="shared" si="55"/>
        <v>0</v>
      </c>
      <c r="T172" s="61">
        <f t="shared" si="55"/>
        <v>0</v>
      </c>
      <c r="U172" s="61">
        <f t="shared" si="55"/>
        <v>0</v>
      </c>
      <c r="V172" s="61">
        <f t="shared" si="55"/>
        <v>0</v>
      </c>
      <c r="W172" s="61">
        <f t="shared" si="55"/>
        <v>0</v>
      </c>
      <c r="X172" s="61">
        <f t="shared" si="55"/>
        <v>0</v>
      </c>
      <c r="Y172" s="61">
        <f t="shared" si="55"/>
        <v>0</v>
      </c>
      <c r="AA172" s="64">
        <f>SUM(B172:Y172)</f>
        <v>0</v>
      </c>
      <c r="AB172" t="s">
        <v>212</v>
      </c>
    </row>
    <row r="174" spans="1:28" x14ac:dyDescent="0.25">
      <c r="A174" s="2" t="s">
        <v>213</v>
      </c>
      <c r="F174" s="2"/>
    </row>
    <row r="175" spans="1:28" x14ac:dyDescent="0.25">
      <c r="A175" s="128" t="str">
        <f>A$15</f>
        <v>lot1</v>
      </c>
      <c r="B175" s="61">
        <f t="shared" ref="B175:Y175" si="56">IF(B76=2,B149,0)</f>
        <v>0</v>
      </c>
      <c r="C175" s="61">
        <f t="shared" si="56"/>
        <v>0</v>
      </c>
      <c r="D175" s="61">
        <f t="shared" si="56"/>
        <v>0</v>
      </c>
      <c r="E175" s="61">
        <f t="shared" si="56"/>
        <v>0</v>
      </c>
      <c r="F175" s="61">
        <f t="shared" si="56"/>
        <v>0</v>
      </c>
      <c r="G175" s="61">
        <f t="shared" si="56"/>
        <v>0</v>
      </c>
      <c r="H175" s="61">
        <f t="shared" si="56"/>
        <v>0</v>
      </c>
      <c r="I175" s="61">
        <f t="shared" si="56"/>
        <v>0</v>
      </c>
      <c r="J175" s="61">
        <f t="shared" si="56"/>
        <v>0</v>
      </c>
      <c r="K175" s="61">
        <f t="shared" si="56"/>
        <v>0</v>
      </c>
      <c r="L175" s="61">
        <f t="shared" si="56"/>
        <v>0</v>
      </c>
      <c r="M175" s="61">
        <f t="shared" si="56"/>
        <v>0</v>
      </c>
      <c r="N175" s="61">
        <f t="shared" si="56"/>
        <v>0</v>
      </c>
      <c r="O175" s="61">
        <f t="shared" si="56"/>
        <v>0</v>
      </c>
      <c r="P175" s="61">
        <f t="shared" si="56"/>
        <v>0</v>
      </c>
      <c r="Q175" s="61">
        <f t="shared" si="56"/>
        <v>0</v>
      </c>
      <c r="R175" s="61">
        <f t="shared" si="56"/>
        <v>0</v>
      </c>
      <c r="S175" s="61">
        <f t="shared" si="56"/>
        <v>0</v>
      </c>
      <c r="T175" s="61">
        <f t="shared" si="56"/>
        <v>0</v>
      </c>
      <c r="U175" s="61">
        <f t="shared" si="56"/>
        <v>0</v>
      </c>
      <c r="V175" s="61">
        <f t="shared" si="56"/>
        <v>0</v>
      </c>
      <c r="W175" s="61">
        <f t="shared" si="56"/>
        <v>0</v>
      </c>
      <c r="X175" s="61">
        <f t="shared" si="56"/>
        <v>0</v>
      </c>
      <c r="Y175" s="61">
        <f t="shared" si="56"/>
        <v>0</v>
      </c>
    </row>
    <row r="176" spans="1:28" x14ac:dyDescent="0.25">
      <c r="A176" s="128" t="str">
        <f>A$16</f>
        <v>lot2</v>
      </c>
      <c r="B176" s="61">
        <f t="shared" ref="B176:Y176" si="57">IF(B77=2,B150,0)</f>
        <v>0</v>
      </c>
      <c r="C176" s="61">
        <f t="shared" si="57"/>
        <v>0</v>
      </c>
      <c r="D176" s="61">
        <f t="shared" si="57"/>
        <v>0</v>
      </c>
      <c r="E176" s="61">
        <f t="shared" si="57"/>
        <v>0</v>
      </c>
      <c r="F176" s="61">
        <f t="shared" si="57"/>
        <v>0</v>
      </c>
      <c r="G176" s="61">
        <f t="shared" si="57"/>
        <v>0</v>
      </c>
      <c r="H176" s="61">
        <f t="shared" si="57"/>
        <v>0</v>
      </c>
      <c r="I176" s="61">
        <f t="shared" si="57"/>
        <v>0</v>
      </c>
      <c r="J176" s="61">
        <f t="shared" si="57"/>
        <v>0</v>
      </c>
      <c r="K176" s="61">
        <f t="shared" si="57"/>
        <v>0</v>
      </c>
      <c r="L176" s="61">
        <f t="shared" si="57"/>
        <v>0</v>
      </c>
      <c r="M176" s="61">
        <f t="shared" si="57"/>
        <v>0</v>
      </c>
      <c r="N176" s="61">
        <f t="shared" si="57"/>
        <v>0</v>
      </c>
      <c r="O176" s="61">
        <f t="shared" si="57"/>
        <v>0</v>
      </c>
      <c r="P176" s="61">
        <f t="shared" si="57"/>
        <v>0</v>
      </c>
      <c r="Q176" s="61">
        <f t="shared" si="57"/>
        <v>0</v>
      </c>
      <c r="R176" s="61">
        <f t="shared" si="57"/>
        <v>0</v>
      </c>
      <c r="S176" s="61">
        <f t="shared" si="57"/>
        <v>0</v>
      </c>
      <c r="T176" s="61">
        <f t="shared" si="57"/>
        <v>0</v>
      </c>
      <c r="U176" s="61">
        <f t="shared" si="57"/>
        <v>0</v>
      </c>
      <c r="V176" s="61">
        <f t="shared" si="57"/>
        <v>0</v>
      </c>
      <c r="W176" s="61">
        <f t="shared" si="57"/>
        <v>0</v>
      </c>
      <c r="X176" s="61">
        <f t="shared" si="57"/>
        <v>0</v>
      </c>
      <c r="Y176" s="61">
        <f t="shared" si="57"/>
        <v>0</v>
      </c>
    </row>
    <row r="177" spans="1:28" x14ac:dyDescent="0.25">
      <c r="A177" s="127" t="str">
        <f>A$17</f>
        <v>lot3</v>
      </c>
      <c r="B177" s="61">
        <f t="shared" ref="B177:Y177" si="58">IF(B78=2,B151,0)</f>
        <v>0</v>
      </c>
      <c r="C177" s="61">
        <f t="shared" si="58"/>
        <v>0</v>
      </c>
      <c r="D177" s="61">
        <f t="shared" si="58"/>
        <v>0</v>
      </c>
      <c r="E177" s="61">
        <f t="shared" si="58"/>
        <v>0</v>
      </c>
      <c r="F177" s="61">
        <f t="shared" si="58"/>
        <v>0</v>
      </c>
      <c r="G177" s="61">
        <f t="shared" si="58"/>
        <v>0</v>
      </c>
      <c r="H177" s="61">
        <f t="shared" si="58"/>
        <v>0</v>
      </c>
      <c r="I177" s="61">
        <f t="shared" si="58"/>
        <v>0</v>
      </c>
      <c r="J177" s="61">
        <f t="shared" si="58"/>
        <v>0</v>
      </c>
      <c r="K177" s="61">
        <f t="shared" si="58"/>
        <v>0</v>
      </c>
      <c r="L177" s="61">
        <f t="shared" si="58"/>
        <v>0</v>
      </c>
      <c r="M177" s="61">
        <f t="shared" si="58"/>
        <v>0</v>
      </c>
      <c r="N177" s="61">
        <f t="shared" si="58"/>
        <v>0</v>
      </c>
      <c r="O177" s="61">
        <f t="shared" si="58"/>
        <v>0</v>
      </c>
      <c r="P177" s="61">
        <f t="shared" si="58"/>
        <v>0</v>
      </c>
      <c r="Q177" s="61">
        <f t="shared" si="58"/>
        <v>0</v>
      </c>
      <c r="R177" s="61">
        <f t="shared" si="58"/>
        <v>0</v>
      </c>
      <c r="S177" s="61">
        <f t="shared" si="58"/>
        <v>0</v>
      </c>
      <c r="T177" s="61">
        <f t="shared" si="58"/>
        <v>0</v>
      </c>
      <c r="U177" s="61">
        <f t="shared" si="58"/>
        <v>0</v>
      </c>
      <c r="V177" s="61">
        <f t="shared" si="58"/>
        <v>0</v>
      </c>
      <c r="W177" s="61">
        <f t="shared" si="58"/>
        <v>0</v>
      </c>
      <c r="X177" s="61">
        <f t="shared" si="58"/>
        <v>0</v>
      </c>
      <c r="Y177" s="61">
        <f t="shared" si="58"/>
        <v>0</v>
      </c>
    </row>
    <row r="178" spans="1:28" x14ac:dyDescent="0.25">
      <c r="A178" s="128" t="str">
        <f>A$18</f>
        <v>lot4</v>
      </c>
      <c r="B178" s="61">
        <f t="shared" ref="B178:Y178" si="59">IF(B79=2,B152,0)</f>
        <v>0</v>
      </c>
      <c r="C178" s="61">
        <f t="shared" si="59"/>
        <v>0</v>
      </c>
      <c r="D178" s="61">
        <f t="shared" si="59"/>
        <v>0</v>
      </c>
      <c r="E178" s="61">
        <f t="shared" si="59"/>
        <v>0</v>
      </c>
      <c r="F178" s="61">
        <f t="shared" si="59"/>
        <v>0</v>
      </c>
      <c r="G178" s="61">
        <f t="shared" si="59"/>
        <v>0</v>
      </c>
      <c r="H178" s="61">
        <f t="shared" si="59"/>
        <v>0</v>
      </c>
      <c r="I178" s="61">
        <f t="shared" si="59"/>
        <v>0</v>
      </c>
      <c r="J178" s="61">
        <f t="shared" si="59"/>
        <v>0</v>
      </c>
      <c r="K178" s="61">
        <f t="shared" si="59"/>
        <v>0</v>
      </c>
      <c r="L178" s="61">
        <f t="shared" si="59"/>
        <v>0</v>
      </c>
      <c r="M178" s="61">
        <f t="shared" si="59"/>
        <v>0</v>
      </c>
      <c r="N178" s="61">
        <f t="shared" si="59"/>
        <v>0</v>
      </c>
      <c r="O178" s="61">
        <f t="shared" si="59"/>
        <v>0</v>
      </c>
      <c r="P178" s="61">
        <f t="shared" si="59"/>
        <v>0</v>
      </c>
      <c r="Q178" s="61">
        <f t="shared" si="59"/>
        <v>0</v>
      </c>
      <c r="R178" s="61">
        <f t="shared" si="59"/>
        <v>0</v>
      </c>
      <c r="S178" s="61">
        <f t="shared" si="59"/>
        <v>0</v>
      </c>
      <c r="T178" s="61">
        <f t="shared" si="59"/>
        <v>0</v>
      </c>
      <c r="U178" s="61">
        <f t="shared" si="59"/>
        <v>0</v>
      </c>
      <c r="V178" s="61">
        <f t="shared" si="59"/>
        <v>0</v>
      </c>
      <c r="W178" s="61">
        <f t="shared" si="59"/>
        <v>0</v>
      </c>
      <c r="X178" s="61">
        <f t="shared" si="59"/>
        <v>0</v>
      </c>
      <c r="Y178" s="61">
        <f t="shared" si="59"/>
        <v>0</v>
      </c>
    </row>
    <row r="179" spans="1:28" x14ac:dyDescent="0.25">
      <c r="A179" s="128" t="str">
        <f>A$19</f>
        <v>lot5</v>
      </c>
      <c r="B179" s="61">
        <f t="shared" ref="B179:Y179" si="60">IF(B80=2,B153,0)</f>
        <v>0</v>
      </c>
      <c r="C179" s="61">
        <f t="shared" si="60"/>
        <v>0</v>
      </c>
      <c r="D179" s="61">
        <f t="shared" si="60"/>
        <v>0</v>
      </c>
      <c r="E179" s="61">
        <f t="shared" si="60"/>
        <v>0</v>
      </c>
      <c r="F179" s="61">
        <f t="shared" si="60"/>
        <v>0</v>
      </c>
      <c r="G179" s="61">
        <f t="shared" si="60"/>
        <v>0</v>
      </c>
      <c r="H179" s="61">
        <f t="shared" si="60"/>
        <v>0</v>
      </c>
      <c r="I179" s="61">
        <f t="shared" si="60"/>
        <v>0</v>
      </c>
      <c r="J179" s="61">
        <f t="shared" si="60"/>
        <v>0</v>
      </c>
      <c r="K179" s="61">
        <f t="shared" si="60"/>
        <v>0</v>
      </c>
      <c r="L179" s="61">
        <f t="shared" si="60"/>
        <v>0</v>
      </c>
      <c r="M179" s="61">
        <f t="shared" si="60"/>
        <v>0</v>
      </c>
      <c r="N179" s="61">
        <f t="shared" si="60"/>
        <v>0</v>
      </c>
      <c r="O179" s="61">
        <f t="shared" si="60"/>
        <v>0</v>
      </c>
      <c r="P179" s="61">
        <f t="shared" si="60"/>
        <v>0</v>
      </c>
      <c r="Q179" s="61">
        <f t="shared" si="60"/>
        <v>0</v>
      </c>
      <c r="R179" s="61">
        <f t="shared" si="60"/>
        <v>0</v>
      </c>
      <c r="S179" s="61">
        <f t="shared" si="60"/>
        <v>0</v>
      </c>
      <c r="T179" s="61">
        <f t="shared" si="60"/>
        <v>0</v>
      </c>
      <c r="U179" s="61">
        <f t="shared" si="60"/>
        <v>0</v>
      </c>
      <c r="V179" s="61">
        <f t="shared" si="60"/>
        <v>0</v>
      </c>
      <c r="W179" s="61">
        <f t="shared" si="60"/>
        <v>0</v>
      </c>
      <c r="X179" s="61">
        <f t="shared" si="60"/>
        <v>0</v>
      </c>
      <c r="Y179" s="61">
        <f t="shared" si="60"/>
        <v>0</v>
      </c>
    </row>
    <row r="180" spans="1:28" x14ac:dyDescent="0.25">
      <c r="A180" s="128" t="str">
        <f>A$20</f>
        <v>lot6</v>
      </c>
      <c r="B180" s="61">
        <f t="shared" ref="B180:Y180" si="61">IF(B81=2,B154,0)</f>
        <v>0</v>
      </c>
      <c r="C180" s="61">
        <f t="shared" si="61"/>
        <v>0</v>
      </c>
      <c r="D180" s="61">
        <f t="shared" si="61"/>
        <v>0</v>
      </c>
      <c r="E180" s="61">
        <f t="shared" si="61"/>
        <v>0</v>
      </c>
      <c r="F180" s="61">
        <f t="shared" si="61"/>
        <v>0</v>
      </c>
      <c r="G180" s="61">
        <f t="shared" si="61"/>
        <v>0</v>
      </c>
      <c r="H180" s="61">
        <f t="shared" si="61"/>
        <v>0</v>
      </c>
      <c r="I180" s="61">
        <f t="shared" si="61"/>
        <v>0</v>
      </c>
      <c r="J180" s="61">
        <f t="shared" si="61"/>
        <v>0</v>
      </c>
      <c r="K180" s="61">
        <f t="shared" si="61"/>
        <v>0</v>
      </c>
      <c r="L180" s="61">
        <f t="shared" si="61"/>
        <v>0</v>
      </c>
      <c r="M180" s="61">
        <f t="shared" si="61"/>
        <v>0</v>
      </c>
      <c r="N180" s="61">
        <f t="shared" si="61"/>
        <v>0</v>
      </c>
      <c r="O180" s="61">
        <f t="shared" si="61"/>
        <v>0</v>
      </c>
      <c r="P180" s="61">
        <f t="shared" si="61"/>
        <v>0</v>
      </c>
      <c r="Q180" s="61">
        <f t="shared" si="61"/>
        <v>0</v>
      </c>
      <c r="R180" s="61">
        <f t="shared" si="61"/>
        <v>0</v>
      </c>
      <c r="S180" s="61">
        <f t="shared" si="61"/>
        <v>0</v>
      </c>
      <c r="T180" s="61">
        <f t="shared" si="61"/>
        <v>0</v>
      </c>
      <c r="U180" s="61">
        <f t="shared" si="61"/>
        <v>0</v>
      </c>
      <c r="V180" s="61">
        <f t="shared" si="61"/>
        <v>0</v>
      </c>
      <c r="W180" s="61">
        <f t="shared" si="61"/>
        <v>0</v>
      </c>
      <c r="X180" s="61">
        <f t="shared" si="61"/>
        <v>0</v>
      </c>
      <c r="Y180" s="61">
        <f t="shared" si="61"/>
        <v>0</v>
      </c>
    </row>
    <row r="181" spans="1:28" x14ac:dyDescent="0.25">
      <c r="A181" s="127" t="str">
        <f>A$21</f>
        <v>lot7</v>
      </c>
      <c r="B181" s="61">
        <f t="shared" ref="B181:Y181" si="62">IF(B82=2,B155,0)</f>
        <v>0</v>
      </c>
      <c r="C181" s="61">
        <f t="shared" si="62"/>
        <v>0</v>
      </c>
      <c r="D181" s="61">
        <f t="shared" si="62"/>
        <v>0</v>
      </c>
      <c r="E181" s="61">
        <f t="shared" si="62"/>
        <v>0</v>
      </c>
      <c r="F181" s="61">
        <f t="shared" si="62"/>
        <v>0</v>
      </c>
      <c r="G181" s="61">
        <f t="shared" si="62"/>
        <v>0</v>
      </c>
      <c r="H181" s="61">
        <f t="shared" si="62"/>
        <v>0</v>
      </c>
      <c r="I181" s="61">
        <f t="shared" si="62"/>
        <v>0</v>
      </c>
      <c r="J181" s="61">
        <f t="shared" si="62"/>
        <v>0</v>
      </c>
      <c r="K181" s="61">
        <f t="shared" si="62"/>
        <v>0</v>
      </c>
      <c r="L181" s="61">
        <f t="shared" si="62"/>
        <v>0</v>
      </c>
      <c r="M181" s="61">
        <f t="shared" si="62"/>
        <v>0</v>
      </c>
      <c r="N181" s="61">
        <f t="shared" si="62"/>
        <v>0</v>
      </c>
      <c r="O181" s="61">
        <f t="shared" si="62"/>
        <v>0</v>
      </c>
      <c r="P181" s="61">
        <f t="shared" si="62"/>
        <v>0</v>
      </c>
      <c r="Q181" s="61">
        <f t="shared" si="62"/>
        <v>0</v>
      </c>
      <c r="R181" s="61">
        <f t="shared" si="62"/>
        <v>0</v>
      </c>
      <c r="S181" s="61">
        <f t="shared" si="62"/>
        <v>0</v>
      </c>
      <c r="T181" s="61">
        <f t="shared" si="62"/>
        <v>0</v>
      </c>
      <c r="U181" s="61">
        <f t="shared" si="62"/>
        <v>0</v>
      </c>
      <c r="V181" s="61">
        <f t="shared" si="62"/>
        <v>0</v>
      </c>
      <c r="W181" s="61">
        <f t="shared" si="62"/>
        <v>0</v>
      </c>
      <c r="X181" s="61">
        <f t="shared" si="62"/>
        <v>0</v>
      </c>
      <c r="Y181" s="61">
        <f t="shared" si="62"/>
        <v>0</v>
      </c>
    </row>
    <row r="182" spans="1:28" x14ac:dyDescent="0.25">
      <c r="A182" s="128" t="str">
        <f>A$22</f>
        <v>lot8</v>
      </c>
      <c r="B182" s="61">
        <f t="shared" ref="B182:Y182" si="63">IF(B83=2,B156,0)</f>
        <v>0</v>
      </c>
      <c r="C182" s="61">
        <f t="shared" si="63"/>
        <v>0</v>
      </c>
      <c r="D182" s="61">
        <f t="shared" si="63"/>
        <v>0</v>
      </c>
      <c r="E182" s="61">
        <f t="shared" si="63"/>
        <v>0</v>
      </c>
      <c r="F182" s="61">
        <f t="shared" si="63"/>
        <v>0</v>
      </c>
      <c r="G182" s="61">
        <f t="shared" si="63"/>
        <v>0</v>
      </c>
      <c r="H182" s="61">
        <f t="shared" si="63"/>
        <v>0</v>
      </c>
      <c r="I182" s="61">
        <f t="shared" si="63"/>
        <v>0</v>
      </c>
      <c r="J182" s="61">
        <f t="shared" si="63"/>
        <v>0</v>
      </c>
      <c r="K182" s="61">
        <f t="shared" si="63"/>
        <v>0</v>
      </c>
      <c r="L182" s="61">
        <f t="shared" si="63"/>
        <v>0</v>
      </c>
      <c r="M182" s="61">
        <f t="shared" si="63"/>
        <v>0</v>
      </c>
      <c r="N182" s="61">
        <f t="shared" si="63"/>
        <v>0</v>
      </c>
      <c r="O182" s="61">
        <f t="shared" si="63"/>
        <v>0</v>
      </c>
      <c r="P182" s="61">
        <f t="shared" si="63"/>
        <v>0</v>
      </c>
      <c r="Q182" s="61">
        <f t="shared" si="63"/>
        <v>0</v>
      </c>
      <c r="R182" s="61">
        <f t="shared" si="63"/>
        <v>0</v>
      </c>
      <c r="S182" s="61">
        <f t="shared" si="63"/>
        <v>0</v>
      </c>
      <c r="T182" s="61">
        <f t="shared" si="63"/>
        <v>0</v>
      </c>
      <c r="U182" s="61">
        <f t="shared" si="63"/>
        <v>0</v>
      </c>
      <c r="V182" s="61">
        <f t="shared" si="63"/>
        <v>0</v>
      </c>
      <c r="W182" s="61">
        <f t="shared" si="63"/>
        <v>0</v>
      </c>
      <c r="X182" s="61">
        <f t="shared" si="63"/>
        <v>0</v>
      </c>
      <c r="Y182" s="61">
        <f t="shared" si="63"/>
        <v>0</v>
      </c>
    </row>
    <row r="183" spans="1:28" x14ac:dyDescent="0.25">
      <c r="A183" s="128" t="str">
        <f>A$23</f>
        <v>lot9</v>
      </c>
      <c r="B183" s="61">
        <f t="shared" ref="B183:Y183" si="64">IF(B84=2,B157,0)</f>
        <v>0</v>
      </c>
      <c r="C183" s="61">
        <f t="shared" si="64"/>
        <v>0</v>
      </c>
      <c r="D183" s="61">
        <f t="shared" si="64"/>
        <v>0</v>
      </c>
      <c r="E183" s="61">
        <f t="shared" si="64"/>
        <v>0</v>
      </c>
      <c r="F183" s="61">
        <f t="shared" si="64"/>
        <v>0</v>
      </c>
      <c r="G183" s="61">
        <f t="shared" si="64"/>
        <v>0</v>
      </c>
      <c r="H183" s="61">
        <f t="shared" si="64"/>
        <v>0</v>
      </c>
      <c r="I183" s="61">
        <f t="shared" si="64"/>
        <v>0</v>
      </c>
      <c r="J183" s="61">
        <f t="shared" si="64"/>
        <v>0</v>
      </c>
      <c r="K183" s="61">
        <f t="shared" si="64"/>
        <v>0</v>
      </c>
      <c r="L183" s="61">
        <f t="shared" si="64"/>
        <v>0</v>
      </c>
      <c r="M183" s="61">
        <f t="shared" si="64"/>
        <v>0</v>
      </c>
      <c r="N183" s="61">
        <f t="shared" si="64"/>
        <v>0</v>
      </c>
      <c r="O183" s="61">
        <f t="shared" si="64"/>
        <v>0</v>
      </c>
      <c r="P183" s="61">
        <f t="shared" si="64"/>
        <v>0</v>
      </c>
      <c r="Q183" s="61">
        <f t="shared" si="64"/>
        <v>0</v>
      </c>
      <c r="R183" s="61">
        <f t="shared" si="64"/>
        <v>0</v>
      </c>
      <c r="S183" s="61">
        <f t="shared" si="64"/>
        <v>0</v>
      </c>
      <c r="T183" s="61">
        <f t="shared" si="64"/>
        <v>0</v>
      </c>
      <c r="U183" s="61">
        <f t="shared" si="64"/>
        <v>0</v>
      </c>
      <c r="V183" s="61">
        <f t="shared" si="64"/>
        <v>0</v>
      </c>
      <c r="W183" s="61">
        <f t="shared" si="64"/>
        <v>0</v>
      </c>
      <c r="X183" s="61">
        <f t="shared" si="64"/>
        <v>0</v>
      </c>
      <c r="Y183" s="61">
        <f t="shared" si="64"/>
        <v>0</v>
      </c>
    </row>
    <row r="184" spans="1:28" x14ac:dyDescent="0.25">
      <c r="A184" s="128" t="str">
        <f>A$24</f>
        <v>lot10</v>
      </c>
      <c r="B184" s="61">
        <f t="shared" ref="B184:Y184" si="65">IF(B85=2,B158,0)</f>
        <v>0</v>
      </c>
      <c r="C184" s="61">
        <f t="shared" si="65"/>
        <v>0</v>
      </c>
      <c r="D184" s="61">
        <f t="shared" si="65"/>
        <v>0</v>
      </c>
      <c r="E184" s="61">
        <f t="shared" si="65"/>
        <v>0</v>
      </c>
      <c r="F184" s="61">
        <f t="shared" si="65"/>
        <v>0</v>
      </c>
      <c r="G184" s="61">
        <f t="shared" si="65"/>
        <v>0</v>
      </c>
      <c r="H184" s="61">
        <f t="shared" si="65"/>
        <v>0</v>
      </c>
      <c r="I184" s="61">
        <f t="shared" si="65"/>
        <v>0</v>
      </c>
      <c r="J184" s="61">
        <f t="shared" si="65"/>
        <v>0</v>
      </c>
      <c r="K184" s="61">
        <f t="shared" si="65"/>
        <v>0</v>
      </c>
      <c r="L184" s="61">
        <f t="shared" si="65"/>
        <v>0</v>
      </c>
      <c r="M184" s="61">
        <f t="shared" si="65"/>
        <v>0</v>
      </c>
      <c r="N184" s="61">
        <f t="shared" si="65"/>
        <v>0</v>
      </c>
      <c r="O184" s="61">
        <f t="shared" si="65"/>
        <v>0</v>
      </c>
      <c r="P184" s="61">
        <f t="shared" si="65"/>
        <v>0</v>
      </c>
      <c r="Q184" s="61">
        <f t="shared" si="65"/>
        <v>0</v>
      </c>
      <c r="R184" s="61">
        <f t="shared" si="65"/>
        <v>0</v>
      </c>
      <c r="S184" s="61">
        <f t="shared" si="65"/>
        <v>0</v>
      </c>
      <c r="T184" s="61">
        <f t="shared" si="65"/>
        <v>0</v>
      </c>
      <c r="U184" s="61">
        <f t="shared" si="65"/>
        <v>0</v>
      </c>
      <c r="V184" s="61">
        <f t="shared" si="65"/>
        <v>0</v>
      </c>
      <c r="W184" s="61">
        <f t="shared" si="65"/>
        <v>0</v>
      </c>
      <c r="X184" s="61">
        <f t="shared" si="65"/>
        <v>0</v>
      </c>
      <c r="Y184" s="61">
        <f t="shared" si="65"/>
        <v>0</v>
      </c>
    </row>
    <row r="185" spans="1:28" x14ac:dyDescent="0.25">
      <c r="A185" s="38" t="s">
        <v>317</v>
      </c>
      <c r="B185" s="61">
        <f>SUM(CdTrp2!B175:B184)</f>
        <v>0</v>
      </c>
      <c r="C185" s="61">
        <f>SUM(CdTrp2!C175:C184)</f>
        <v>0</v>
      </c>
      <c r="D185" s="61">
        <f>SUM(CdTrp2!D175:D184)</f>
        <v>0</v>
      </c>
      <c r="E185" s="61">
        <f>SUM(CdTrp2!E175:E184)</f>
        <v>0</v>
      </c>
      <c r="F185" s="61">
        <f>SUM(CdTrp2!F175:F184)</f>
        <v>0</v>
      </c>
      <c r="G185" s="61">
        <f>SUM(CdTrp2!G175:G184)</f>
        <v>0</v>
      </c>
      <c r="H185" s="61">
        <f>SUM(CdTrp2!H175:H184)</f>
        <v>0</v>
      </c>
      <c r="I185" s="61">
        <f>SUM(CdTrp2!I175:I184)</f>
        <v>0</v>
      </c>
      <c r="J185" s="61">
        <f>SUM(CdTrp2!J175:J184)</f>
        <v>0</v>
      </c>
      <c r="K185" s="61">
        <f>SUM(CdTrp2!K175:K184)</f>
        <v>0</v>
      </c>
      <c r="L185" s="61">
        <f>SUM(CdTrp2!L175:L184)</f>
        <v>0</v>
      </c>
      <c r="M185" s="61">
        <f>SUM(CdTrp2!M175:M184)</f>
        <v>0</v>
      </c>
      <c r="N185" s="61">
        <f>SUM(CdTrp2!N175:N184)</f>
        <v>0</v>
      </c>
      <c r="O185" s="61">
        <f>SUM(CdTrp2!O175:O184)</f>
        <v>0</v>
      </c>
      <c r="P185" s="61">
        <f>SUM(CdTrp2!P175:P184)</f>
        <v>0</v>
      </c>
      <c r="Q185" s="61">
        <f>SUM(CdTrp2!Q175:Q184)</f>
        <v>0</v>
      </c>
      <c r="R185" s="61">
        <f>SUM(CdTrp2!R175:R184)</f>
        <v>0</v>
      </c>
      <c r="S185" s="61">
        <f>SUM(CdTrp2!S175:S184)</f>
        <v>0</v>
      </c>
      <c r="T185" s="61">
        <f>SUM(CdTrp2!T175:T184)</f>
        <v>0</v>
      </c>
      <c r="U185" s="61">
        <f>SUM(CdTrp2!U175:U184)</f>
        <v>0</v>
      </c>
      <c r="V185" s="61">
        <f>SUM(CdTrp2!V175:V184)</f>
        <v>0</v>
      </c>
      <c r="W185" s="61">
        <f>SUM(CdTrp2!W175:W184)</f>
        <v>0</v>
      </c>
      <c r="X185" s="61">
        <f>SUM(CdTrp2!X175:X184)</f>
        <v>0</v>
      </c>
      <c r="Y185" s="61">
        <f>SUM(CdTrp2!Y175:Y184)</f>
        <v>0</v>
      </c>
      <c r="AA185" s="64">
        <f>SUM(B185:Y185)</f>
        <v>0</v>
      </c>
      <c r="AB185" t="s">
        <v>214</v>
      </c>
    </row>
    <row r="187" spans="1:28" x14ac:dyDescent="0.25">
      <c r="A187" s="2" t="s">
        <v>215</v>
      </c>
      <c r="F187" s="2"/>
    </row>
    <row r="188" spans="1:28" x14ac:dyDescent="0.25">
      <c r="A188" s="128" t="str">
        <f>A$15</f>
        <v>lot1</v>
      </c>
      <c r="B188" s="61">
        <f t="shared" ref="B188:Y188" si="66">IF(B76=3,B149,0)</f>
        <v>0</v>
      </c>
      <c r="C188" s="61">
        <f t="shared" si="66"/>
        <v>0</v>
      </c>
      <c r="D188" s="61">
        <f t="shared" si="66"/>
        <v>0</v>
      </c>
      <c r="E188" s="61">
        <f t="shared" si="66"/>
        <v>0</v>
      </c>
      <c r="F188" s="61">
        <f t="shared" si="66"/>
        <v>0</v>
      </c>
      <c r="G188" s="61">
        <f t="shared" si="66"/>
        <v>0</v>
      </c>
      <c r="H188" s="61">
        <f t="shared" si="66"/>
        <v>0</v>
      </c>
      <c r="I188" s="61">
        <f t="shared" si="66"/>
        <v>0</v>
      </c>
      <c r="J188" s="61">
        <f t="shared" si="66"/>
        <v>0</v>
      </c>
      <c r="K188" s="61">
        <f t="shared" si="66"/>
        <v>0</v>
      </c>
      <c r="L188" s="61">
        <f t="shared" si="66"/>
        <v>0</v>
      </c>
      <c r="M188" s="61">
        <f t="shared" si="66"/>
        <v>0</v>
      </c>
      <c r="N188" s="61">
        <f t="shared" si="66"/>
        <v>0</v>
      </c>
      <c r="O188" s="61">
        <f t="shared" si="66"/>
        <v>0</v>
      </c>
      <c r="P188" s="61">
        <f t="shared" si="66"/>
        <v>0</v>
      </c>
      <c r="Q188" s="61">
        <f t="shared" si="66"/>
        <v>0</v>
      </c>
      <c r="R188" s="61">
        <f t="shared" si="66"/>
        <v>0</v>
      </c>
      <c r="S188" s="61">
        <f t="shared" si="66"/>
        <v>0</v>
      </c>
      <c r="T188" s="61">
        <f t="shared" si="66"/>
        <v>0</v>
      </c>
      <c r="U188" s="61">
        <f t="shared" si="66"/>
        <v>0</v>
      </c>
      <c r="V188" s="61">
        <f t="shared" si="66"/>
        <v>0</v>
      </c>
      <c r="W188" s="61">
        <f t="shared" si="66"/>
        <v>0</v>
      </c>
      <c r="X188" s="61">
        <f t="shared" si="66"/>
        <v>0</v>
      </c>
      <c r="Y188" s="61">
        <f t="shared" si="66"/>
        <v>0</v>
      </c>
    </row>
    <row r="189" spans="1:28" x14ac:dyDescent="0.25">
      <c r="A189" s="128" t="str">
        <f>A$16</f>
        <v>lot2</v>
      </c>
      <c r="B189" s="61">
        <f t="shared" ref="B189:Y189" si="67">IF(B77=3,B150,0)</f>
        <v>0</v>
      </c>
      <c r="C189" s="61">
        <f t="shared" si="67"/>
        <v>0</v>
      </c>
      <c r="D189" s="61">
        <f t="shared" si="67"/>
        <v>0</v>
      </c>
      <c r="E189" s="61">
        <f t="shared" si="67"/>
        <v>0</v>
      </c>
      <c r="F189" s="61">
        <f t="shared" si="67"/>
        <v>0</v>
      </c>
      <c r="G189" s="61">
        <f t="shared" si="67"/>
        <v>0</v>
      </c>
      <c r="H189" s="61">
        <f t="shared" si="67"/>
        <v>0</v>
      </c>
      <c r="I189" s="61">
        <f t="shared" si="67"/>
        <v>0</v>
      </c>
      <c r="J189" s="61">
        <f t="shared" si="67"/>
        <v>0</v>
      </c>
      <c r="K189" s="61">
        <f t="shared" si="67"/>
        <v>0</v>
      </c>
      <c r="L189" s="61">
        <f t="shared" si="67"/>
        <v>0</v>
      </c>
      <c r="M189" s="61">
        <f t="shared" si="67"/>
        <v>0</v>
      </c>
      <c r="N189" s="61">
        <f t="shared" si="67"/>
        <v>0</v>
      </c>
      <c r="O189" s="61">
        <f t="shared" si="67"/>
        <v>0</v>
      </c>
      <c r="P189" s="61">
        <f t="shared" si="67"/>
        <v>0</v>
      </c>
      <c r="Q189" s="61">
        <f t="shared" si="67"/>
        <v>0</v>
      </c>
      <c r="R189" s="61">
        <f t="shared" si="67"/>
        <v>0</v>
      </c>
      <c r="S189" s="61">
        <f t="shared" si="67"/>
        <v>0</v>
      </c>
      <c r="T189" s="61">
        <f t="shared" si="67"/>
        <v>0</v>
      </c>
      <c r="U189" s="61">
        <f t="shared" si="67"/>
        <v>0</v>
      </c>
      <c r="V189" s="61">
        <f t="shared" si="67"/>
        <v>0</v>
      </c>
      <c r="W189" s="61">
        <f t="shared" si="67"/>
        <v>0</v>
      </c>
      <c r="X189" s="61">
        <f t="shared" si="67"/>
        <v>0</v>
      </c>
      <c r="Y189" s="61">
        <f t="shared" si="67"/>
        <v>0</v>
      </c>
    </row>
    <row r="190" spans="1:28" x14ac:dyDescent="0.25">
      <c r="A190" s="127" t="str">
        <f>A$17</f>
        <v>lot3</v>
      </c>
      <c r="B190" s="61">
        <f t="shared" ref="B190:Y190" si="68">IF(B78=3,B151,0)</f>
        <v>0</v>
      </c>
      <c r="C190" s="61">
        <f t="shared" si="68"/>
        <v>0</v>
      </c>
      <c r="D190" s="61">
        <f t="shared" si="68"/>
        <v>0</v>
      </c>
      <c r="E190" s="61">
        <f t="shared" si="68"/>
        <v>0</v>
      </c>
      <c r="F190" s="61">
        <f t="shared" si="68"/>
        <v>0</v>
      </c>
      <c r="G190" s="61">
        <f t="shared" si="68"/>
        <v>0</v>
      </c>
      <c r="H190" s="61">
        <f t="shared" si="68"/>
        <v>0</v>
      </c>
      <c r="I190" s="61">
        <f t="shared" si="68"/>
        <v>0</v>
      </c>
      <c r="J190" s="61">
        <f t="shared" si="68"/>
        <v>0</v>
      </c>
      <c r="K190" s="61">
        <f t="shared" si="68"/>
        <v>0</v>
      </c>
      <c r="L190" s="61">
        <f t="shared" si="68"/>
        <v>0</v>
      </c>
      <c r="M190" s="61">
        <f t="shared" si="68"/>
        <v>0</v>
      </c>
      <c r="N190" s="61">
        <f t="shared" si="68"/>
        <v>0</v>
      </c>
      <c r="O190" s="61">
        <f t="shared" si="68"/>
        <v>0</v>
      </c>
      <c r="P190" s="61">
        <f t="shared" si="68"/>
        <v>0</v>
      </c>
      <c r="Q190" s="61">
        <f t="shared" si="68"/>
        <v>0</v>
      </c>
      <c r="R190" s="61">
        <f t="shared" si="68"/>
        <v>0</v>
      </c>
      <c r="S190" s="61">
        <f t="shared" si="68"/>
        <v>0</v>
      </c>
      <c r="T190" s="61">
        <f t="shared" si="68"/>
        <v>0</v>
      </c>
      <c r="U190" s="61">
        <f t="shared" si="68"/>
        <v>0</v>
      </c>
      <c r="V190" s="61">
        <f t="shared" si="68"/>
        <v>0</v>
      </c>
      <c r="W190" s="61">
        <f t="shared" si="68"/>
        <v>0</v>
      </c>
      <c r="X190" s="61">
        <f t="shared" si="68"/>
        <v>0</v>
      </c>
      <c r="Y190" s="61">
        <f t="shared" si="68"/>
        <v>0</v>
      </c>
    </row>
    <row r="191" spans="1:28" x14ac:dyDescent="0.25">
      <c r="A191" s="128" t="str">
        <f>A$18</f>
        <v>lot4</v>
      </c>
      <c r="B191" s="61">
        <f t="shared" ref="B191:Y191" si="69">IF(B79=3,B152,0)</f>
        <v>0</v>
      </c>
      <c r="C191" s="61">
        <f t="shared" si="69"/>
        <v>0</v>
      </c>
      <c r="D191" s="61">
        <f t="shared" si="69"/>
        <v>0</v>
      </c>
      <c r="E191" s="61">
        <f t="shared" si="69"/>
        <v>0</v>
      </c>
      <c r="F191" s="61">
        <f t="shared" si="69"/>
        <v>0</v>
      </c>
      <c r="G191" s="61">
        <f t="shared" si="69"/>
        <v>0</v>
      </c>
      <c r="H191" s="61">
        <f t="shared" si="69"/>
        <v>0</v>
      </c>
      <c r="I191" s="61">
        <f t="shared" si="69"/>
        <v>0</v>
      </c>
      <c r="J191" s="61">
        <f t="shared" si="69"/>
        <v>0</v>
      </c>
      <c r="K191" s="61">
        <f t="shared" si="69"/>
        <v>0</v>
      </c>
      <c r="L191" s="61">
        <f t="shared" si="69"/>
        <v>0</v>
      </c>
      <c r="M191" s="61">
        <f t="shared" si="69"/>
        <v>0</v>
      </c>
      <c r="N191" s="61">
        <f t="shared" si="69"/>
        <v>0</v>
      </c>
      <c r="O191" s="61">
        <f t="shared" si="69"/>
        <v>0</v>
      </c>
      <c r="P191" s="61">
        <f t="shared" si="69"/>
        <v>0</v>
      </c>
      <c r="Q191" s="61">
        <f t="shared" si="69"/>
        <v>0</v>
      </c>
      <c r="R191" s="61">
        <f t="shared" si="69"/>
        <v>0</v>
      </c>
      <c r="S191" s="61">
        <f t="shared" si="69"/>
        <v>0</v>
      </c>
      <c r="T191" s="61">
        <f t="shared" si="69"/>
        <v>0</v>
      </c>
      <c r="U191" s="61">
        <f t="shared" si="69"/>
        <v>0</v>
      </c>
      <c r="V191" s="61">
        <f t="shared" si="69"/>
        <v>0</v>
      </c>
      <c r="W191" s="61">
        <f t="shared" si="69"/>
        <v>0</v>
      </c>
      <c r="X191" s="61">
        <f t="shared" si="69"/>
        <v>0</v>
      </c>
      <c r="Y191" s="61">
        <f t="shared" si="69"/>
        <v>0</v>
      </c>
    </row>
    <row r="192" spans="1:28" x14ac:dyDescent="0.25">
      <c r="A192" s="128" t="str">
        <f>A$19</f>
        <v>lot5</v>
      </c>
      <c r="B192" s="61">
        <f t="shared" ref="B192:Y192" si="70">IF(B80=3,B153,0)</f>
        <v>0</v>
      </c>
      <c r="C192" s="61">
        <f t="shared" si="70"/>
        <v>0</v>
      </c>
      <c r="D192" s="61">
        <f t="shared" si="70"/>
        <v>0</v>
      </c>
      <c r="E192" s="61">
        <f t="shared" si="70"/>
        <v>0</v>
      </c>
      <c r="F192" s="61">
        <f t="shared" si="70"/>
        <v>0</v>
      </c>
      <c r="G192" s="61">
        <f t="shared" si="70"/>
        <v>0</v>
      </c>
      <c r="H192" s="61">
        <f t="shared" si="70"/>
        <v>0</v>
      </c>
      <c r="I192" s="61">
        <f t="shared" si="70"/>
        <v>0</v>
      </c>
      <c r="J192" s="61">
        <f t="shared" si="70"/>
        <v>0</v>
      </c>
      <c r="K192" s="61">
        <f t="shared" si="70"/>
        <v>0</v>
      </c>
      <c r="L192" s="61">
        <f t="shared" si="70"/>
        <v>0</v>
      </c>
      <c r="M192" s="61">
        <f t="shared" si="70"/>
        <v>0</v>
      </c>
      <c r="N192" s="61">
        <f t="shared" si="70"/>
        <v>0</v>
      </c>
      <c r="O192" s="61">
        <f t="shared" si="70"/>
        <v>0</v>
      </c>
      <c r="P192" s="61">
        <f t="shared" si="70"/>
        <v>0</v>
      </c>
      <c r="Q192" s="61">
        <f t="shared" si="70"/>
        <v>0</v>
      </c>
      <c r="R192" s="61">
        <f t="shared" si="70"/>
        <v>0</v>
      </c>
      <c r="S192" s="61">
        <f t="shared" si="70"/>
        <v>0</v>
      </c>
      <c r="T192" s="61">
        <f t="shared" si="70"/>
        <v>0</v>
      </c>
      <c r="U192" s="61">
        <f t="shared" si="70"/>
        <v>0</v>
      </c>
      <c r="V192" s="61">
        <f t="shared" si="70"/>
        <v>0</v>
      </c>
      <c r="W192" s="61">
        <f t="shared" si="70"/>
        <v>0</v>
      </c>
      <c r="X192" s="61">
        <f t="shared" si="70"/>
        <v>0</v>
      </c>
      <c r="Y192" s="61">
        <f t="shared" si="70"/>
        <v>0</v>
      </c>
    </row>
    <row r="193" spans="1:28" x14ac:dyDescent="0.25">
      <c r="A193" s="128" t="str">
        <f>A$20</f>
        <v>lot6</v>
      </c>
      <c r="B193" s="61">
        <f t="shared" ref="B193:Y193" si="71">IF(B81=3,B154,0)</f>
        <v>0</v>
      </c>
      <c r="C193" s="61">
        <f t="shared" si="71"/>
        <v>0</v>
      </c>
      <c r="D193" s="61">
        <f t="shared" si="71"/>
        <v>0</v>
      </c>
      <c r="E193" s="61">
        <f t="shared" si="71"/>
        <v>0</v>
      </c>
      <c r="F193" s="61">
        <f t="shared" si="71"/>
        <v>0</v>
      </c>
      <c r="G193" s="61">
        <f t="shared" si="71"/>
        <v>0</v>
      </c>
      <c r="H193" s="61">
        <f t="shared" si="71"/>
        <v>0</v>
      </c>
      <c r="I193" s="61">
        <f t="shared" si="71"/>
        <v>0</v>
      </c>
      <c r="J193" s="61">
        <f t="shared" si="71"/>
        <v>0</v>
      </c>
      <c r="K193" s="61">
        <f t="shared" si="71"/>
        <v>0</v>
      </c>
      <c r="L193" s="61">
        <f t="shared" si="71"/>
        <v>0</v>
      </c>
      <c r="M193" s="61">
        <f t="shared" si="71"/>
        <v>0</v>
      </c>
      <c r="N193" s="61">
        <f t="shared" si="71"/>
        <v>0</v>
      </c>
      <c r="O193" s="61">
        <f t="shared" si="71"/>
        <v>0</v>
      </c>
      <c r="P193" s="61">
        <f t="shared" si="71"/>
        <v>0</v>
      </c>
      <c r="Q193" s="61">
        <f t="shared" si="71"/>
        <v>0</v>
      </c>
      <c r="R193" s="61">
        <f t="shared" si="71"/>
        <v>0</v>
      </c>
      <c r="S193" s="61">
        <f t="shared" si="71"/>
        <v>0</v>
      </c>
      <c r="T193" s="61">
        <f t="shared" si="71"/>
        <v>0</v>
      </c>
      <c r="U193" s="61">
        <f t="shared" si="71"/>
        <v>0</v>
      </c>
      <c r="V193" s="61">
        <f t="shared" si="71"/>
        <v>0</v>
      </c>
      <c r="W193" s="61">
        <f t="shared" si="71"/>
        <v>0</v>
      </c>
      <c r="X193" s="61">
        <f t="shared" si="71"/>
        <v>0</v>
      </c>
      <c r="Y193" s="61">
        <f t="shared" si="71"/>
        <v>0</v>
      </c>
    </row>
    <row r="194" spans="1:28" x14ac:dyDescent="0.25">
      <c r="A194" s="127" t="str">
        <f>A$21</f>
        <v>lot7</v>
      </c>
      <c r="B194" s="61">
        <f t="shared" ref="B194:Y194" si="72">IF(B82=3,B155,0)</f>
        <v>0</v>
      </c>
      <c r="C194" s="61">
        <f t="shared" si="72"/>
        <v>0</v>
      </c>
      <c r="D194" s="61">
        <f t="shared" si="72"/>
        <v>0</v>
      </c>
      <c r="E194" s="61">
        <f t="shared" si="72"/>
        <v>0</v>
      </c>
      <c r="F194" s="61">
        <f t="shared" si="72"/>
        <v>0</v>
      </c>
      <c r="G194" s="61">
        <f t="shared" si="72"/>
        <v>0</v>
      </c>
      <c r="H194" s="61">
        <f t="shared" si="72"/>
        <v>0</v>
      </c>
      <c r="I194" s="61">
        <f t="shared" si="72"/>
        <v>0</v>
      </c>
      <c r="J194" s="61">
        <f t="shared" si="72"/>
        <v>0</v>
      </c>
      <c r="K194" s="61">
        <f t="shared" si="72"/>
        <v>0</v>
      </c>
      <c r="L194" s="61">
        <f t="shared" si="72"/>
        <v>0</v>
      </c>
      <c r="M194" s="61">
        <f t="shared" si="72"/>
        <v>0</v>
      </c>
      <c r="N194" s="61">
        <f t="shared" si="72"/>
        <v>0</v>
      </c>
      <c r="O194" s="61">
        <f t="shared" si="72"/>
        <v>0</v>
      </c>
      <c r="P194" s="61">
        <f t="shared" si="72"/>
        <v>0</v>
      </c>
      <c r="Q194" s="61">
        <f t="shared" si="72"/>
        <v>0</v>
      </c>
      <c r="R194" s="61">
        <f t="shared" si="72"/>
        <v>0</v>
      </c>
      <c r="S194" s="61">
        <f t="shared" si="72"/>
        <v>0</v>
      </c>
      <c r="T194" s="61">
        <f t="shared" si="72"/>
        <v>0</v>
      </c>
      <c r="U194" s="61">
        <f t="shared" si="72"/>
        <v>0</v>
      </c>
      <c r="V194" s="61">
        <f t="shared" si="72"/>
        <v>0</v>
      </c>
      <c r="W194" s="61">
        <f t="shared" si="72"/>
        <v>0</v>
      </c>
      <c r="X194" s="61">
        <f t="shared" si="72"/>
        <v>0</v>
      </c>
      <c r="Y194" s="61">
        <f t="shared" si="72"/>
        <v>0</v>
      </c>
    </row>
    <row r="195" spans="1:28" x14ac:dyDescent="0.25">
      <c r="A195" s="128" t="str">
        <f>A$22</f>
        <v>lot8</v>
      </c>
      <c r="B195" s="61">
        <f t="shared" ref="B195:Y195" si="73">IF(B83=3,B156,0)</f>
        <v>0</v>
      </c>
      <c r="C195" s="61">
        <f t="shared" si="73"/>
        <v>0</v>
      </c>
      <c r="D195" s="61">
        <f t="shared" si="73"/>
        <v>0</v>
      </c>
      <c r="E195" s="61">
        <f t="shared" si="73"/>
        <v>0</v>
      </c>
      <c r="F195" s="61">
        <f t="shared" si="73"/>
        <v>0</v>
      </c>
      <c r="G195" s="61">
        <f t="shared" si="73"/>
        <v>0</v>
      </c>
      <c r="H195" s="61">
        <f t="shared" si="73"/>
        <v>0</v>
      </c>
      <c r="I195" s="61">
        <f t="shared" si="73"/>
        <v>0</v>
      </c>
      <c r="J195" s="61">
        <f t="shared" si="73"/>
        <v>0</v>
      </c>
      <c r="K195" s="61">
        <f t="shared" si="73"/>
        <v>0</v>
      </c>
      <c r="L195" s="61">
        <f t="shared" si="73"/>
        <v>0</v>
      </c>
      <c r="M195" s="61">
        <f t="shared" si="73"/>
        <v>0</v>
      </c>
      <c r="N195" s="61">
        <f t="shared" si="73"/>
        <v>0</v>
      </c>
      <c r="O195" s="61">
        <f t="shared" si="73"/>
        <v>0</v>
      </c>
      <c r="P195" s="61">
        <f t="shared" si="73"/>
        <v>0</v>
      </c>
      <c r="Q195" s="61">
        <f t="shared" si="73"/>
        <v>0</v>
      </c>
      <c r="R195" s="61">
        <f t="shared" si="73"/>
        <v>0</v>
      </c>
      <c r="S195" s="61">
        <f t="shared" si="73"/>
        <v>0</v>
      </c>
      <c r="T195" s="61">
        <f t="shared" si="73"/>
        <v>0</v>
      </c>
      <c r="U195" s="61">
        <f t="shared" si="73"/>
        <v>0</v>
      </c>
      <c r="V195" s="61">
        <f t="shared" si="73"/>
        <v>0</v>
      </c>
      <c r="W195" s="61">
        <f t="shared" si="73"/>
        <v>0</v>
      </c>
      <c r="X195" s="61">
        <f t="shared" si="73"/>
        <v>0</v>
      </c>
      <c r="Y195" s="61">
        <f t="shared" si="73"/>
        <v>0</v>
      </c>
    </row>
    <row r="196" spans="1:28" x14ac:dyDescent="0.25">
      <c r="A196" s="128" t="str">
        <f>A$23</f>
        <v>lot9</v>
      </c>
      <c r="B196" s="61">
        <f t="shared" ref="B196:Y196" si="74">IF(B84=3,B157,0)</f>
        <v>0</v>
      </c>
      <c r="C196" s="61">
        <f t="shared" si="74"/>
        <v>0</v>
      </c>
      <c r="D196" s="61">
        <f t="shared" si="74"/>
        <v>0</v>
      </c>
      <c r="E196" s="61">
        <f t="shared" si="74"/>
        <v>0</v>
      </c>
      <c r="F196" s="61">
        <f t="shared" si="74"/>
        <v>0</v>
      </c>
      <c r="G196" s="61">
        <f t="shared" si="74"/>
        <v>0</v>
      </c>
      <c r="H196" s="61">
        <f t="shared" si="74"/>
        <v>0</v>
      </c>
      <c r="I196" s="61">
        <f t="shared" si="74"/>
        <v>0</v>
      </c>
      <c r="J196" s="61">
        <f t="shared" si="74"/>
        <v>0</v>
      </c>
      <c r="K196" s="61">
        <f t="shared" si="74"/>
        <v>0</v>
      </c>
      <c r="L196" s="61">
        <f t="shared" si="74"/>
        <v>0</v>
      </c>
      <c r="M196" s="61">
        <f t="shared" si="74"/>
        <v>0</v>
      </c>
      <c r="N196" s="61">
        <f t="shared" si="74"/>
        <v>0</v>
      </c>
      <c r="O196" s="61">
        <f t="shared" si="74"/>
        <v>0</v>
      </c>
      <c r="P196" s="61">
        <f t="shared" si="74"/>
        <v>0</v>
      </c>
      <c r="Q196" s="61">
        <f t="shared" si="74"/>
        <v>0</v>
      </c>
      <c r="R196" s="61">
        <f t="shared" si="74"/>
        <v>0</v>
      </c>
      <c r="S196" s="61">
        <f t="shared" si="74"/>
        <v>0</v>
      </c>
      <c r="T196" s="61">
        <f t="shared" si="74"/>
        <v>0</v>
      </c>
      <c r="U196" s="61">
        <f t="shared" si="74"/>
        <v>0</v>
      </c>
      <c r="V196" s="61">
        <f t="shared" si="74"/>
        <v>0</v>
      </c>
      <c r="W196" s="61">
        <f t="shared" si="74"/>
        <v>0</v>
      </c>
      <c r="X196" s="61">
        <f t="shared" si="74"/>
        <v>0</v>
      </c>
      <c r="Y196" s="61">
        <f t="shared" si="74"/>
        <v>0</v>
      </c>
    </row>
    <row r="197" spans="1:28" x14ac:dyDescent="0.25">
      <c r="A197" s="128" t="str">
        <f>A$24</f>
        <v>lot10</v>
      </c>
      <c r="B197" s="61">
        <f t="shared" ref="B197:Y197" si="75">IF(B85=3,B158,0)</f>
        <v>0</v>
      </c>
      <c r="C197" s="61">
        <f t="shared" si="75"/>
        <v>0</v>
      </c>
      <c r="D197" s="61">
        <f t="shared" si="75"/>
        <v>0</v>
      </c>
      <c r="E197" s="61">
        <f t="shared" si="75"/>
        <v>0</v>
      </c>
      <c r="F197" s="61">
        <f t="shared" si="75"/>
        <v>0</v>
      </c>
      <c r="G197" s="61">
        <f t="shared" si="75"/>
        <v>0</v>
      </c>
      <c r="H197" s="61">
        <f t="shared" si="75"/>
        <v>0</v>
      </c>
      <c r="I197" s="61">
        <f t="shared" si="75"/>
        <v>0</v>
      </c>
      <c r="J197" s="61">
        <f t="shared" si="75"/>
        <v>0</v>
      </c>
      <c r="K197" s="61">
        <f t="shared" si="75"/>
        <v>0</v>
      </c>
      <c r="L197" s="61">
        <f t="shared" si="75"/>
        <v>0</v>
      </c>
      <c r="M197" s="61">
        <f t="shared" si="75"/>
        <v>0</v>
      </c>
      <c r="N197" s="61">
        <f t="shared" si="75"/>
        <v>0</v>
      </c>
      <c r="O197" s="61">
        <f t="shared" si="75"/>
        <v>0</v>
      </c>
      <c r="P197" s="61">
        <f t="shared" si="75"/>
        <v>0</v>
      </c>
      <c r="Q197" s="61">
        <f t="shared" si="75"/>
        <v>0</v>
      </c>
      <c r="R197" s="61">
        <f t="shared" si="75"/>
        <v>0</v>
      </c>
      <c r="S197" s="61">
        <f t="shared" si="75"/>
        <v>0</v>
      </c>
      <c r="T197" s="61">
        <f t="shared" si="75"/>
        <v>0</v>
      </c>
      <c r="U197" s="61">
        <f t="shared" si="75"/>
        <v>0</v>
      </c>
      <c r="V197" s="61">
        <f t="shared" si="75"/>
        <v>0</v>
      </c>
      <c r="W197" s="61">
        <f t="shared" si="75"/>
        <v>0</v>
      </c>
      <c r="X197" s="61">
        <f t="shared" si="75"/>
        <v>0</v>
      </c>
      <c r="Y197" s="61">
        <f t="shared" si="75"/>
        <v>0</v>
      </c>
    </row>
    <row r="198" spans="1:28" x14ac:dyDescent="0.25">
      <c r="A198" s="38" t="s">
        <v>316</v>
      </c>
      <c r="B198" s="61">
        <f>SUM(B188:B197)</f>
        <v>0</v>
      </c>
      <c r="C198" s="61">
        <f t="shared" ref="C198:Y198" si="76">SUM(C188:C197)</f>
        <v>0</v>
      </c>
      <c r="D198" s="61">
        <f t="shared" si="76"/>
        <v>0</v>
      </c>
      <c r="E198" s="61">
        <f t="shared" si="76"/>
        <v>0</v>
      </c>
      <c r="F198" s="61">
        <f t="shared" si="76"/>
        <v>0</v>
      </c>
      <c r="G198" s="61">
        <f t="shared" si="76"/>
        <v>0</v>
      </c>
      <c r="H198" s="61">
        <f t="shared" si="76"/>
        <v>0</v>
      </c>
      <c r="I198" s="61">
        <f t="shared" si="76"/>
        <v>0</v>
      </c>
      <c r="J198" s="61">
        <f t="shared" si="76"/>
        <v>0</v>
      </c>
      <c r="K198" s="61">
        <f t="shared" si="76"/>
        <v>0</v>
      </c>
      <c r="L198" s="61">
        <f t="shared" si="76"/>
        <v>0</v>
      </c>
      <c r="M198" s="61">
        <f t="shared" si="76"/>
        <v>0</v>
      </c>
      <c r="N198" s="61">
        <f t="shared" si="76"/>
        <v>0</v>
      </c>
      <c r="O198" s="61">
        <f t="shared" si="76"/>
        <v>0</v>
      </c>
      <c r="P198" s="61">
        <f t="shared" si="76"/>
        <v>0</v>
      </c>
      <c r="Q198" s="61">
        <f t="shared" si="76"/>
        <v>0</v>
      </c>
      <c r="R198" s="61">
        <f t="shared" si="76"/>
        <v>0</v>
      </c>
      <c r="S198" s="61">
        <f t="shared" si="76"/>
        <v>0</v>
      </c>
      <c r="T198" s="61">
        <f t="shared" si="76"/>
        <v>0</v>
      </c>
      <c r="U198" s="61">
        <f t="shared" si="76"/>
        <v>0</v>
      </c>
      <c r="V198" s="61">
        <f t="shared" si="76"/>
        <v>0</v>
      </c>
      <c r="W198" s="61">
        <f t="shared" si="76"/>
        <v>0</v>
      </c>
      <c r="X198" s="61">
        <f t="shared" si="76"/>
        <v>0</v>
      </c>
      <c r="Y198" s="61">
        <f t="shared" si="76"/>
        <v>0</v>
      </c>
      <c r="AA198" s="64">
        <f>SUM(B198:Y198)</f>
        <v>0</v>
      </c>
      <c r="AB198" t="s">
        <v>214</v>
      </c>
    </row>
    <row r="200" spans="1:28" x14ac:dyDescent="0.25">
      <c r="A200" s="2" t="s">
        <v>216</v>
      </c>
    </row>
    <row r="201" spans="1:28" x14ac:dyDescent="0.25">
      <c r="A201" s="128" t="str">
        <f>A$15</f>
        <v>lot1</v>
      </c>
      <c r="B201" s="61">
        <f t="shared" ref="B201:Y201" si="77">IF(B76=4,B149,0)</f>
        <v>0</v>
      </c>
      <c r="C201" s="61">
        <f t="shared" si="77"/>
        <v>0</v>
      </c>
      <c r="D201" s="61">
        <f t="shared" si="77"/>
        <v>0</v>
      </c>
      <c r="E201" s="61">
        <f t="shared" si="77"/>
        <v>0</v>
      </c>
      <c r="F201" s="61">
        <f t="shared" si="77"/>
        <v>0</v>
      </c>
      <c r="G201" s="61">
        <f t="shared" si="77"/>
        <v>0</v>
      </c>
      <c r="H201" s="61">
        <f t="shared" si="77"/>
        <v>0</v>
      </c>
      <c r="I201" s="61">
        <f t="shared" si="77"/>
        <v>0</v>
      </c>
      <c r="J201" s="61">
        <f t="shared" si="77"/>
        <v>0</v>
      </c>
      <c r="K201" s="61">
        <f t="shared" si="77"/>
        <v>0</v>
      </c>
      <c r="L201" s="61">
        <f t="shared" si="77"/>
        <v>0</v>
      </c>
      <c r="M201" s="61">
        <f t="shared" si="77"/>
        <v>0</v>
      </c>
      <c r="N201" s="61">
        <f t="shared" si="77"/>
        <v>0</v>
      </c>
      <c r="O201" s="61">
        <f t="shared" si="77"/>
        <v>0</v>
      </c>
      <c r="P201" s="61">
        <f t="shared" si="77"/>
        <v>0</v>
      </c>
      <c r="Q201" s="61">
        <f t="shared" si="77"/>
        <v>0</v>
      </c>
      <c r="R201" s="61">
        <f t="shared" si="77"/>
        <v>0</v>
      </c>
      <c r="S201" s="61">
        <f t="shared" si="77"/>
        <v>0</v>
      </c>
      <c r="T201" s="61">
        <f t="shared" si="77"/>
        <v>0</v>
      </c>
      <c r="U201" s="61">
        <f t="shared" si="77"/>
        <v>0</v>
      </c>
      <c r="V201" s="61">
        <f t="shared" si="77"/>
        <v>0</v>
      </c>
      <c r="W201" s="61">
        <f t="shared" si="77"/>
        <v>0</v>
      </c>
      <c r="X201" s="61">
        <f t="shared" si="77"/>
        <v>0</v>
      </c>
      <c r="Y201" s="61">
        <f t="shared" si="77"/>
        <v>0</v>
      </c>
    </row>
    <row r="202" spans="1:28" x14ac:dyDescent="0.25">
      <c r="A202" s="128" t="str">
        <f>A$16</f>
        <v>lot2</v>
      </c>
      <c r="B202" s="61">
        <f t="shared" ref="B202:Y202" si="78">IF(B77=4,B150,0)</f>
        <v>0</v>
      </c>
      <c r="C202" s="61">
        <f t="shared" si="78"/>
        <v>0</v>
      </c>
      <c r="D202" s="61">
        <f t="shared" si="78"/>
        <v>0</v>
      </c>
      <c r="E202" s="61">
        <f t="shared" si="78"/>
        <v>0</v>
      </c>
      <c r="F202" s="61">
        <f t="shared" si="78"/>
        <v>0</v>
      </c>
      <c r="G202" s="61">
        <f t="shared" si="78"/>
        <v>0</v>
      </c>
      <c r="H202" s="61">
        <f t="shared" si="78"/>
        <v>0</v>
      </c>
      <c r="I202" s="61">
        <f t="shared" si="78"/>
        <v>0</v>
      </c>
      <c r="J202" s="61">
        <f t="shared" si="78"/>
        <v>0</v>
      </c>
      <c r="K202" s="61">
        <f t="shared" si="78"/>
        <v>0</v>
      </c>
      <c r="L202" s="61">
        <f t="shared" si="78"/>
        <v>0</v>
      </c>
      <c r="M202" s="61">
        <f t="shared" si="78"/>
        <v>0</v>
      </c>
      <c r="N202" s="61">
        <f t="shared" si="78"/>
        <v>0</v>
      </c>
      <c r="O202" s="61">
        <f t="shared" si="78"/>
        <v>0</v>
      </c>
      <c r="P202" s="61">
        <f t="shared" si="78"/>
        <v>0</v>
      </c>
      <c r="Q202" s="61">
        <f t="shared" si="78"/>
        <v>0</v>
      </c>
      <c r="R202" s="61">
        <f t="shared" si="78"/>
        <v>0</v>
      </c>
      <c r="S202" s="61">
        <f t="shared" si="78"/>
        <v>0</v>
      </c>
      <c r="T202" s="61">
        <f t="shared" si="78"/>
        <v>0</v>
      </c>
      <c r="U202" s="61">
        <f t="shared" si="78"/>
        <v>0</v>
      </c>
      <c r="V202" s="61">
        <f t="shared" si="78"/>
        <v>0</v>
      </c>
      <c r="W202" s="61">
        <f t="shared" si="78"/>
        <v>0</v>
      </c>
      <c r="X202" s="61">
        <f t="shared" si="78"/>
        <v>0</v>
      </c>
      <c r="Y202" s="61">
        <f t="shared" si="78"/>
        <v>0</v>
      </c>
    </row>
    <row r="203" spans="1:28" x14ac:dyDescent="0.25">
      <c r="A203" s="127" t="str">
        <f>A$17</f>
        <v>lot3</v>
      </c>
      <c r="B203" s="61">
        <f t="shared" ref="B203:Y203" si="79">IF(B78=4,B151,0)</f>
        <v>0</v>
      </c>
      <c r="C203" s="61">
        <f t="shared" si="79"/>
        <v>0</v>
      </c>
      <c r="D203" s="61">
        <f t="shared" si="79"/>
        <v>0</v>
      </c>
      <c r="E203" s="61">
        <f t="shared" si="79"/>
        <v>0</v>
      </c>
      <c r="F203" s="61">
        <f t="shared" si="79"/>
        <v>0</v>
      </c>
      <c r="G203" s="61">
        <f t="shared" si="79"/>
        <v>0</v>
      </c>
      <c r="H203" s="61">
        <f t="shared" si="79"/>
        <v>0</v>
      </c>
      <c r="I203" s="61">
        <f t="shared" si="79"/>
        <v>0</v>
      </c>
      <c r="J203" s="61">
        <f t="shared" si="79"/>
        <v>0</v>
      </c>
      <c r="K203" s="61">
        <f t="shared" si="79"/>
        <v>0</v>
      </c>
      <c r="L203" s="61">
        <f t="shared" si="79"/>
        <v>0</v>
      </c>
      <c r="M203" s="61">
        <f t="shared" si="79"/>
        <v>0</v>
      </c>
      <c r="N203" s="61">
        <f t="shared" si="79"/>
        <v>0</v>
      </c>
      <c r="O203" s="61">
        <f t="shared" si="79"/>
        <v>0</v>
      </c>
      <c r="P203" s="61">
        <f t="shared" si="79"/>
        <v>0</v>
      </c>
      <c r="Q203" s="61">
        <f t="shared" si="79"/>
        <v>0</v>
      </c>
      <c r="R203" s="61">
        <f t="shared" si="79"/>
        <v>0</v>
      </c>
      <c r="S203" s="61">
        <f t="shared" si="79"/>
        <v>0</v>
      </c>
      <c r="T203" s="61">
        <f t="shared" si="79"/>
        <v>0</v>
      </c>
      <c r="U203" s="61">
        <f t="shared" si="79"/>
        <v>0</v>
      </c>
      <c r="V203" s="61">
        <f t="shared" si="79"/>
        <v>0</v>
      </c>
      <c r="W203" s="61">
        <f t="shared" si="79"/>
        <v>0</v>
      </c>
      <c r="X203" s="61">
        <f t="shared" si="79"/>
        <v>0</v>
      </c>
      <c r="Y203" s="61">
        <f t="shared" si="79"/>
        <v>0</v>
      </c>
    </row>
    <row r="204" spans="1:28" x14ac:dyDescent="0.25">
      <c r="A204" s="128" t="str">
        <f>A$18</f>
        <v>lot4</v>
      </c>
      <c r="B204" s="61">
        <f t="shared" ref="B204:Y204" si="80">IF(B79=4,B152,0)</f>
        <v>0</v>
      </c>
      <c r="C204" s="61">
        <f t="shared" si="80"/>
        <v>0</v>
      </c>
      <c r="D204" s="61">
        <f t="shared" si="80"/>
        <v>0</v>
      </c>
      <c r="E204" s="61">
        <f t="shared" si="80"/>
        <v>0</v>
      </c>
      <c r="F204" s="61">
        <f t="shared" si="80"/>
        <v>0</v>
      </c>
      <c r="G204" s="61">
        <f t="shared" si="80"/>
        <v>0</v>
      </c>
      <c r="H204" s="61">
        <f t="shared" si="80"/>
        <v>0</v>
      </c>
      <c r="I204" s="61">
        <f t="shared" si="80"/>
        <v>0</v>
      </c>
      <c r="J204" s="61">
        <f t="shared" si="80"/>
        <v>0</v>
      </c>
      <c r="K204" s="61">
        <f t="shared" si="80"/>
        <v>0</v>
      </c>
      <c r="L204" s="61">
        <f t="shared" si="80"/>
        <v>0</v>
      </c>
      <c r="M204" s="61">
        <f t="shared" si="80"/>
        <v>0</v>
      </c>
      <c r="N204" s="61">
        <f t="shared" si="80"/>
        <v>0</v>
      </c>
      <c r="O204" s="61">
        <f t="shared" si="80"/>
        <v>0</v>
      </c>
      <c r="P204" s="61">
        <f t="shared" si="80"/>
        <v>0</v>
      </c>
      <c r="Q204" s="61">
        <f t="shared" si="80"/>
        <v>0</v>
      </c>
      <c r="R204" s="61">
        <f t="shared" si="80"/>
        <v>0</v>
      </c>
      <c r="S204" s="61">
        <f t="shared" si="80"/>
        <v>0</v>
      </c>
      <c r="T204" s="61">
        <f t="shared" si="80"/>
        <v>0</v>
      </c>
      <c r="U204" s="61">
        <f t="shared" si="80"/>
        <v>0</v>
      </c>
      <c r="V204" s="61">
        <f t="shared" si="80"/>
        <v>0</v>
      </c>
      <c r="W204" s="61">
        <f t="shared" si="80"/>
        <v>0</v>
      </c>
      <c r="X204" s="61">
        <f t="shared" si="80"/>
        <v>0</v>
      </c>
      <c r="Y204" s="61">
        <f t="shared" si="80"/>
        <v>0</v>
      </c>
    </row>
    <row r="205" spans="1:28" x14ac:dyDescent="0.25">
      <c r="A205" s="128" t="str">
        <f>A$19</f>
        <v>lot5</v>
      </c>
      <c r="B205" s="61">
        <f t="shared" ref="B205:Y205" si="81">IF(B80=4,B153,0)</f>
        <v>0</v>
      </c>
      <c r="C205" s="61">
        <f t="shared" si="81"/>
        <v>0</v>
      </c>
      <c r="D205" s="61">
        <f t="shared" si="81"/>
        <v>0</v>
      </c>
      <c r="E205" s="61">
        <f t="shared" si="81"/>
        <v>0</v>
      </c>
      <c r="F205" s="61">
        <f t="shared" si="81"/>
        <v>0</v>
      </c>
      <c r="G205" s="61">
        <f t="shared" si="81"/>
        <v>0</v>
      </c>
      <c r="H205" s="61">
        <f t="shared" si="81"/>
        <v>0</v>
      </c>
      <c r="I205" s="61">
        <f t="shared" si="81"/>
        <v>0</v>
      </c>
      <c r="J205" s="61">
        <f t="shared" si="81"/>
        <v>0</v>
      </c>
      <c r="K205" s="61">
        <f t="shared" si="81"/>
        <v>0</v>
      </c>
      <c r="L205" s="61">
        <f t="shared" si="81"/>
        <v>0</v>
      </c>
      <c r="M205" s="61">
        <f t="shared" si="81"/>
        <v>0</v>
      </c>
      <c r="N205" s="61">
        <f t="shared" si="81"/>
        <v>0</v>
      </c>
      <c r="O205" s="61">
        <f t="shared" si="81"/>
        <v>0</v>
      </c>
      <c r="P205" s="61">
        <f t="shared" si="81"/>
        <v>0</v>
      </c>
      <c r="Q205" s="61">
        <f t="shared" si="81"/>
        <v>0</v>
      </c>
      <c r="R205" s="61">
        <f t="shared" si="81"/>
        <v>0</v>
      </c>
      <c r="S205" s="61">
        <f t="shared" si="81"/>
        <v>0</v>
      </c>
      <c r="T205" s="61">
        <f t="shared" si="81"/>
        <v>0</v>
      </c>
      <c r="U205" s="61">
        <f t="shared" si="81"/>
        <v>0</v>
      </c>
      <c r="V205" s="61">
        <f t="shared" si="81"/>
        <v>0</v>
      </c>
      <c r="W205" s="61">
        <f t="shared" si="81"/>
        <v>0</v>
      </c>
      <c r="X205" s="61">
        <f t="shared" si="81"/>
        <v>0</v>
      </c>
      <c r="Y205" s="61">
        <f t="shared" si="81"/>
        <v>0</v>
      </c>
    </row>
    <row r="206" spans="1:28" x14ac:dyDescent="0.25">
      <c r="A206" s="128" t="str">
        <f>A$20</f>
        <v>lot6</v>
      </c>
      <c r="B206" s="61">
        <f t="shared" ref="B206:Y206" si="82">IF(B81=4,B154,0)</f>
        <v>0</v>
      </c>
      <c r="C206" s="61">
        <f t="shared" si="82"/>
        <v>0</v>
      </c>
      <c r="D206" s="61">
        <f t="shared" si="82"/>
        <v>0</v>
      </c>
      <c r="E206" s="61">
        <f t="shared" si="82"/>
        <v>0</v>
      </c>
      <c r="F206" s="61">
        <f t="shared" si="82"/>
        <v>0</v>
      </c>
      <c r="G206" s="61">
        <f t="shared" si="82"/>
        <v>0</v>
      </c>
      <c r="H206" s="61">
        <f t="shared" si="82"/>
        <v>0</v>
      </c>
      <c r="I206" s="61">
        <f t="shared" si="82"/>
        <v>0</v>
      </c>
      <c r="J206" s="61">
        <f t="shared" si="82"/>
        <v>0</v>
      </c>
      <c r="K206" s="61">
        <f t="shared" si="82"/>
        <v>0</v>
      </c>
      <c r="L206" s="61">
        <f t="shared" si="82"/>
        <v>0</v>
      </c>
      <c r="M206" s="61">
        <f t="shared" si="82"/>
        <v>0</v>
      </c>
      <c r="N206" s="61">
        <f t="shared" si="82"/>
        <v>0</v>
      </c>
      <c r="O206" s="61">
        <f t="shared" si="82"/>
        <v>0</v>
      </c>
      <c r="P206" s="61">
        <f t="shared" si="82"/>
        <v>0</v>
      </c>
      <c r="Q206" s="61">
        <f t="shared" si="82"/>
        <v>0</v>
      </c>
      <c r="R206" s="61">
        <f t="shared" si="82"/>
        <v>0</v>
      </c>
      <c r="S206" s="61">
        <f t="shared" si="82"/>
        <v>0</v>
      </c>
      <c r="T206" s="61">
        <f t="shared" si="82"/>
        <v>0</v>
      </c>
      <c r="U206" s="61">
        <f t="shared" si="82"/>
        <v>0</v>
      </c>
      <c r="V206" s="61">
        <f t="shared" si="82"/>
        <v>0</v>
      </c>
      <c r="W206" s="61">
        <f t="shared" si="82"/>
        <v>0</v>
      </c>
      <c r="X206" s="61">
        <f t="shared" si="82"/>
        <v>0</v>
      </c>
      <c r="Y206" s="61">
        <f t="shared" si="82"/>
        <v>0</v>
      </c>
    </row>
    <row r="207" spans="1:28" x14ac:dyDescent="0.25">
      <c r="A207" s="127" t="str">
        <f>A$21</f>
        <v>lot7</v>
      </c>
      <c r="B207" s="61">
        <f t="shared" ref="B207:Y207" si="83">IF(B82=4,B155,0)</f>
        <v>0</v>
      </c>
      <c r="C207" s="61">
        <f t="shared" si="83"/>
        <v>0</v>
      </c>
      <c r="D207" s="61">
        <f t="shared" si="83"/>
        <v>0</v>
      </c>
      <c r="E207" s="61">
        <f t="shared" si="83"/>
        <v>0</v>
      </c>
      <c r="F207" s="61">
        <f t="shared" si="83"/>
        <v>0</v>
      </c>
      <c r="G207" s="61">
        <f t="shared" si="83"/>
        <v>0</v>
      </c>
      <c r="H207" s="61">
        <f t="shared" si="83"/>
        <v>0</v>
      </c>
      <c r="I207" s="61">
        <f t="shared" si="83"/>
        <v>0</v>
      </c>
      <c r="J207" s="61">
        <f t="shared" si="83"/>
        <v>0</v>
      </c>
      <c r="K207" s="61">
        <f t="shared" si="83"/>
        <v>0</v>
      </c>
      <c r="L207" s="61">
        <f t="shared" si="83"/>
        <v>0</v>
      </c>
      <c r="M207" s="61">
        <f t="shared" si="83"/>
        <v>0</v>
      </c>
      <c r="N207" s="61">
        <f t="shared" si="83"/>
        <v>0</v>
      </c>
      <c r="O207" s="61">
        <f t="shared" si="83"/>
        <v>0</v>
      </c>
      <c r="P207" s="61">
        <f t="shared" si="83"/>
        <v>0</v>
      </c>
      <c r="Q207" s="61">
        <f t="shared" si="83"/>
        <v>0</v>
      </c>
      <c r="R207" s="61">
        <f t="shared" si="83"/>
        <v>0</v>
      </c>
      <c r="S207" s="61">
        <f t="shared" si="83"/>
        <v>0</v>
      </c>
      <c r="T207" s="61">
        <f t="shared" si="83"/>
        <v>0</v>
      </c>
      <c r="U207" s="61">
        <f t="shared" si="83"/>
        <v>0</v>
      </c>
      <c r="V207" s="61">
        <f t="shared" si="83"/>
        <v>0</v>
      </c>
      <c r="W207" s="61">
        <f t="shared" si="83"/>
        <v>0</v>
      </c>
      <c r="X207" s="61">
        <f t="shared" si="83"/>
        <v>0</v>
      </c>
      <c r="Y207" s="61">
        <f t="shared" si="83"/>
        <v>0</v>
      </c>
    </row>
    <row r="208" spans="1:28" x14ac:dyDescent="0.25">
      <c r="A208" s="128" t="str">
        <f>A$22</f>
        <v>lot8</v>
      </c>
      <c r="B208" s="61">
        <f t="shared" ref="B208:Y208" si="84">IF(B83=4,B156,0)</f>
        <v>0</v>
      </c>
      <c r="C208" s="61">
        <f t="shared" si="84"/>
        <v>0</v>
      </c>
      <c r="D208" s="61">
        <f t="shared" si="84"/>
        <v>0</v>
      </c>
      <c r="E208" s="61">
        <f t="shared" si="84"/>
        <v>0</v>
      </c>
      <c r="F208" s="61">
        <f t="shared" si="84"/>
        <v>0</v>
      </c>
      <c r="G208" s="61">
        <f t="shared" si="84"/>
        <v>0</v>
      </c>
      <c r="H208" s="61">
        <f t="shared" si="84"/>
        <v>0</v>
      </c>
      <c r="I208" s="61">
        <f t="shared" si="84"/>
        <v>0</v>
      </c>
      <c r="J208" s="61">
        <f t="shared" si="84"/>
        <v>0</v>
      </c>
      <c r="K208" s="61">
        <f t="shared" si="84"/>
        <v>0</v>
      </c>
      <c r="L208" s="61">
        <f t="shared" si="84"/>
        <v>0</v>
      </c>
      <c r="M208" s="61">
        <f t="shared" si="84"/>
        <v>0</v>
      </c>
      <c r="N208" s="61">
        <f t="shared" si="84"/>
        <v>0</v>
      </c>
      <c r="O208" s="61">
        <f t="shared" si="84"/>
        <v>0</v>
      </c>
      <c r="P208" s="61">
        <f t="shared" si="84"/>
        <v>0</v>
      </c>
      <c r="Q208" s="61">
        <f t="shared" si="84"/>
        <v>0</v>
      </c>
      <c r="R208" s="61">
        <f t="shared" si="84"/>
        <v>0</v>
      </c>
      <c r="S208" s="61">
        <f t="shared" si="84"/>
        <v>0</v>
      </c>
      <c r="T208" s="61">
        <f t="shared" si="84"/>
        <v>0</v>
      </c>
      <c r="U208" s="61">
        <f t="shared" si="84"/>
        <v>0</v>
      </c>
      <c r="V208" s="61">
        <f t="shared" si="84"/>
        <v>0</v>
      </c>
      <c r="W208" s="61">
        <f t="shared" si="84"/>
        <v>0</v>
      </c>
      <c r="X208" s="61">
        <f t="shared" si="84"/>
        <v>0</v>
      </c>
      <c r="Y208" s="61">
        <f t="shared" si="84"/>
        <v>0</v>
      </c>
    </row>
    <row r="209" spans="1:28" x14ac:dyDescent="0.25">
      <c r="A209" s="128" t="str">
        <f>A$23</f>
        <v>lot9</v>
      </c>
      <c r="B209" s="61">
        <f t="shared" ref="B209:Y209" si="85">IF(B84=4,B157,0)</f>
        <v>0</v>
      </c>
      <c r="C209" s="61">
        <f t="shared" si="85"/>
        <v>0</v>
      </c>
      <c r="D209" s="61">
        <f t="shared" si="85"/>
        <v>0</v>
      </c>
      <c r="E209" s="61">
        <f t="shared" si="85"/>
        <v>0</v>
      </c>
      <c r="F209" s="61">
        <f t="shared" si="85"/>
        <v>0</v>
      </c>
      <c r="G209" s="61">
        <f t="shared" si="85"/>
        <v>0</v>
      </c>
      <c r="H209" s="61">
        <f t="shared" si="85"/>
        <v>0</v>
      </c>
      <c r="I209" s="61">
        <f t="shared" si="85"/>
        <v>0</v>
      </c>
      <c r="J209" s="61">
        <f t="shared" si="85"/>
        <v>0</v>
      </c>
      <c r="K209" s="61">
        <f t="shared" si="85"/>
        <v>0</v>
      </c>
      <c r="L209" s="61">
        <f t="shared" si="85"/>
        <v>0</v>
      </c>
      <c r="M209" s="61">
        <f t="shared" si="85"/>
        <v>0</v>
      </c>
      <c r="N209" s="61">
        <f t="shared" si="85"/>
        <v>0</v>
      </c>
      <c r="O209" s="61">
        <f t="shared" si="85"/>
        <v>0</v>
      </c>
      <c r="P209" s="61">
        <f t="shared" si="85"/>
        <v>0</v>
      </c>
      <c r="Q209" s="61">
        <f t="shared" si="85"/>
        <v>0</v>
      </c>
      <c r="R209" s="61">
        <f t="shared" si="85"/>
        <v>0</v>
      </c>
      <c r="S209" s="61">
        <f t="shared" si="85"/>
        <v>0</v>
      </c>
      <c r="T209" s="61">
        <f t="shared" si="85"/>
        <v>0</v>
      </c>
      <c r="U209" s="61">
        <f t="shared" si="85"/>
        <v>0</v>
      </c>
      <c r="V209" s="61">
        <f t="shared" si="85"/>
        <v>0</v>
      </c>
      <c r="W209" s="61">
        <f t="shared" si="85"/>
        <v>0</v>
      </c>
      <c r="X209" s="61">
        <f t="shared" si="85"/>
        <v>0</v>
      </c>
      <c r="Y209" s="61">
        <f t="shared" si="85"/>
        <v>0</v>
      </c>
    </row>
    <row r="210" spans="1:28" x14ac:dyDescent="0.25">
      <c r="A210" s="128" t="str">
        <f>A$24</f>
        <v>lot10</v>
      </c>
      <c r="B210" s="61">
        <f t="shared" ref="B210:Y210" si="86">IF(B85=4,B158,0)</f>
        <v>0</v>
      </c>
      <c r="C210" s="61">
        <f t="shared" si="86"/>
        <v>0</v>
      </c>
      <c r="D210" s="61">
        <f t="shared" si="86"/>
        <v>0</v>
      </c>
      <c r="E210" s="61">
        <f t="shared" si="86"/>
        <v>0</v>
      </c>
      <c r="F210" s="61">
        <f t="shared" si="86"/>
        <v>0</v>
      </c>
      <c r="G210" s="61">
        <f t="shared" si="86"/>
        <v>0</v>
      </c>
      <c r="H210" s="61">
        <f t="shared" si="86"/>
        <v>0</v>
      </c>
      <c r="I210" s="61">
        <f t="shared" si="86"/>
        <v>0</v>
      </c>
      <c r="J210" s="61">
        <f t="shared" si="86"/>
        <v>0</v>
      </c>
      <c r="K210" s="61">
        <f t="shared" si="86"/>
        <v>0</v>
      </c>
      <c r="L210" s="61">
        <f t="shared" si="86"/>
        <v>0</v>
      </c>
      <c r="M210" s="61">
        <f t="shared" si="86"/>
        <v>0</v>
      </c>
      <c r="N210" s="61">
        <f t="shared" si="86"/>
        <v>0</v>
      </c>
      <c r="O210" s="61">
        <f t="shared" si="86"/>
        <v>0</v>
      </c>
      <c r="P210" s="61">
        <f t="shared" si="86"/>
        <v>0</v>
      </c>
      <c r="Q210" s="61">
        <f t="shared" si="86"/>
        <v>0</v>
      </c>
      <c r="R210" s="61">
        <f t="shared" si="86"/>
        <v>0</v>
      </c>
      <c r="S210" s="61">
        <f t="shared" si="86"/>
        <v>0</v>
      </c>
      <c r="T210" s="61">
        <f t="shared" si="86"/>
        <v>0</v>
      </c>
      <c r="U210" s="61">
        <f t="shared" si="86"/>
        <v>0</v>
      </c>
      <c r="V210" s="61">
        <f t="shared" si="86"/>
        <v>0</v>
      </c>
      <c r="W210" s="61">
        <f t="shared" si="86"/>
        <v>0</v>
      </c>
      <c r="X210" s="61">
        <f t="shared" si="86"/>
        <v>0</v>
      </c>
      <c r="Y210" s="61">
        <f t="shared" si="86"/>
        <v>0</v>
      </c>
    </row>
    <row r="211" spans="1:28" x14ac:dyDescent="0.25">
      <c r="A211" s="38" t="s">
        <v>315</v>
      </c>
      <c r="B211" s="61">
        <f>SUM(B201:B210)</f>
        <v>0</v>
      </c>
      <c r="C211" s="61">
        <f t="shared" ref="C211:Y211" si="87">SUM(C201:C210)</f>
        <v>0</v>
      </c>
      <c r="D211" s="61">
        <f t="shared" si="87"/>
        <v>0</v>
      </c>
      <c r="E211" s="61">
        <f t="shared" si="87"/>
        <v>0</v>
      </c>
      <c r="F211" s="61">
        <f t="shared" si="87"/>
        <v>0</v>
      </c>
      <c r="G211" s="61">
        <f t="shared" si="87"/>
        <v>0</v>
      </c>
      <c r="H211" s="61">
        <f t="shared" si="87"/>
        <v>0</v>
      </c>
      <c r="I211" s="61">
        <f t="shared" si="87"/>
        <v>0</v>
      </c>
      <c r="J211" s="61">
        <f t="shared" si="87"/>
        <v>0</v>
      </c>
      <c r="K211" s="61">
        <f t="shared" si="87"/>
        <v>0</v>
      </c>
      <c r="L211" s="61">
        <f t="shared" si="87"/>
        <v>0</v>
      </c>
      <c r="M211" s="61">
        <f t="shared" si="87"/>
        <v>0</v>
      </c>
      <c r="N211" s="61">
        <f t="shared" si="87"/>
        <v>0</v>
      </c>
      <c r="O211" s="61">
        <f t="shared" si="87"/>
        <v>0</v>
      </c>
      <c r="P211" s="61">
        <f t="shared" si="87"/>
        <v>0</v>
      </c>
      <c r="Q211" s="61">
        <f t="shared" si="87"/>
        <v>0</v>
      </c>
      <c r="R211" s="61">
        <f t="shared" si="87"/>
        <v>0</v>
      </c>
      <c r="S211" s="61">
        <f t="shared" si="87"/>
        <v>0</v>
      </c>
      <c r="T211" s="61">
        <f t="shared" si="87"/>
        <v>0</v>
      </c>
      <c r="U211" s="61">
        <f t="shared" si="87"/>
        <v>0</v>
      </c>
      <c r="V211" s="61">
        <f t="shared" si="87"/>
        <v>0</v>
      </c>
      <c r="W211" s="61">
        <f t="shared" si="87"/>
        <v>0</v>
      </c>
      <c r="X211" s="61">
        <f t="shared" si="87"/>
        <v>0</v>
      </c>
      <c r="Y211" s="61">
        <f t="shared" si="87"/>
        <v>0</v>
      </c>
      <c r="AA211" s="64">
        <f>SUM(B211:Y211)</f>
        <v>0</v>
      </c>
      <c r="AB211" t="s">
        <v>214</v>
      </c>
    </row>
    <row r="214" spans="1:28" x14ac:dyDescent="0.25">
      <c r="A214" s="2" t="s">
        <v>217</v>
      </c>
    </row>
    <row r="215" spans="1:28" x14ac:dyDescent="0.25">
      <c r="A215" s="38" t="s">
        <v>218</v>
      </c>
      <c r="B215" s="61">
        <f>B172</f>
        <v>0</v>
      </c>
      <c r="C215" s="61">
        <f t="shared" ref="C215:Y215" si="88">C172</f>
        <v>0</v>
      </c>
      <c r="D215" s="61">
        <f t="shared" si="88"/>
        <v>0</v>
      </c>
      <c r="E215" s="61">
        <f t="shared" si="88"/>
        <v>0</v>
      </c>
      <c r="F215" s="61">
        <f t="shared" si="88"/>
        <v>0</v>
      </c>
      <c r="G215" s="61">
        <f t="shared" si="88"/>
        <v>0</v>
      </c>
      <c r="H215" s="61">
        <f t="shared" si="88"/>
        <v>0</v>
      </c>
      <c r="I215" s="61">
        <f t="shared" si="88"/>
        <v>0</v>
      </c>
      <c r="J215" s="61">
        <f t="shared" si="88"/>
        <v>0</v>
      </c>
      <c r="K215" s="61">
        <f t="shared" si="88"/>
        <v>0</v>
      </c>
      <c r="L215" s="61">
        <f t="shared" si="88"/>
        <v>0</v>
      </c>
      <c r="M215" s="61">
        <f t="shared" si="88"/>
        <v>0</v>
      </c>
      <c r="N215" s="61">
        <f t="shared" si="88"/>
        <v>0</v>
      </c>
      <c r="O215" s="61">
        <f t="shared" si="88"/>
        <v>0</v>
      </c>
      <c r="P215" s="61">
        <f t="shared" si="88"/>
        <v>0</v>
      </c>
      <c r="Q215" s="61">
        <f t="shared" si="88"/>
        <v>0</v>
      </c>
      <c r="R215" s="61">
        <f t="shared" si="88"/>
        <v>0</v>
      </c>
      <c r="S215" s="61">
        <f t="shared" si="88"/>
        <v>0</v>
      </c>
      <c r="T215" s="61">
        <f t="shared" si="88"/>
        <v>0</v>
      </c>
      <c r="U215" s="61">
        <f t="shared" si="88"/>
        <v>0</v>
      </c>
      <c r="V215" s="61">
        <f t="shared" si="88"/>
        <v>0</v>
      </c>
      <c r="W215" s="61">
        <f t="shared" si="88"/>
        <v>0</v>
      </c>
      <c r="X215" s="61">
        <f t="shared" si="88"/>
        <v>0</v>
      </c>
      <c r="Y215" s="61">
        <f t="shared" si="88"/>
        <v>0</v>
      </c>
    </row>
    <row r="216" spans="1:28" x14ac:dyDescent="0.25">
      <c r="A216" s="38" t="s">
        <v>219</v>
      </c>
      <c r="B216" s="61">
        <f>B185</f>
        <v>0</v>
      </c>
      <c r="C216" s="61">
        <f t="shared" ref="C216:Y216" si="89">C185</f>
        <v>0</v>
      </c>
      <c r="D216" s="61">
        <f t="shared" si="89"/>
        <v>0</v>
      </c>
      <c r="E216" s="61">
        <f t="shared" si="89"/>
        <v>0</v>
      </c>
      <c r="F216" s="61">
        <f t="shared" si="89"/>
        <v>0</v>
      </c>
      <c r="G216" s="61">
        <f t="shared" si="89"/>
        <v>0</v>
      </c>
      <c r="H216" s="61">
        <f t="shared" si="89"/>
        <v>0</v>
      </c>
      <c r="I216" s="61">
        <f t="shared" si="89"/>
        <v>0</v>
      </c>
      <c r="J216" s="61">
        <f t="shared" si="89"/>
        <v>0</v>
      </c>
      <c r="K216" s="61">
        <f t="shared" si="89"/>
        <v>0</v>
      </c>
      <c r="L216" s="61">
        <f t="shared" si="89"/>
        <v>0</v>
      </c>
      <c r="M216" s="61">
        <f t="shared" si="89"/>
        <v>0</v>
      </c>
      <c r="N216" s="61">
        <f t="shared" si="89"/>
        <v>0</v>
      </c>
      <c r="O216" s="61">
        <f t="shared" si="89"/>
        <v>0</v>
      </c>
      <c r="P216" s="61">
        <f t="shared" si="89"/>
        <v>0</v>
      </c>
      <c r="Q216" s="61">
        <f t="shared" si="89"/>
        <v>0</v>
      </c>
      <c r="R216" s="61">
        <f t="shared" si="89"/>
        <v>0</v>
      </c>
      <c r="S216" s="61">
        <f t="shared" si="89"/>
        <v>0</v>
      </c>
      <c r="T216" s="61">
        <f t="shared" si="89"/>
        <v>0</v>
      </c>
      <c r="U216" s="61">
        <f t="shared" si="89"/>
        <v>0</v>
      </c>
      <c r="V216" s="61">
        <f t="shared" si="89"/>
        <v>0</v>
      </c>
      <c r="W216" s="61">
        <f t="shared" si="89"/>
        <v>0</v>
      </c>
      <c r="X216" s="61">
        <f t="shared" si="89"/>
        <v>0</v>
      </c>
      <c r="Y216" s="61">
        <f t="shared" si="89"/>
        <v>0</v>
      </c>
    </row>
    <row r="217" spans="1:28" x14ac:dyDescent="0.25">
      <c r="A217" s="38" t="s">
        <v>220</v>
      </c>
      <c r="B217" s="61">
        <f>B198</f>
        <v>0</v>
      </c>
      <c r="C217" s="61">
        <f t="shared" ref="C217:Y217" si="90">C198</f>
        <v>0</v>
      </c>
      <c r="D217" s="61">
        <f t="shared" si="90"/>
        <v>0</v>
      </c>
      <c r="E217" s="61">
        <f t="shared" si="90"/>
        <v>0</v>
      </c>
      <c r="F217" s="61">
        <f t="shared" si="90"/>
        <v>0</v>
      </c>
      <c r="G217" s="61">
        <f t="shared" si="90"/>
        <v>0</v>
      </c>
      <c r="H217" s="61">
        <f t="shared" si="90"/>
        <v>0</v>
      </c>
      <c r="I217" s="61">
        <f t="shared" si="90"/>
        <v>0</v>
      </c>
      <c r="J217" s="61">
        <f t="shared" si="90"/>
        <v>0</v>
      </c>
      <c r="K217" s="61">
        <f t="shared" si="90"/>
        <v>0</v>
      </c>
      <c r="L217" s="61">
        <f t="shared" si="90"/>
        <v>0</v>
      </c>
      <c r="M217" s="61">
        <f t="shared" si="90"/>
        <v>0</v>
      </c>
      <c r="N217" s="61">
        <f t="shared" si="90"/>
        <v>0</v>
      </c>
      <c r="O217" s="61">
        <f t="shared" si="90"/>
        <v>0</v>
      </c>
      <c r="P217" s="61">
        <f t="shared" si="90"/>
        <v>0</v>
      </c>
      <c r="Q217" s="61">
        <f t="shared" si="90"/>
        <v>0</v>
      </c>
      <c r="R217" s="61">
        <f t="shared" si="90"/>
        <v>0</v>
      </c>
      <c r="S217" s="61">
        <f t="shared" si="90"/>
        <v>0</v>
      </c>
      <c r="T217" s="61">
        <f t="shared" si="90"/>
        <v>0</v>
      </c>
      <c r="U217" s="61">
        <f t="shared" si="90"/>
        <v>0</v>
      </c>
      <c r="V217" s="61">
        <f t="shared" si="90"/>
        <v>0</v>
      </c>
      <c r="W217" s="61">
        <f t="shared" si="90"/>
        <v>0</v>
      </c>
      <c r="X217" s="61">
        <f t="shared" si="90"/>
        <v>0</v>
      </c>
      <c r="Y217" s="61">
        <f t="shared" si="90"/>
        <v>0</v>
      </c>
    </row>
    <row r="218" spans="1:28" x14ac:dyDescent="0.25">
      <c r="A218" s="38" t="s">
        <v>221</v>
      </c>
      <c r="B218" s="61">
        <f>B211</f>
        <v>0</v>
      </c>
      <c r="C218" s="61">
        <f t="shared" ref="C218:Y218" si="91">C211</f>
        <v>0</v>
      </c>
      <c r="D218" s="61">
        <f t="shared" si="91"/>
        <v>0</v>
      </c>
      <c r="E218" s="61">
        <f t="shared" si="91"/>
        <v>0</v>
      </c>
      <c r="F218" s="61">
        <f t="shared" si="91"/>
        <v>0</v>
      </c>
      <c r="G218" s="61">
        <f t="shared" si="91"/>
        <v>0</v>
      </c>
      <c r="H218" s="61">
        <f t="shared" si="91"/>
        <v>0</v>
      </c>
      <c r="I218" s="61">
        <f t="shared" si="91"/>
        <v>0</v>
      </c>
      <c r="J218" s="61">
        <f t="shared" si="91"/>
        <v>0</v>
      </c>
      <c r="K218" s="61">
        <f t="shared" si="91"/>
        <v>0</v>
      </c>
      <c r="L218" s="61">
        <f t="shared" si="91"/>
        <v>0</v>
      </c>
      <c r="M218" s="61">
        <f t="shared" si="91"/>
        <v>0</v>
      </c>
      <c r="N218" s="61">
        <f t="shared" si="91"/>
        <v>0</v>
      </c>
      <c r="O218" s="61">
        <f t="shared" si="91"/>
        <v>0</v>
      </c>
      <c r="P218" s="61">
        <f t="shared" si="91"/>
        <v>0</v>
      </c>
      <c r="Q218" s="61">
        <f t="shared" si="91"/>
        <v>0</v>
      </c>
      <c r="R218" s="61">
        <f t="shared" si="91"/>
        <v>0</v>
      </c>
      <c r="S218" s="61">
        <f t="shared" si="91"/>
        <v>0</v>
      </c>
      <c r="T218" s="61">
        <f t="shared" si="91"/>
        <v>0</v>
      </c>
      <c r="U218" s="61">
        <f t="shared" si="91"/>
        <v>0</v>
      </c>
      <c r="V218" s="61">
        <f t="shared" si="91"/>
        <v>0</v>
      </c>
      <c r="W218" s="61">
        <f t="shared" si="91"/>
        <v>0</v>
      </c>
      <c r="X218" s="61">
        <f t="shared" si="91"/>
        <v>0</v>
      </c>
      <c r="Y218" s="61">
        <f t="shared" si="91"/>
        <v>0</v>
      </c>
    </row>
    <row r="219" spans="1:28" x14ac:dyDescent="0.25">
      <c r="AA219" s="30">
        <f>SUM(B215:Y218)</f>
        <v>0</v>
      </c>
      <c r="AB219" t="s">
        <v>223</v>
      </c>
    </row>
    <row r="220" spans="1:28" x14ac:dyDescent="0.25">
      <c r="AA220" s="30">
        <f>SUM(B215:Y217)</f>
        <v>0</v>
      </c>
      <c r="AB220" t="s">
        <v>224</v>
      </c>
    </row>
    <row r="221" spans="1:28" x14ac:dyDescent="0.25">
      <c r="AA221" s="30">
        <f>SUM(B218:Y218)</f>
        <v>0</v>
      </c>
      <c r="AB221" t="s">
        <v>225</v>
      </c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Intro Classeur</vt:lpstr>
      <vt:lpstr>Scénario</vt:lpstr>
      <vt:lpstr>Protection</vt:lpstr>
      <vt:lpstr>Travail</vt:lpstr>
      <vt:lpstr>Calcul éco</vt:lpstr>
      <vt:lpstr>Synthèse résultats</vt:lpstr>
      <vt:lpstr>Troupeau</vt:lpstr>
      <vt:lpstr>CdTrp1</vt:lpstr>
      <vt:lpstr>CdTrp2</vt:lpstr>
      <vt:lpstr>CdTrp3</vt:lpstr>
      <vt:lpstr>CdTrp4</vt:lpstr>
      <vt:lpstr>Conduite Trp</vt:lpstr>
      <vt:lpstr>Alim -Surf</vt:lpstr>
      <vt:lpstr>Vérif parcelles</vt:lpstr>
      <vt:lpstr>Parcellaire</vt:lpstr>
      <vt:lpstr>Parcellaire (2)</vt:lpstr>
      <vt:lpstr>fct trp bovin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 Moulin</dc:creator>
  <cp:lastModifiedBy>Auteur</cp:lastModifiedBy>
  <dcterms:created xsi:type="dcterms:W3CDTF">2017-05-29T11:12:28Z</dcterms:created>
  <dcterms:modified xsi:type="dcterms:W3CDTF">2023-01-09T09:26:15Z</dcterms:modified>
</cp:coreProperties>
</file>